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'MLP''s'!$A$1:$W$61</definedName>
    <definedName function="false" hidden="false" localSheetId="0" name="_xlnm.Print_Titles" vbProcedure="false">'MLP''s'!$A:$C,'MLP''s'!$1:$9</definedName>
    <definedName function="false" hidden="false" name="dividends" vbProcedure="false">'MLP''s'!$W$10:$AT$33</definedName>
    <definedName function="false" hidden="false" name="ene" vbProcedure="false">'MLP''s'!$A$1:$BC$47</definedName>
    <definedName function="false" hidden="false" name="enep" vbProcedure="false">'MLP''s'!$A:$K</definedName>
    <definedName function="false" hidden="false" name="eog" vbProcedure="false">'MLP''s'!$V$1:$BC$44</definedName>
    <definedName function="false" hidden="false" name="eogp" vbProcedure="false">'MLP''s'!$V$1:$BB$47</definedName>
    <definedName function="false" hidden="false" name="Print_Area_MI" vbProcedure="false">'MLP''s'!$A$1:$N$47</definedName>
    <definedName function="false" hidden="false" name="report" vbProcedure="false">'MLP''s'!$C$10:$U$33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10</xdr:row>
                <xdr:rowOff>30</xdr:rowOff>
              </xdr:from>
              <xdr:to>
                <xdr:col>1</xdr:col>
                <xdr:colOff>2</xdr:colOff>
                <xdr:row>13</xdr:row>
                <xdr:rowOff>4</xdr:rowOff>
              </xdr:to>
            </anchor>
          </commentPr>
        </mc:Choice>
        <mc:Fallback/>
      </mc:AlternateContent>
    </comment>
    <comment ref="A19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15</xdr:row>
                <xdr:rowOff>8</xdr:rowOff>
              </xdr:from>
              <xdr:to>
                <xdr:col>1</xdr:col>
                <xdr:colOff>2</xdr:colOff>
                <xdr:row>17</xdr:row>
                <xdr:rowOff>10</xdr:rowOff>
              </xdr:to>
            </anchor>
          </commentPr>
        </mc:Choice>
        <mc:Fallback/>
      </mc:AlternateContent>
    </comment>
    <comment ref="A23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18</xdr:row>
                <xdr:rowOff>24</xdr:rowOff>
              </xdr:from>
              <xdr:to>
                <xdr:col>1</xdr:col>
                <xdr:colOff>2</xdr:colOff>
                <xdr:row>20</xdr:row>
                <xdr:rowOff>30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6</xdr:rowOff>
              </xdr:from>
              <xdr:to>
                <xdr:col>8</xdr:col>
                <xdr:colOff>104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<sst xmlns="http://schemas.openxmlformats.org/spreadsheetml/2006/main" count="188" uniqueCount="126">
  <si>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</si>
  <si>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</si>
  <si>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</si>
  <si>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</si>
  <si>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</si>
  <si>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</si>
  <si>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</si>
  <si>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</si>
  <si>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</si>
  <si>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</si>
  <si>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</si>
  <si>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</si>
  <si>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</si>
  <si>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</si>
  <si>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</si>
  <si>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</si>
  <si>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</si>
  <si>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</si>
  <si>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</si>
  <si>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</si>
  <si>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</si>
  <si>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</si>
  <si>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</si>
  <si>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</si>
  <si>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</si>
  <si>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</si>
  <si>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</si>
  <si>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</si>
  <si>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</si>
  <si>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</si>
  <si>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</si>
  <si>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</si>
  <si>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</si>
  <si>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</si>
  <si>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</si>
  <si>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</si>
  <si>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</si>
  <si>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</si>
  <si>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</si>
  <si>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</si>
  <si>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Northern Border</t>
  </si>
  <si>
    <t xml:space="preserve">NBP</t>
  </si>
  <si>
    <t xml:space="preserve">EOTT Energy</t>
  </si>
  <si>
    <t xml:space="preserve">EOT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</si>
  <si>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</si>
  <si>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</si>
  <si>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</si>
  <si>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</si>
  <si>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</si>
  <si>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</si>
  <si>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</si>
  <si>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</si>
  <si>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</si>
  <si>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</si>
  <si>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</si>
  <si>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N/A</t>
  </si>
  <si>
    <t xml:space="preserve">Kaneb</t>
  </si>
  <si>
    <t xml:space="preserve">KPP</t>
  </si>
  <si>
    <t xml:space="preserve">Kinder Morgan</t>
  </si>
  <si>
    <t xml:space="preserve">KMP</t>
  </si>
  <si>
    <t xml:space="preserve">Lakehead</t>
  </si>
  <si>
    <t xml:space="preserve">LHP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</si>
  <si>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</si>
  <si>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</si>
  <si>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</si>
  <si>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</si>
  <si>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</si>
  <si>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</si>
  <si>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</si>
  <si>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Peer Group Avg.</t>
  </si>
  <si>
    <t xml:space="preserve">Assumes interest paid 6/30 and 12/31.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</si>
  <si>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</si>
  <si>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</si>
  <si>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</si>
  <si>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</si>
  <si>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</si>
  <si>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</si>
  <si>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r>
      <rPr>
        <b val="true"/>
        <sz val="14"/>
        <rFont val="Arial"/>
        <family val="2"/>
      </rPr>
      <t xml:space="preserve">(3) R</t>
    </r>
    <r>
      <rPr>
        <b val="true"/>
        <sz val="18"/>
        <rFont val="Arial"/>
        <family val="2"/>
      </rPr>
      <t xml:space="preserve">estructuring approved by unitholders 12/7/00.  Annual distribution reduced to $0.80 per year.  </t>
    </r>
  </si>
  <si>
    <t xml:space="preserve">Shamrock Logistics*</t>
  </si>
  <si>
    <t xml:space="preserve">UDL</t>
  </si>
  <si>
    <t xml:space="preserve">Williams Energy Partners**</t>
  </si>
  <si>
    <t xml:space="preserve">WEG</t>
  </si>
  <si>
    <t xml:space="preserve">*UDL initial public offering on 4/9/01 for a price of 24.50</t>
  </si>
  <si>
    <t xml:space="preserve">**WEG initial public offering on 2/5/01 for a price of 21.50</t>
  </si>
  <si>
    <t xml:space="preserve">=PV($AG$27/2,(59-((+VALUE($AG$6)-VALUE($AP$27))/(365/2))),-$AK$27*100/2,-100,0)</t>
  </si>
  <si>
    <t xml:space="preserve">=PV(AI27/2,(59-((+VALUE(AI6)-VALUE($AP$27))/(365/2))),-$AK$27*100/2,-100,0)</t>
  </si>
  <si>
    <t xml:space="preserve">Primary Contact</t>
  </si>
  <si>
    <t xml:space="preserve">Analyst</t>
  </si>
  <si>
    <t xml:space="preserve">Rating</t>
  </si>
  <si>
    <t xml:space="preserve">2001 EPS *</t>
  </si>
  <si>
    <t xml:space="preserve">2002 EPS *</t>
  </si>
  <si>
    <t xml:space="preserve">Target</t>
  </si>
  <si>
    <t xml:space="preserve">A.G. Edwards</t>
  </si>
  <si>
    <t xml:space="preserve">Buy</t>
  </si>
  <si>
    <t xml:space="preserve">Hold **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</si>
  <si>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</si>
  <si>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</si>
  <si>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</si>
  <si>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</si>
  <si>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</si>
  <si>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</si>
  <si>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</si>
  <si>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</si>
  <si>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</si>
  <si>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First Union</t>
  </si>
  <si>
    <t xml:space="preserve">Strong Buy</t>
  </si>
  <si>
    <t xml:space="preserve">Goldman Sachs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</si>
  <si>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</si>
  <si>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</si>
  <si>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</si>
  <si>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</si>
  <si>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</si>
  <si>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Outperform</t>
  </si>
  <si>
    <t xml:space="preserve">Rick Gross and Peggy Connerty</t>
  </si>
  <si>
    <t xml:space="preserve">Merrill Lynch</t>
  </si>
  <si>
    <t xml:space="preserve">Accumulate</t>
  </si>
  <si>
    <t xml:space="preserve">Accum./Buy</t>
  </si>
  <si>
    <t xml:space="preserve">Donato Eassey (NBP) Andrew Fairbanks (EOT)</t>
  </si>
  <si>
    <t xml:space="preserve">Morgan Stanley DW</t>
  </si>
  <si>
    <t xml:space="preserve">Neutral</t>
  </si>
  <si>
    <t xml:space="preserve">Kurt Holmes</t>
  </si>
  <si>
    <t xml:space="preserve">Salomon Smith Barney</t>
  </si>
  <si>
    <t xml:space="preserve">UBS Warburg (PaineWebber)</t>
  </si>
  <si>
    <t xml:space="preserve">Ron Barone and Jeanine Kim</t>
  </si>
  <si>
    <t xml:space="preserve">*First Call Consensus</t>
  </si>
  <si>
    <t xml:space="preserve">** Not officially covered, but has internal note in system.</t>
  </si>
</sst>
</file>

<file path=xl/styles.xml><?xml version="1.0" encoding="utf-8"?>
<styleSheet xmlns="http://schemas.openxmlformats.org/spreadsheetml/2006/main">
  <numFmts count="22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_);[RED]&quot;($&quot;#,##0.00\)"/>
    <numFmt numFmtId="180" formatCode="0.0%"/>
    <numFmt numFmtId="181" formatCode="0.0000_)"/>
    <numFmt numFmtId="182" formatCode="\$#,##0.000_);&quot;($&quot;#,##0.00\)"/>
    <numFmt numFmtId="183" formatCode="General"/>
    <numFmt numFmtId="184" formatCode="\$#,##0.000"/>
    <numFmt numFmtId="185" formatCode="_(* #,##0.0000_);_(* \(#,##0.0000\);_(* \-??_);_(@_)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1.32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7" min="35" style="9" width="14.99"/>
    <col collapsed="false" customWidth="true" hidden="false" outlineLevel="0" max="38" min="38" style="9" width="10.43"/>
    <col collapsed="false" customWidth="true" hidden="false" outlineLevel="0" max="41" min="39" style="9" width="15.43"/>
    <col collapsed="false" customWidth="true" hidden="false" outlineLevel="0" max="42" min="42" style="1" width="12.88"/>
    <col collapsed="false" customWidth="true" hidden="false" outlineLevel="0" max="43" min="43" style="1" width="16.44"/>
    <col collapsed="false" customWidth="true" hidden="false" outlineLevel="0" max="54" min="44" style="1" width="11.32"/>
    <col collapsed="false" customWidth="false" hidden="false" outlineLevel="0" max="257" min="55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4"/>
      <c r="AQ1" s="14"/>
      <c r="AR1" s="20"/>
      <c r="AS1" s="14"/>
      <c r="AT1" s="20"/>
      <c r="AU1" s="20"/>
      <c r="AV1" s="20"/>
      <c r="AW1" s="20"/>
      <c r="AX1" s="20"/>
      <c r="AY1" s="21"/>
      <c r="AZ1" s="20"/>
      <c r="BA1" s="20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37036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3"/>
      <c r="AQ2" s="23"/>
      <c r="AR2" s="23"/>
      <c r="AS2" s="23"/>
      <c r="AT2" s="23"/>
      <c r="AU2" s="23"/>
      <c r="AV2" s="23"/>
      <c r="AW2" s="23"/>
      <c r="AX2" s="29"/>
      <c r="AY2" s="23"/>
      <c r="AZ2" s="23"/>
      <c r="BA2" s="14"/>
      <c r="BB2" s="30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3"/>
      <c r="AQ3" s="23"/>
      <c r="AR3" s="23"/>
      <c r="AS3" s="23"/>
      <c r="AT3" s="23"/>
      <c r="AU3" s="23"/>
      <c r="AV3" s="23"/>
      <c r="AW3" s="23"/>
      <c r="AX3" s="29"/>
      <c r="AY3" s="23"/>
      <c r="AZ3" s="23"/>
      <c r="BA3" s="14"/>
      <c r="BB3" s="30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3"/>
      <c r="AQ4" s="23"/>
      <c r="AR4" s="23"/>
      <c r="AS4" s="23"/>
      <c r="AT4" s="23"/>
      <c r="AU4" s="23"/>
      <c r="AV4" s="29"/>
      <c r="AW4" s="23"/>
      <c r="AX4" s="23"/>
      <c r="AY4" s="14"/>
      <c r="AZ4" s="30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5"/>
      <c r="F5" s="35"/>
      <c r="G5" s="13"/>
      <c r="H5" s="13"/>
      <c r="I5" s="15"/>
      <c r="J5" s="15"/>
      <c r="K5" s="36"/>
      <c r="L5" s="13"/>
      <c r="M5" s="15" t="s">
        <v>4</v>
      </c>
      <c r="N5" s="13"/>
      <c r="O5" s="37"/>
      <c r="P5" s="37"/>
      <c r="Q5" s="38" t="s">
        <v>5</v>
      </c>
      <c r="R5" s="38"/>
      <c r="S5" s="38"/>
      <c r="T5" s="38"/>
      <c r="U5" s="38"/>
      <c r="V5" s="39"/>
      <c r="W5" s="18"/>
      <c r="X5" s="40"/>
      <c r="Y5" s="41" t="n">
        <v>2001</v>
      </c>
      <c r="Z5" s="42" t="n">
        <v>2002</v>
      </c>
      <c r="AA5" s="42" t="s">
        <v>6</v>
      </c>
      <c r="AB5" s="42"/>
      <c r="AC5" s="43"/>
      <c r="AD5" s="44"/>
      <c r="AE5" s="45"/>
      <c r="AF5" s="46" t="s">
        <v>7</v>
      </c>
      <c r="AG5" s="46"/>
      <c r="AH5" s="47" t="s">
        <v>8</v>
      </c>
      <c r="AI5" s="47"/>
      <c r="AJ5" s="48" t="s">
        <v>9</v>
      </c>
      <c r="AK5" s="49"/>
      <c r="AL5" s="48"/>
      <c r="AM5" s="49"/>
      <c r="AN5" s="50"/>
      <c r="AO5" s="50"/>
      <c r="AP5" s="51"/>
      <c r="AQ5" s="52"/>
      <c r="AR5" s="53"/>
      <c r="AS5" s="23"/>
      <c r="AT5" s="23"/>
      <c r="AU5" s="23"/>
      <c r="AV5" s="23"/>
      <c r="AW5" s="23"/>
      <c r="AX5" s="23"/>
      <c r="AY5" s="23"/>
      <c r="AZ5" s="11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3" t="s">
        <v>10</v>
      </c>
      <c r="F6" s="53"/>
      <c r="G6" s="35" t="s">
        <v>11</v>
      </c>
      <c r="H6" s="13"/>
      <c r="I6" s="54" t="s">
        <v>12</v>
      </c>
      <c r="J6" s="54"/>
      <c r="K6" s="36"/>
      <c r="L6" s="13"/>
      <c r="M6" s="54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39"/>
      <c r="W6" s="18"/>
      <c r="X6" s="40"/>
      <c r="Y6" s="55" t="s">
        <v>16</v>
      </c>
      <c r="Z6" s="56" t="s">
        <v>16</v>
      </c>
      <c r="AA6" s="39" t="s">
        <v>17</v>
      </c>
      <c r="AB6" s="56" t="s">
        <v>18</v>
      </c>
      <c r="AC6" s="11"/>
      <c r="AD6" s="57" t="s">
        <v>19</v>
      </c>
      <c r="AE6" s="58" t="s">
        <v>19</v>
      </c>
      <c r="AF6" s="59" t="s">
        <v>20</v>
      </c>
      <c r="AG6" s="60" t="n">
        <v>37029</v>
      </c>
      <c r="AH6" s="59" t="s">
        <v>20</v>
      </c>
      <c r="AI6" s="60" t="n">
        <v>36980</v>
      </c>
      <c r="AJ6" s="59" t="s">
        <v>20</v>
      </c>
      <c r="AK6" s="60" t="n">
        <v>36889</v>
      </c>
      <c r="AL6" s="59" t="n">
        <v>2000</v>
      </c>
      <c r="AM6" s="60" t="n">
        <v>36523</v>
      </c>
      <c r="AN6" s="60" t="s">
        <v>21</v>
      </c>
      <c r="AO6" s="61" t="n">
        <v>36160</v>
      </c>
      <c r="AP6" s="62" t="n">
        <v>1998</v>
      </c>
      <c r="AQ6" s="61" t="n">
        <v>35795</v>
      </c>
      <c r="AR6" s="53"/>
      <c r="AS6" s="23"/>
      <c r="AT6" s="23"/>
      <c r="AU6" s="53"/>
      <c r="AV6" s="53"/>
      <c r="AW6" s="23"/>
      <c r="AX6" s="23"/>
      <c r="AY6" s="23"/>
      <c r="AZ6" s="14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3" t="s">
        <v>22</v>
      </c>
      <c r="B7" s="11"/>
      <c r="C7" s="63" t="s">
        <v>23</v>
      </c>
      <c r="D7" s="11"/>
      <c r="E7" s="64" t="s">
        <v>24</v>
      </c>
      <c r="F7" s="65"/>
      <c r="G7" s="63" t="s">
        <v>25</v>
      </c>
      <c r="H7" s="13"/>
      <c r="I7" s="66" t="s">
        <v>26</v>
      </c>
      <c r="J7" s="67"/>
      <c r="K7" s="68" t="s">
        <v>27</v>
      </c>
      <c r="L7" s="13"/>
      <c r="M7" s="66" t="s">
        <v>28</v>
      </c>
      <c r="N7" s="13"/>
      <c r="O7" s="69" t="s">
        <v>29</v>
      </c>
      <c r="P7" s="33"/>
      <c r="Q7" s="69" t="s">
        <v>30</v>
      </c>
      <c r="R7" s="33"/>
      <c r="S7" s="63" t="s">
        <v>31</v>
      </c>
      <c r="T7" s="13"/>
      <c r="U7" s="63" t="s">
        <v>31</v>
      </c>
      <c r="V7" s="39"/>
      <c r="W7" s="18"/>
      <c r="X7" s="40"/>
      <c r="Y7" s="70" t="s">
        <v>32</v>
      </c>
      <c r="Z7" s="71" t="s">
        <v>32</v>
      </c>
      <c r="AA7" s="72" t="s">
        <v>33</v>
      </c>
      <c r="AB7" s="72" t="s">
        <v>33</v>
      </c>
      <c r="AC7" s="73"/>
      <c r="AD7" s="74" t="s">
        <v>34</v>
      </c>
      <c r="AE7" s="75" t="s">
        <v>35</v>
      </c>
      <c r="AF7" s="76" t="s">
        <v>30</v>
      </c>
      <c r="AG7" s="77" t="s">
        <v>36</v>
      </c>
      <c r="AH7" s="76" t="s">
        <v>37</v>
      </c>
      <c r="AI7" s="77" t="s">
        <v>36</v>
      </c>
      <c r="AJ7" s="76" t="s">
        <v>38</v>
      </c>
      <c r="AK7" s="77" t="s">
        <v>36</v>
      </c>
      <c r="AL7" s="76" t="s">
        <v>38</v>
      </c>
      <c r="AM7" s="77" t="s">
        <v>36</v>
      </c>
      <c r="AN7" s="77" t="s">
        <v>39</v>
      </c>
      <c r="AO7" s="78" t="s">
        <v>36</v>
      </c>
      <c r="AP7" s="79" t="s">
        <v>39</v>
      </c>
      <c r="AQ7" s="78" t="s">
        <v>36</v>
      </c>
      <c r="AR7" s="23"/>
      <c r="AS7" s="23"/>
      <c r="AT7" s="23"/>
      <c r="AU7" s="20"/>
      <c r="AV7" s="14"/>
      <c r="AW7" s="14"/>
      <c r="AX7" s="14"/>
      <c r="AY7" s="14"/>
      <c r="AZ7" s="14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6"/>
      <c r="L8" s="13"/>
      <c r="M8" s="15"/>
      <c r="N8" s="13"/>
      <c r="O8" s="37"/>
      <c r="P8" s="37"/>
      <c r="Q8" s="37"/>
      <c r="R8" s="37"/>
      <c r="S8" s="37"/>
      <c r="T8" s="13"/>
      <c r="U8" s="11"/>
      <c r="V8" s="18"/>
      <c r="W8" s="18"/>
      <c r="X8" s="40"/>
      <c r="Y8" s="80"/>
      <c r="Z8" s="81"/>
      <c r="AA8" s="40"/>
      <c r="AB8" s="81"/>
      <c r="AC8" s="11"/>
      <c r="AD8" s="82"/>
      <c r="AE8" s="83"/>
      <c r="AF8" s="84"/>
      <c r="AG8" s="83"/>
      <c r="AH8" s="84"/>
      <c r="AI8" s="83"/>
      <c r="AJ8" s="84"/>
      <c r="AK8" s="84"/>
      <c r="AL8" s="84"/>
      <c r="AM8" s="84"/>
      <c r="AN8" s="84"/>
      <c r="AO8" s="84"/>
      <c r="AP8" s="85"/>
      <c r="AQ8" s="86"/>
      <c r="AR8" s="87"/>
      <c r="AS8" s="87"/>
      <c r="AT8" s="87"/>
      <c r="AU8" s="88"/>
      <c r="AV8" s="88"/>
      <c r="AW8" s="88"/>
      <c r="AX8" s="88"/>
      <c r="AY8" s="23"/>
      <c r="AZ8" s="53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24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1"/>
      <c r="R9" s="14"/>
      <c r="S9" s="11"/>
      <c r="T9" s="11"/>
      <c r="U9" s="11"/>
      <c r="V9" s="18"/>
      <c r="W9" s="14"/>
      <c r="X9" s="20"/>
      <c r="Y9" s="80"/>
      <c r="Z9" s="81"/>
      <c r="AA9" s="40"/>
      <c r="AB9" s="81"/>
      <c r="AC9" s="22"/>
      <c r="AD9" s="82"/>
      <c r="AE9" s="83"/>
      <c r="AF9" s="84"/>
      <c r="AG9" s="84"/>
      <c r="AH9" s="89"/>
      <c r="AI9" s="83"/>
      <c r="AJ9" s="84"/>
      <c r="AK9" s="84"/>
      <c r="AL9" s="84"/>
      <c r="AM9" s="84"/>
      <c r="AN9" s="84"/>
      <c r="AO9" s="84"/>
      <c r="AP9" s="90"/>
      <c r="AQ9" s="86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23.25" hidden="false" customHeight="false" outlineLevel="0" collapsed="false">
      <c r="A10" s="91" t="s">
        <v>40</v>
      </c>
      <c r="B10" s="92"/>
      <c r="C10" s="93" t="s">
        <v>41</v>
      </c>
      <c r="D10" s="92"/>
      <c r="E10" s="94" t="n">
        <f aca="false">DDE("REUTER","IDN","NBP")</f>
        <v>40.16</v>
      </c>
      <c r="F10" s="95"/>
      <c r="G10" s="94" t="n">
        <f aca="false">DDE("REUTER","IDN","NBP,DIVIDEND")</f>
        <v>3.05</v>
      </c>
      <c r="H10" s="96"/>
      <c r="I10" s="97" t="n">
        <f aca="false">+G10/E10</f>
        <v>0.0759462151394422</v>
      </c>
      <c r="J10" s="97"/>
      <c r="K10" s="98" t="n">
        <f aca="false">(+I10-E$27)*10000</f>
        <v>173.592151394422</v>
      </c>
      <c r="L10" s="93"/>
      <c r="M10" s="97" t="n">
        <f aca="false">(I10*AA10)+((I10*(1-AA10))*(1-0.3))</f>
        <v>0.0748070219123506</v>
      </c>
      <c r="N10" s="93"/>
      <c r="O10" s="99" t="n">
        <f aca="false">+G10/Z10</f>
        <v>1.12823674475956</v>
      </c>
      <c r="P10" s="100"/>
      <c r="Q10" s="99" t="n">
        <f aca="false">(AF10+$E10-AG10)/AG10</f>
        <v>0.0154235145385588</v>
      </c>
      <c r="R10" s="100"/>
      <c r="S10" s="99" t="n">
        <f aca="false">(AH10+$E10-AI10)/AI10</f>
        <v>0.109024390243902</v>
      </c>
      <c r="T10" s="96"/>
      <c r="U10" s="101" t="n">
        <f aca="false">(AJ10+$E10-AK10)/AK10</f>
        <v>0.326629482071713</v>
      </c>
      <c r="V10" s="102"/>
      <c r="W10" s="18"/>
      <c r="X10" s="40"/>
      <c r="Y10" s="103" t="n">
        <f aca="false">ROUND(G57,2)</f>
        <v>2.61</v>
      </c>
      <c r="Z10" s="104" t="n">
        <f aca="false">+I57</f>
        <v>2.70333333333333</v>
      </c>
      <c r="AA10" s="105" t="n">
        <v>0.95</v>
      </c>
      <c r="AB10" s="106"/>
      <c r="AC10" s="11"/>
      <c r="AD10" s="107" t="n">
        <v>37007</v>
      </c>
      <c r="AE10" s="108" t="n">
        <v>0.7625</v>
      </c>
      <c r="AF10" s="109"/>
      <c r="AG10" s="94" t="n">
        <v>39.55</v>
      </c>
      <c r="AH10" s="109" t="n">
        <v>0.763</v>
      </c>
      <c r="AI10" s="94" t="n">
        <v>36.9</v>
      </c>
      <c r="AJ10" s="109" t="n">
        <f aca="false">0.7+0.763</f>
        <v>1.463</v>
      </c>
      <c r="AK10" s="108" t="n">
        <v>31.375</v>
      </c>
      <c r="AL10" s="110" t="n">
        <f aca="false">0.65*3+0.7</f>
        <v>2.65</v>
      </c>
      <c r="AM10" s="108" t="n">
        <v>23</v>
      </c>
      <c r="AN10" s="109" t="n">
        <f aca="false">0.61*4</f>
        <v>2.44</v>
      </c>
      <c r="AO10" s="108" t="n">
        <v>32.5625</v>
      </c>
      <c r="AP10" s="111" t="n">
        <f aca="false">0.575+0.575+0.575+0.575</f>
        <v>2.3</v>
      </c>
      <c r="AQ10" s="112" t="n">
        <v>34</v>
      </c>
      <c r="AR10" s="87"/>
      <c r="AS10" s="88"/>
      <c r="AT10" s="88"/>
      <c r="AU10" s="88"/>
      <c r="AV10" s="88"/>
      <c r="AW10" s="14"/>
      <c r="AX10" s="113"/>
      <c r="AY10" s="114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15" t="s">
        <v>42</v>
      </c>
      <c r="B11" s="116"/>
      <c r="C11" s="117" t="s">
        <v>43</v>
      </c>
      <c r="D11" s="116"/>
      <c r="E11" s="118" t="n">
        <f aca="false">DDE("REUTER","IDN","EOT")</f>
        <v>18.11</v>
      </c>
      <c r="F11" s="119"/>
      <c r="G11" s="118" t="n">
        <f aca="false">DDE("REUTER","IDN","EOT,DIVIDEND")</f>
        <v>1.9</v>
      </c>
      <c r="H11" s="120"/>
      <c r="I11" s="121" t="n">
        <f aca="false">+G11/E11</f>
        <v>0.104914411927112</v>
      </c>
      <c r="J11" s="121"/>
      <c r="K11" s="122" t="n">
        <f aca="false">(+I11-E$27)*10000</f>
        <v>463.274119271121</v>
      </c>
      <c r="L11" s="117"/>
      <c r="M11" s="121" t="n">
        <f aca="false">(I11*AA11)+((I11*(1-AA11))*(1-0.3))</f>
        <v>0.103340695748205</v>
      </c>
      <c r="N11" s="117"/>
      <c r="O11" s="123" t="n">
        <f aca="false">+G11/Z11</f>
        <v>2.87878787878788</v>
      </c>
      <c r="P11" s="124"/>
      <c r="Q11" s="123" t="n">
        <f aca="false">(AF11+$E11-AG11)/AG11</f>
        <v>-0.0315508021390374</v>
      </c>
      <c r="R11" s="124"/>
      <c r="S11" s="123" t="n">
        <f aca="false">(AH11+$E11-AI11)/AI11</f>
        <v>0.17850348763475</v>
      </c>
      <c r="T11" s="120"/>
      <c r="U11" s="125" t="n">
        <f aca="false">(AJ11+E11-AK11)/AK11</f>
        <v>0.163969465648855</v>
      </c>
      <c r="V11" s="102"/>
      <c r="W11" s="18"/>
      <c r="X11" s="40"/>
      <c r="Y11" s="103" t="n">
        <v>0.62</v>
      </c>
      <c r="Z11" s="104" t="n">
        <v>0.66</v>
      </c>
      <c r="AA11" s="105" t="n">
        <v>0.95</v>
      </c>
      <c r="AB11" s="106"/>
      <c r="AC11" s="22"/>
      <c r="AD11" s="107" t="n">
        <v>37007</v>
      </c>
      <c r="AE11" s="108" t="n">
        <v>0.475</v>
      </c>
      <c r="AF11" s="109"/>
      <c r="AG11" s="118" t="n">
        <v>18.7</v>
      </c>
      <c r="AH11" s="109" t="n">
        <v>0.475</v>
      </c>
      <c r="AI11" s="118" t="n">
        <v>15.77</v>
      </c>
      <c r="AJ11" s="109" t="n">
        <f aca="false">0.475*2</f>
        <v>0.95</v>
      </c>
      <c r="AK11" s="108" t="n">
        <v>16.375</v>
      </c>
      <c r="AL11" s="110" t="n">
        <f aca="false">0.475*4</f>
        <v>1.9</v>
      </c>
      <c r="AM11" s="108" t="n">
        <v>13</v>
      </c>
      <c r="AN11" s="109" t="n">
        <f aca="false">0.475*4</f>
        <v>1.9</v>
      </c>
      <c r="AO11" s="108" t="n">
        <v>15.75</v>
      </c>
      <c r="AP11" s="126" t="n">
        <f aca="false">0.475+0.475+0.475+0.475</f>
        <v>1.9</v>
      </c>
      <c r="AQ11" s="112" t="n">
        <v>17.125</v>
      </c>
      <c r="AR11" s="87"/>
      <c r="AS11" s="88"/>
      <c r="AT11" s="14"/>
      <c r="AU11" s="88"/>
      <c r="AV11" s="88"/>
      <c r="AW11" s="14"/>
      <c r="AX11" s="113"/>
      <c r="AY11" s="114"/>
      <c r="AZ11" s="20"/>
      <c r="BA11" s="20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27"/>
      <c r="F12" s="128"/>
      <c r="G12" s="127"/>
      <c r="H12" s="13"/>
      <c r="I12" s="15"/>
      <c r="J12" s="15"/>
      <c r="K12" s="129"/>
      <c r="L12" s="23"/>
      <c r="M12" s="15"/>
      <c r="N12" s="23"/>
      <c r="O12" s="33"/>
      <c r="P12" s="130"/>
      <c r="Q12" s="33"/>
      <c r="R12" s="130"/>
      <c r="S12" s="33"/>
      <c r="T12" s="13"/>
      <c r="U12" s="131"/>
      <c r="V12" s="102"/>
      <c r="W12" s="18"/>
      <c r="X12" s="40"/>
      <c r="Y12" s="103"/>
      <c r="Z12" s="104"/>
      <c r="AA12" s="105"/>
      <c r="AB12" s="106"/>
      <c r="AC12" s="11"/>
      <c r="AD12" s="132"/>
      <c r="AE12" s="108"/>
      <c r="AF12" s="109"/>
      <c r="AG12" s="127"/>
      <c r="AH12" s="109"/>
      <c r="AI12" s="127"/>
      <c r="AJ12" s="109"/>
      <c r="AK12" s="108"/>
      <c r="AL12" s="110"/>
      <c r="AM12" s="108"/>
      <c r="AN12" s="109"/>
      <c r="AO12" s="108"/>
      <c r="AP12" s="111"/>
      <c r="AQ12" s="133"/>
      <c r="AR12" s="87"/>
      <c r="AS12" s="88"/>
      <c r="AT12" s="14"/>
      <c r="AU12" s="88"/>
      <c r="AV12" s="88"/>
      <c r="AW12" s="14"/>
      <c r="AX12" s="113"/>
      <c r="AY12" s="114"/>
      <c r="AZ12" s="20"/>
      <c r="BA12" s="20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5" t="s">
        <v>45</v>
      </c>
      <c r="D13" s="11"/>
      <c r="E13" s="127" t="n">
        <f aca="false">DDE("REUTER","IDN","APU")</f>
        <v>23.08</v>
      </c>
      <c r="F13" s="128"/>
      <c r="G13" s="127" t="n">
        <f aca="false">DDE("REUTER","IDN","APU,DIVIDEND")</f>
        <v>2.2</v>
      </c>
      <c r="H13" s="13"/>
      <c r="I13" s="67" t="n">
        <f aca="false">+G13/E13</f>
        <v>0.0953206239168111</v>
      </c>
      <c r="J13" s="67"/>
      <c r="K13" s="134" t="n">
        <f aca="false">(+I13-E$27)*10000</f>
        <v>367.336239168111</v>
      </c>
      <c r="L13" s="23"/>
      <c r="M13" s="67" t="n">
        <f aca="false">(I13*AA13)+((I13*(1-AA13))*(1-0.3))</f>
        <v>0.0867417677642981</v>
      </c>
      <c r="N13" s="23"/>
      <c r="O13" s="33" t="n">
        <f aca="false">+G13/Y13</f>
        <v>2.07547169811321</v>
      </c>
      <c r="P13" s="130"/>
      <c r="Q13" s="33" t="n">
        <f aca="false">(AF13+$E13-AG13)/AG13</f>
        <v>0.0100656455142231</v>
      </c>
      <c r="R13" s="130"/>
      <c r="S13" s="33" t="n">
        <f aca="false">(AH13+$E13-AI13)/AI13</f>
        <v>0.172704714640199</v>
      </c>
      <c r="T13" s="13"/>
      <c r="U13" s="135" t="n">
        <f aca="false">(AJ13+E13-AK13)/AK13</f>
        <v>0.454436090225564</v>
      </c>
      <c r="V13" s="102"/>
      <c r="W13" s="18"/>
      <c r="X13" s="40"/>
      <c r="Y13" s="103" t="n">
        <v>1.06</v>
      </c>
      <c r="Z13" s="104" t="n">
        <v>1.16</v>
      </c>
      <c r="AA13" s="105" t="n">
        <v>0.7</v>
      </c>
      <c r="AB13" s="136"/>
      <c r="AC13" s="11"/>
      <c r="AD13" s="107" t="n">
        <v>37015</v>
      </c>
      <c r="AE13" s="108" t="n">
        <v>0.55</v>
      </c>
      <c r="AF13" s="109"/>
      <c r="AG13" s="127" t="n">
        <v>22.85</v>
      </c>
      <c r="AH13" s="109" t="n">
        <v>0.55</v>
      </c>
      <c r="AI13" s="127" t="n">
        <v>20.15</v>
      </c>
      <c r="AJ13" s="109" t="n">
        <f aca="false">0.55*2</f>
        <v>1.1</v>
      </c>
      <c r="AK13" s="108" t="n">
        <v>16.625</v>
      </c>
      <c r="AL13" s="110" t="n">
        <f aca="false">0.55*4</f>
        <v>2.2</v>
      </c>
      <c r="AM13" s="108" t="n">
        <v>14.875</v>
      </c>
      <c r="AN13" s="109" t="n">
        <f aca="false">0.55*4</f>
        <v>2.2</v>
      </c>
      <c r="AO13" s="108" t="n">
        <v>22.875</v>
      </c>
      <c r="AP13" s="126" t="n">
        <f aca="false">0.55+0.55+0.55+0.55</f>
        <v>2.2</v>
      </c>
      <c r="AQ13" s="137" t="n">
        <v>25.1875</v>
      </c>
      <c r="AR13" s="87"/>
      <c r="AS13" s="88"/>
      <c r="AT13" s="14"/>
      <c r="AU13" s="88"/>
      <c r="AV13" s="88"/>
      <c r="AW13" s="14"/>
      <c r="AX13" s="138"/>
      <c r="AY13" s="114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5" t="s">
        <v>47</v>
      </c>
      <c r="D14" s="11"/>
      <c r="E14" s="127" t="n">
        <f aca="false">DDE("REUTER","IDN","BPL")</f>
        <v>36.6</v>
      </c>
      <c r="F14" s="128"/>
      <c r="G14" s="127" t="n">
        <f aca="false">DDE("REUTER","IDN","BPL,DIVIDEND")</f>
        <v>2.4</v>
      </c>
      <c r="H14" s="13"/>
      <c r="I14" s="67" t="n">
        <f aca="false">+G14/E14</f>
        <v>0.0655737704918033</v>
      </c>
      <c r="J14" s="67"/>
      <c r="K14" s="134" t="n">
        <f aca="false">(+I14-E$27)*10000</f>
        <v>69.8677049180327</v>
      </c>
      <c r="L14" s="23"/>
      <c r="M14" s="67" t="n">
        <f aca="false">(I14*AA14)+((I14*(1-AA14))*(1-0.3))</f>
        <v>0.060655737704918</v>
      </c>
      <c r="N14" s="23"/>
      <c r="O14" s="33" t="n">
        <f aca="false">+G14/Z14</f>
        <v>0.916030534351145</v>
      </c>
      <c r="P14" s="130"/>
      <c r="Q14" s="33" t="n">
        <f aca="false">(AF14+$E14-AG14)/AG14</f>
        <v>0.0578034682080925</v>
      </c>
      <c r="R14" s="130"/>
      <c r="S14" s="33" t="n">
        <f aca="false">(AH14+$E14-AI14)/AI14</f>
        <v>0.106484235574063</v>
      </c>
      <c r="T14" s="13"/>
      <c r="U14" s="135" t="n">
        <f aca="false">(AJ14+E14-AK14)/AK14</f>
        <v>0.309090909090909</v>
      </c>
      <c r="V14" s="102"/>
      <c r="W14" s="18"/>
      <c r="X14" s="40"/>
      <c r="Y14" s="103" t="n">
        <v>2.49</v>
      </c>
      <c r="Z14" s="104" t="n">
        <v>2.62</v>
      </c>
      <c r="AA14" s="105" t="n">
        <v>0.75</v>
      </c>
      <c r="AB14" s="106"/>
      <c r="AC14" s="11"/>
      <c r="AD14" s="107" t="n">
        <v>37013</v>
      </c>
      <c r="AE14" s="108" t="n">
        <v>0.6</v>
      </c>
      <c r="AF14" s="109"/>
      <c r="AG14" s="127" t="n">
        <v>34.6</v>
      </c>
      <c r="AH14" s="109" t="n">
        <v>0.6</v>
      </c>
      <c r="AI14" s="127" t="n">
        <v>33.62</v>
      </c>
      <c r="AJ14" s="109" t="n">
        <f aca="false">0.6*2</f>
        <v>1.2</v>
      </c>
      <c r="AK14" s="108" t="n">
        <v>28.875</v>
      </c>
      <c r="AL14" s="110" t="n">
        <f aca="false">0.6*4</f>
        <v>2.4</v>
      </c>
      <c r="AM14" s="108" t="n">
        <v>26</v>
      </c>
      <c r="AN14" s="109" t="n">
        <f aca="false">0.525+0.55*3</f>
        <v>2.175</v>
      </c>
      <c r="AO14" s="108" t="n">
        <v>29</v>
      </c>
      <c r="AP14" s="126" t="n">
        <f aca="false">0.525+0.525+0.525+0.525</f>
        <v>2.1</v>
      </c>
      <c r="AQ14" s="137" t="n">
        <f aca="false">57.9375/2</f>
        <v>28.96875</v>
      </c>
      <c r="AR14" s="87"/>
      <c r="AS14" s="88"/>
      <c r="AT14" s="14"/>
      <c r="AU14" s="88"/>
      <c r="AV14" s="88"/>
      <c r="AW14" s="14"/>
      <c r="AX14" s="113"/>
      <c r="AY14" s="114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5" t="s">
        <v>49</v>
      </c>
      <c r="D15" s="11"/>
      <c r="E15" s="127" t="n">
        <f aca="false">DDE("REUTER","IDN","EPN")</f>
        <v>35.3</v>
      </c>
      <c r="F15" s="128"/>
      <c r="G15" s="127" t="n">
        <f aca="false">DDE("REUTER","IDN","EPN,DIVIDEND")</f>
        <v>2.3</v>
      </c>
      <c r="H15" s="13"/>
      <c r="I15" s="67" t="n">
        <f aca="false">+G15/E15</f>
        <v>0.0651558073654391</v>
      </c>
      <c r="J15" s="67"/>
      <c r="K15" s="134" t="n">
        <f aca="false">(+I15-E$27)*10000</f>
        <v>65.6880736543909</v>
      </c>
      <c r="L15" s="23"/>
      <c r="M15" s="67" t="n">
        <f aca="false">(I15*AA15)+((I15*(1-AA15))*(1-0.3))</f>
        <v>0.0643739376770538</v>
      </c>
      <c r="N15" s="23"/>
      <c r="O15" s="33" t="n">
        <f aca="false">+G15/Z15</f>
        <v>4.6</v>
      </c>
      <c r="P15" s="130"/>
      <c r="Q15" s="33" t="n">
        <f aca="false">(AF15+$E15-AG15)/AG15</f>
        <v>-0.00423131170662922</v>
      </c>
      <c r="R15" s="130"/>
      <c r="S15" s="33" t="n">
        <f aca="false">(AH15+$E15-AI15)/AI15</f>
        <v>0.149839743589744</v>
      </c>
      <c r="T15" s="13"/>
      <c r="U15" s="135" t="n">
        <f aca="false">(AJ15+E15-AK15)/AK15</f>
        <v>0.32756264236902</v>
      </c>
      <c r="V15" s="102"/>
      <c r="W15" s="18"/>
      <c r="X15" s="40"/>
      <c r="Y15" s="103" t="n">
        <v>0.23</v>
      </c>
      <c r="Z15" s="104" t="n">
        <v>0.5</v>
      </c>
      <c r="AA15" s="105" t="n">
        <v>0.96</v>
      </c>
      <c r="AB15" s="106"/>
      <c r="AC15" s="11"/>
      <c r="AD15" s="107" t="n">
        <v>37007</v>
      </c>
      <c r="AE15" s="108" t="n">
        <v>0.575</v>
      </c>
      <c r="AF15" s="109"/>
      <c r="AG15" s="127" t="n">
        <v>35.45</v>
      </c>
      <c r="AH15" s="109" t="n">
        <v>0.575</v>
      </c>
      <c r="AI15" s="127" t="n">
        <v>31.2</v>
      </c>
      <c r="AJ15" s="109" t="n">
        <f aca="false">0.55+0.575</f>
        <v>1.125</v>
      </c>
      <c r="AK15" s="108" t="n">
        <v>27.4375</v>
      </c>
      <c r="AL15" s="110" t="n">
        <f aca="false">0.525+0.5375*2+0.55</f>
        <v>2.15</v>
      </c>
      <c r="AM15" s="108" t="n">
        <v>19</v>
      </c>
      <c r="AN15" s="109" t="n">
        <f aca="false">0.525*4</f>
        <v>2.1</v>
      </c>
      <c r="AO15" s="108" t="n">
        <v>20.125</v>
      </c>
      <c r="AP15" s="126" t="n">
        <f aca="false">0.5+0.525+0.525+0.525</f>
        <v>2.075</v>
      </c>
      <c r="AQ15" s="137" t="n">
        <v>30.625</v>
      </c>
      <c r="AR15" s="87"/>
      <c r="AS15" s="88"/>
      <c r="AT15" s="14"/>
      <c r="AU15" s="88"/>
      <c r="AV15" s="88"/>
      <c r="AW15" s="14"/>
      <c r="AX15" s="113"/>
      <c r="AY15" s="114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6.25" hidden="false" customHeight="false" outlineLevel="0" collapsed="false">
      <c r="A16" s="10" t="s">
        <v>50</v>
      </c>
      <c r="B16" s="11"/>
      <c r="C16" s="35" t="s">
        <v>51</v>
      </c>
      <c r="D16" s="11"/>
      <c r="E16" s="127" t="n">
        <f aca="false">DDE("REUTER","IDN","FGP")</f>
        <v>21.1</v>
      </c>
      <c r="F16" s="128"/>
      <c r="G16" s="127" t="n">
        <f aca="false">DDE("REUTER","IDN","FGP,DIVIDEND")</f>
        <v>2</v>
      </c>
      <c r="H16" s="13"/>
      <c r="I16" s="67" t="n">
        <f aca="false">+G16/E16</f>
        <v>0.0947867298578199</v>
      </c>
      <c r="J16" s="67"/>
      <c r="K16" s="134" t="n">
        <f aca="false">(+I16-E$27)*10000</f>
        <v>361.997298578199</v>
      </c>
      <c r="L16" s="23"/>
      <c r="M16" s="67" t="n">
        <f aca="false">(I16*AA16)+((I16*(1-AA16))*(1-0.3))</f>
        <v>0.094218009478673</v>
      </c>
      <c r="N16" s="23"/>
      <c r="O16" s="33" t="n">
        <f aca="false">+G16/Z16</f>
        <v>2.10526315789474</v>
      </c>
      <c r="P16" s="139"/>
      <c r="Q16" s="33" t="n">
        <f aca="false">(AF16+$E16-AG16)/AG16</f>
        <v>0.0550000000000001</v>
      </c>
      <c r="R16" s="139"/>
      <c r="S16" s="33" t="n">
        <f aca="false">(AH16+$E16-AI16)/AI16</f>
        <v>0.298461538461539</v>
      </c>
      <c r="T16" s="13"/>
      <c r="U16" s="135" t="n">
        <f aca="false">(AJ16+E16-AK16)/AK16</f>
        <v>0.637914691943128</v>
      </c>
      <c r="V16" s="102"/>
      <c r="W16" s="18"/>
      <c r="X16" s="40"/>
      <c r="Y16" s="103" t="n">
        <v>0.96</v>
      </c>
      <c r="Z16" s="104" t="n">
        <v>0.95</v>
      </c>
      <c r="AA16" s="105" t="n">
        <v>0.98</v>
      </c>
      <c r="AB16" s="106"/>
      <c r="AC16" s="11"/>
      <c r="AD16" s="107" t="n">
        <v>37041</v>
      </c>
      <c r="AE16" s="108" t="n">
        <v>0.5</v>
      </c>
      <c r="AF16" s="109"/>
      <c r="AG16" s="127" t="n">
        <v>20</v>
      </c>
      <c r="AH16" s="109"/>
      <c r="AI16" s="127" t="n">
        <v>16.25</v>
      </c>
      <c r="AJ16" s="109" t="n">
        <v>0.5</v>
      </c>
      <c r="AK16" s="108" t="n">
        <v>13.1875</v>
      </c>
      <c r="AL16" s="110" t="n">
        <f aca="false">0.5+0.5+0.5+0.5</f>
        <v>2</v>
      </c>
      <c r="AM16" s="108" t="n">
        <v>12.625</v>
      </c>
      <c r="AN16" s="109" t="n">
        <f aca="false">0.5*4</f>
        <v>2</v>
      </c>
      <c r="AO16" s="108" t="n">
        <v>17.25</v>
      </c>
      <c r="AP16" s="126" t="n">
        <f aca="false">0.5+0.5+0.5+0.5</f>
        <v>2</v>
      </c>
      <c r="AQ16" s="137" t="n">
        <v>22.375</v>
      </c>
      <c r="AR16" s="87"/>
      <c r="AS16" s="88"/>
      <c r="AT16" s="14"/>
      <c r="AU16" s="88"/>
      <c r="AV16" s="88"/>
      <c r="AW16" s="14"/>
      <c r="AX16" s="113"/>
      <c r="AY16" s="114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3.25" hidden="false" customHeight="false" outlineLevel="0" collapsed="false">
      <c r="A17" s="10" t="s">
        <v>52</v>
      </c>
      <c r="B17" s="11"/>
      <c r="C17" s="35" t="s">
        <v>53</v>
      </c>
      <c r="D17" s="11"/>
      <c r="E17" s="127" t="n">
        <f aca="false">DDE("REUTER","IDN","GEL.A")</f>
        <v>4.9</v>
      </c>
      <c r="F17" s="128"/>
      <c r="G17" s="127" t="n">
        <f aca="false">DDE("REUTER","IDN","GEL.A,DIVIDEND")</f>
        <v>0.8</v>
      </c>
      <c r="H17" s="13" t="s">
        <v>54</v>
      </c>
      <c r="I17" s="67" t="n">
        <f aca="false">+G17/E17</f>
        <v>0.163265306122449</v>
      </c>
      <c r="J17" s="67"/>
      <c r="K17" s="134" t="n">
        <f aca="false">(+I17-E$27)*10000</f>
        <v>1046.78306122449</v>
      </c>
      <c r="L17" s="23"/>
      <c r="M17" s="67" t="n">
        <f aca="false">(I17*AA17)+((I17*(1-AA17))*(1-0.3))</f>
        <v>0.163265306122449</v>
      </c>
      <c r="N17" s="23"/>
      <c r="O17" s="33" t="s">
        <v>55</v>
      </c>
      <c r="P17" s="130"/>
      <c r="Q17" s="33" t="n">
        <f aca="false">(AF17+$E17-AG17)/AG17</f>
        <v>-0.0925925925925926</v>
      </c>
      <c r="R17" s="130"/>
      <c r="S17" s="33" t="n">
        <f aca="false">(AH17+$E17-AI17)/AI17</f>
        <v>-0.15</v>
      </c>
      <c r="T17" s="13"/>
      <c r="U17" s="135" t="n">
        <f aca="false">(AJ17+E17-AK17)/AK17</f>
        <v>0.462068965517242</v>
      </c>
      <c r="V17" s="102"/>
      <c r="W17" s="18"/>
      <c r="X17" s="40"/>
      <c r="Y17" s="103" t="n">
        <v>0.1</v>
      </c>
      <c r="Z17" s="104" t="n">
        <v>0</v>
      </c>
      <c r="AA17" s="105" t="n">
        <v>1</v>
      </c>
      <c r="AB17" s="106"/>
      <c r="AC17" s="11"/>
      <c r="AD17" s="107" t="n">
        <v>37007</v>
      </c>
      <c r="AE17" s="108" t="n">
        <v>0.2</v>
      </c>
      <c r="AF17" s="109"/>
      <c r="AG17" s="127" t="n">
        <v>5.4</v>
      </c>
      <c r="AH17" s="109" t="n">
        <v>0.2</v>
      </c>
      <c r="AI17" s="127" t="n">
        <v>6</v>
      </c>
      <c r="AJ17" s="109" t="n">
        <f aca="false">0.2*2</f>
        <v>0.4</v>
      </c>
      <c r="AK17" s="108" t="n">
        <v>3.625</v>
      </c>
      <c r="AL17" s="110" t="n">
        <f aca="false">0.5*4+0.28</f>
        <v>2.28</v>
      </c>
      <c r="AM17" s="108" t="n">
        <v>8.0625</v>
      </c>
      <c r="AN17" s="109" t="n">
        <f aca="false">0.5*4</f>
        <v>2</v>
      </c>
      <c r="AO17" s="108" t="n">
        <v>14.4375</v>
      </c>
      <c r="AP17" s="126" t="n">
        <f aca="false">0.5+0.5+0.5+0.5</f>
        <v>2</v>
      </c>
      <c r="AQ17" s="137" t="n">
        <v>16.375</v>
      </c>
      <c r="AR17" s="87"/>
      <c r="AS17" s="88"/>
      <c r="AT17" s="14"/>
      <c r="AU17" s="88"/>
      <c r="AV17" s="88"/>
      <c r="AW17" s="14"/>
      <c r="AX17" s="113"/>
      <c r="AY17" s="114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56</v>
      </c>
      <c r="B18" s="11"/>
      <c r="C18" s="35" t="s">
        <v>57</v>
      </c>
      <c r="D18" s="11"/>
      <c r="E18" s="127" t="n">
        <f aca="false">DDE("REUTER","IDN","KPP")</f>
        <v>38</v>
      </c>
      <c r="F18" s="128"/>
      <c r="G18" s="127" t="n">
        <f aca="false">DDE("REUTER","IDN","KPP,DIVIDEND")</f>
        <v>2.8</v>
      </c>
      <c r="H18" s="13"/>
      <c r="I18" s="67" t="n">
        <f aca="false">+G18/E18</f>
        <v>0.0736842105263158</v>
      </c>
      <c r="J18" s="67"/>
      <c r="K18" s="134" t="n">
        <f aca="false">(+I18-E$27)*10000</f>
        <v>150.972105263158</v>
      </c>
      <c r="L18" s="23"/>
      <c r="M18" s="67" t="n">
        <f aca="false">(I18*AA18)+((I18*(1-AA18))*(1-0.3))</f>
        <v>0.0692631578947368</v>
      </c>
      <c r="N18" s="23"/>
      <c r="O18" s="33" t="n">
        <f aca="false">+G18/Z18</f>
        <v>1.02189781021898</v>
      </c>
      <c r="P18" s="130"/>
      <c r="Q18" s="33" t="n">
        <f aca="false">(AF18+$E18-AG18)/AG18</f>
        <v>0.0734463276836159</v>
      </c>
      <c r="R18" s="130"/>
      <c r="S18" s="33" t="n">
        <f aca="false">(AH18+$E18-AI18)/AI18</f>
        <v>0.132903981264637</v>
      </c>
      <c r="T18" s="13"/>
      <c r="U18" s="135" t="n">
        <f aca="false">(AJ18+E18-AK18)/AK18</f>
        <v>0.255983772819473</v>
      </c>
      <c r="V18" s="102"/>
      <c r="W18" s="18"/>
      <c r="X18" s="40"/>
      <c r="Y18" s="103" t="n">
        <v>2.67</v>
      </c>
      <c r="Z18" s="104" t="n">
        <v>2.74</v>
      </c>
      <c r="AA18" s="105" t="n">
        <v>0.8</v>
      </c>
      <c r="AB18" s="106"/>
      <c r="AC18" s="11"/>
      <c r="AD18" s="107" t="n">
        <v>37007</v>
      </c>
      <c r="AE18" s="108" t="n">
        <v>0.7</v>
      </c>
      <c r="AF18" s="109"/>
      <c r="AG18" s="127" t="n">
        <v>35.4</v>
      </c>
      <c r="AH18" s="109" t="n">
        <v>0.7</v>
      </c>
      <c r="AI18" s="127" t="n">
        <v>34.16</v>
      </c>
      <c r="AJ18" s="109" t="n">
        <v>0.7</v>
      </c>
      <c r="AK18" s="108" t="n">
        <v>30.8125</v>
      </c>
      <c r="AL18" s="110" t="n">
        <f aca="false">0.7*4</f>
        <v>2.8</v>
      </c>
      <c r="AM18" s="108" t="n">
        <v>24.6875</v>
      </c>
      <c r="AN18" s="109" t="n">
        <f aca="false">0.65*2+0.7*2</f>
        <v>2.7</v>
      </c>
      <c r="AO18" s="108" t="n">
        <v>33</v>
      </c>
      <c r="AP18" s="126" t="n">
        <f aca="false">0.65+0.65+0.65+0.65</f>
        <v>2.6</v>
      </c>
      <c r="AQ18" s="137" t="n">
        <v>35.75</v>
      </c>
      <c r="AR18" s="87"/>
      <c r="AS18" s="20"/>
      <c r="AT18" s="20"/>
      <c r="AU18" s="20"/>
      <c r="AV18" s="20"/>
      <c r="AW18" s="14"/>
      <c r="AX18" s="113"/>
      <c r="AY18" s="114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6.25" hidden="false" customHeight="false" outlineLevel="0" collapsed="false">
      <c r="A19" s="10" t="s">
        <v>58</v>
      </c>
      <c r="B19" s="11"/>
      <c r="C19" s="35" t="s">
        <v>59</v>
      </c>
      <c r="D19" s="11"/>
      <c r="E19" s="127" t="n">
        <f aca="false">DDE("REUTER","IDN","KMP")</f>
        <v>70.97</v>
      </c>
      <c r="F19" s="128"/>
      <c r="G19" s="127" t="n">
        <f aca="false">DDE("REUTER","IDN","KMP,DIVIDEND")</f>
        <v>4.2</v>
      </c>
      <c r="H19" s="140"/>
      <c r="I19" s="67" t="n">
        <f aca="false">+G19/E19</f>
        <v>0.0591799351838805</v>
      </c>
      <c r="J19" s="67"/>
      <c r="K19" s="134" t="n">
        <f aca="false">(+I19-E$27)*10000</f>
        <v>5.92935183880518</v>
      </c>
      <c r="L19" s="23"/>
      <c r="M19" s="67" t="n">
        <f aca="false">(I19*AA19)+((I19*(1-AA19))*(1-0.3))</f>
        <v>0.0574045371283641</v>
      </c>
      <c r="N19" s="23"/>
      <c r="O19" s="33" t="n">
        <f aca="false">+G19/Z19</f>
        <v>1.85022026431718</v>
      </c>
      <c r="P19" s="130"/>
      <c r="Q19" s="33" t="n">
        <f aca="false">(AF19+$E19-AG19)/AG19</f>
        <v>-0.0299343903772553</v>
      </c>
      <c r="R19" s="130"/>
      <c r="S19" s="33" t="n">
        <f aca="false">(AH19+$E19-AI19)/AI19</f>
        <v>0.141362916006339</v>
      </c>
      <c r="T19" s="13"/>
      <c r="U19" s="135" t="n">
        <f aca="false">(AJ19+E19-AK19)/AK19</f>
        <v>0.295804661487236</v>
      </c>
      <c r="V19" s="102"/>
      <c r="W19" s="18"/>
      <c r="X19" s="40"/>
      <c r="Y19" s="103" t="n">
        <v>1.81</v>
      </c>
      <c r="Z19" s="104" t="n">
        <v>2.27</v>
      </c>
      <c r="AA19" s="105" t="n">
        <v>0.9</v>
      </c>
      <c r="AB19" s="136"/>
      <c r="AC19" s="11"/>
      <c r="AD19" s="107" t="n">
        <v>37007</v>
      </c>
      <c r="AE19" s="108" t="n">
        <v>1.05</v>
      </c>
      <c r="AF19" s="109"/>
      <c r="AG19" s="127" t="n">
        <v>73.16</v>
      </c>
      <c r="AH19" s="109" t="n">
        <v>1.05</v>
      </c>
      <c r="AI19" s="127" t="n">
        <v>63.1</v>
      </c>
      <c r="AJ19" s="109" t="n">
        <f aca="false">0.95+1.05</f>
        <v>2</v>
      </c>
      <c r="AK19" s="108" t="n">
        <v>56.3125</v>
      </c>
      <c r="AL19" s="110" t="n">
        <f aca="false">0.725+0.775+0.85*2</f>
        <v>3.2</v>
      </c>
      <c r="AM19" s="108" t="n">
        <v>41.4375</v>
      </c>
      <c r="AN19" s="109" t="n">
        <f aca="false">0.65+0.7*2+0.725</f>
        <v>2.775</v>
      </c>
      <c r="AO19" s="108" t="n">
        <v>36.25</v>
      </c>
      <c r="AP19" s="126" t="n">
        <f aca="false">0.5625+0.5625+0.63+0.63</f>
        <v>2.385</v>
      </c>
      <c r="AQ19" s="137" t="n">
        <v>33.875</v>
      </c>
      <c r="AR19" s="87"/>
      <c r="AS19" s="20"/>
      <c r="AT19" s="14"/>
      <c r="AU19" s="14"/>
      <c r="AV19" s="14"/>
      <c r="AW19" s="14"/>
      <c r="AX19" s="14"/>
      <c r="AY19" s="114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3.25" hidden="false" customHeight="false" outlineLevel="0" collapsed="false">
      <c r="A20" s="10" t="s">
        <v>60</v>
      </c>
      <c r="B20" s="11"/>
      <c r="C20" s="35" t="s">
        <v>61</v>
      </c>
      <c r="D20" s="11"/>
      <c r="E20" s="127" t="n">
        <f aca="false">DDE("REUTER","IDN","LHP")</f>
        <v>45.18</v>
      </c>
      <c r="F20" s="128"/>
      <c r="G20" s="127" t="n">
        <f aca="false">DDE("REUTER","IDN","LHP,DIVIDEND")</f>
        <v>3.5</v>
      </c>
      <c r="H20" s="13"/>
      <c r="I20" s="67" t="n">
        <f aca="false">+G20/E20</f>
        <v>0.0774679061531651</v>
      </c>
      <c r="J20" s="67"/>
      <c r="K20" s="134" t="n">
        <f aca="false">(+I20-E$27)*10000</f>
        <v>188.809061531651</v>
      </c>
      <c r="L20" s="23"/>
      <c r="M20" s="67" t="n">
        <f aca="false">(I20*AA20)+((I20*(1-AA20))*(1-0.3))</f>
        <v>0.0763058875608677</v>
      </c>
      <c r="N20" s="23"/>
      <c r="O20" s="33" t="n">
        <f aca="false">+G20/Z20</f>
        <v>1.4957264957265</v>
      </c>
      <c r="P20" s="130"/>
      <c r="Q20" s="33" t="n">
        <f aca="false">(AF20+$E20-AG20)/AG20</f>
        <v>-0.0135371179039301</v>
      </c>
      <c r="R20" s="130"/>
      <c r="S20" s="33" t="n">
        <f aca="false">(AH20+$E20-AI20)/AI20</f>
        <v>0.0455164585698071</v>
      </c>
      <c r="T20" s="13"/>
      <c r="U20" s="135" t="n">
        <f aca="false">(AJ20+E20-AK20)/AK20</f>
        <v>0.13769696969697</v>
      </c>
      <c r="V20" s="102"/>
      <c r="W20" s="18"/>
      <c r="X20" s="40"/>
      <c r="Y20" s="103" t="n">
        <v>2.26</v>
      </c>
      <c r="Z20" s="104" t="n">
        <v>2.34</v>
      </c>
      <c r="AA20" s="105" t="n">
        <v>0.95</v>
      </c>
      <c r="AB20" s="106"/>
      <c r="AC20" s="11"/>
      <c r="AD20" s="107" t="n">
        <v>37007</v>
      </c>
      <c r="AE20" s="108" t="n">
        <v>0.875</v>
      </c>
      <c r="AF20" s="109"/>
      <c r="AG20" s="127" t="n">
        <v>45.8</v>
      </c>
      <c r="AH20" s="109" t="n">
        <v>0.875</v>
      </c>
      <c r="AI20" s="127" t="n">
        <v>44.05</v>
      </c>
      <c r="AJ20" s="109" t="n">
        <f aca="false">0.875*2</f>
        <v>1.75</v>
      </c>
      <c r="AK20" s="108" t="n">
        <v>41.25</v>
      </c>
      <c r="AL20" s="110" t="n">
        <f aca="false">0.875*4</f>
        <v>3.5</v>
      </c>
      <c r="AM20" s="108" t="n">
        <v>34.8125</v>
      </c>
      <c r="AN20" s="109" t="n">
        <f aca="false">0.875*4</f>
        <v>3.5</v>
      </c>
      <c r="AO20" s="108" t="n">
        <v>48.5</v>
      </c>
      <c r="AP20" s="126" t="n">
        <f aca="false">0.78+0.86+0.86+0.86</f>
        <v>3.36</v>
      </c>
      <c r="AQ20" s="137" t="n">
        <v>43.6875</v>
      </c>
      <c r="AR20" s="87"/>
      <c r="AS20" s="88"/>
      <c r="AT20" s="88"/>
      <c r="AU20" s="88"/>
      <c r="AV20" s="88"/>
      <c r="AW20" s="14"/>
      <c r="AX20" s="113"/>
      <c r="AY20" s="114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6.25" hidden="false" customHeight="false" outlineLevel="0" collapsed="false">
      <c r="A21" s="10" t="s">
        <v>62</v>
      </c>
      <c r="B21" s="11"/>
      <c r="C21" s="35" t="s">
        <v>63</v>
      </c>
      <c r="D21" s="11"/>
      <c r="E21" s="127" t="n">
        <f aca="false">DDE("REUTER","IDN","PAA")</f>
        <v>26.05</v>
      </c>
      <c r="F21" s="128"/>
      <c r="G21" s="127" t="n">
        <f aca="false">DDE("REUTER","IDN","PAA,DIVIDEND")</f>
        <v>1.9</v>
      </c>
      <c r="H21" s="140"/>
      <c r="I21" s="67" t="n">
        <f aca="false">+G21/E21</f>
        <v>0.072936660268714</v>
      </c>
      <c r="J21" s="67"/>
      <c r="K21" s="134" t="n">
        <f aca="false">(+I21-E$27)*10000</f>
        <v>143.49660268714</v>
      </c>
      <c r="L21" s="23"/>
      <c r="M21" s="67" t="n">
        <f aca="false">(I21*AA21)+((I21*(1-AA21))*(1-0.3))</f>
        <v>0.0663723608445297</v>
      </c>
      <c r="N21" s="23"/>
      <c r="O21" s="33" t="n">
        <f aca="false">+G21/Z21</f>
        <v>1.04972375690608</v>
      </c>
      <c r="P21" s="130"/>
      <c r="Q21" s="33" t="n">
        <f aca="false">(AF21+$E21-AG21)/AG21</f>
        <v>-0.0475319926873858</v>
      </c>
      <c r="R21" s="130"/>
      <c r="S21" s="33" t="n">
        <f aca="false">(AH21+$E21-AI21)/AI21</f>
        <v>0.189461883408072</v>
      </c>
      <c r="T21" s="13"/>
      <c r="U21" s="135" t="n">
        <f aca="false">(AJ21+E21-AK21)/AK21</f>
        <v>0.411137254901961</v>
      </c>
      <c r="V21" s="102"/>
      <c r="W21" s="18"/>
      <c r="X21" s="40"/>
      <c r="Y21" s="103" t="n">
        <v>1.63</v>
      </c>
      <c r="Z21" s="104" t="n">
        <v>1.81</v>
      </c>
      <c r="AA21" s="105" t="n">
        <v>0.7</v>
      </c>
      <c r="AB21" s="106"/>
      <c r="AC21" s="11"/>
      <c r="AD21" s="107" t="n">
        <v>37012</v>
      </c>
      <c r="AE21" s="108" t="n">
        <v>0.475</v>
      </c>
      <c r="AF21" s="109"/>
      <c r="AG21" s="127" t="n">
        <v>27.35</v>
      </c>
      <c r="AH21" s="109" t="n">
        <v>0.475</v>
      </c>
      <c r="AI21" s="127" t="n">
        <v>22.3</v>
      </c>
      <c r="AJ21" s="109" t="n">
        <f aca="false">0.463+0.475</f>
        <v>0.938</v>
      </c>
      <c r="AK21" s="108" t="n">
        <v>19.125</v>
      </c>
      <c r="AL21" s="110" t="n">
        <f aca="false">0.45*2+0.4625*2</f>
        <v>1.825</v>
      </c>
      <c r="AM21" s="108" t="n">
        <v>13</v>
      </c>
      <c r="AN21" s="109" t="n">
        <f aca="false">0.193+0.45+0.463+0.48125</f>
        <v>1.58725</v>
      </c>
      <c r="AO21" s="108" t="n">
        <v>17.3125</v>
      </c>
      <c r="AP21" s="126" t="s">
        <v>64</v>
      </c>
      <c r="AQ21" s="141" t="s">
        <v>64</v>
      </c>
      <c r="AR21" s="87"/>
      <c r="AS21" s="142"/>
      <c r="AT21" s="88"/>
      <c r="AU21" s="88"/>
      <c r="AV21" s="88"/>
      <c r="AW21" s="14"/>
      <c r="AX21" s="113"/>
      <c r="AY21" s="114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3.25" hidden="false" customHeight="false" outlineLevel="0" collapsed="false">
      <c r="A22" s="10" t="s">
        <v>65</v>
      </c>
      <c r="B22" s="11"/>
      <c r="C22" s="35" t="s">
        <v>66</v>
      </c>
      <c r="D22" s="11"/>
      <c r="E22" s="127" t="n">
        <f aca="false">DDE("REUTER","IDN","TCLPZ.O")</f>
        <v>23.35</v>
      </c>
      <c r="F22" s="128"/>
      <c r="G22" s="127" t="n">
        <f aca="false">DDE("REUTER","IDN","TCLPZ.O,DIVIDEND")</f>
        <v>1.9</v>
      </c>
      <c r="H22" s="13"/>
      <c r="I22" s="67" t="n">
        <f aca="false">+G22/E22</f>
        <v>0.0813704496788009</v>
      </c>
      <c r="J22" s="67"/>
      <c r="K22" s="134" t="n">
        <f aca="false">(+I22-E$27)*10000</f>
        <v>227.834496788008</v>
      </c>
      <c r="L22" s="23"/>
      <c r="M22" s="67" t="n">
        <f aca="false">(I22*AA22)+((I22*(1-AA22))*(1-0.3))</f>
        <v>0.0801498929336188</v>
      </c>
      <c r="N22" s="23"/>
      <c r="O22" s="33" t="n">
        <f aca="false">+G22/Z22</f>
        <v>0.875576036866359</v>
      </c>
      <c r="P22" s="130"/>
      <c r="Q22" s="33" t="n">
        <f aca="false">(AF22+$E22-AG22)/AG22</f>
        <v>-0.0147679324894514</v>
      </c>
      <c r="R22" s="130"/>
      <c r="S22" s="33" t="n">
        <f aca="false">(AH22+$E22-AI22)/AI22</f>
        <v>0.0707865168539327</v>
      </c>
      <c r="T22" s="13"/>
      <c r="U22" s="135" t="n">
        <f aca="false">(AJ22+E22-AK22)/AK22</f>
        <v>0.262337662337662</v>
      </c>
      <c r="V22" s="102"/>
      <c r="W22" s="18"/>
      <c r="X22" s="40"/>
      <c r="Y22" s="103" t="n">
        <v>2.14</v>
      </c>
      <c r="Z22" s="104" t="n">
        <v>2.17</v>
      </c>
      <c r="AA22" s="105" t="n">
        <v>0.95</v>
      </c>
      <c r="AB22" s="106"/>
      <c r="AC22" s="11"/>
      <c r="AD22" s="107" t="n">
        <v>37007</v>
      </c>
      <c r="AE22" s="108" t="n">
        <v>0.475</v>
      </c>
      <c r="AF22" s="109"/>
      <c r="AG22" s="143" t="n">
        <v>23.7</v>
      </c>
      <c r="AH22" s="109" t="n">
        <v>0.475</v>
      </c>
      <c r="AI22" s="143" t="n">
        <v>22.25</v>
      </c>
      <c r="AJ22" s="109" t="n">
        <f aca="false">0.475*2</f>
        <v>0.95</v>
      </c>
      <c r="AK22" s="108" t="n">
        <v>19.25</v>
      </c>
      <c r="AL22" s="110" t="n">
        <f aca="false">0.45*4</f>
        <v>1.8</v>
      </c>
      <c r="AM22" s="108" t="n">
        <v>14.25</v>
      </c>
      <c r="AN22" s="109" t="n">
        <f aca="false">0.168+0.45</f>
        <v>0.618</v>
      </c>
      <c r="AO22" s="108" t="s">
        <v>64</v>
      </c>
      <c r="AP22" s="126"/>
      <c r="AQ22" s="141"/>
      <c r="AR22" s="87"/>
      <c r="AS22" s="142"/>
      <c r="AT22" s="88"/>
      <c r="AU22" s="88"/>
      <c r="AV22" s="88"/>
      <c r="AW22" s="14"/>
      <c r="AX22" s="113"/>
      <c r="AY22" s="114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67</v>
      </c>
      <c r="B23" s="11"/>
      <c r="C23" s="35" t="s">
        <v>68</v>
      </c>
      <c r="D23" s="11"/>
      <c r="E23" s="127" t="n">
        <f aca="false">DDE("REUTER","IDN","TPP")</f>
        <v>28.9</v>
      </c>
      <c r="F23" s="128"/>
      <c r="G23" s="127" t="n">
        <f aca="false">DDE("REUTER","IDN","TPP,DIVIDEND")</f>
        <v>2.1</v>
      </c>
      <c r="H23" s="13"/>
      <c r="I23" s="67" t="n">
        <f aca="false">+G23/E23</f>
        <v>0.0726643598615917</v>
      </c>
      <c r="J23" s="67"/>
      <c r="K23" s="134" t="n">
        <f aca="false">(+I23-E$27)*10000</f>
        <v>140.773598615917</v>
      </c>
      <c r="L23" s="23"/>
      <c r="M23" s="67" t="n">
        <f aca="false">(I23*AA23)+((I23*(1-AA23))*(1-0.3))</f>
        <v>0.0661245674740485</v>
      </c>
      <c r="N23" s="23"/>
      <c r="O23" s="33" t="n">
        <f aca="false">+G23/Z23</f>
        <v>1.00478468899522</v>
      </c>
      <c r="P23" s="130"/>
      <c r="Q23" s="33" t="n">
        <f aca="false">(AF23+$E23-AG23)/AG23</f>
        <v>0.0140350877192982</v>
      </c>
      <c r="R23" s="130"/>
      <c r="S23" s="33" t="n">
        <f aca="false">(AH23+$E23-AI23)/AI23</f>
        <v>0.123091603053435</v>
      </c>
      <c r="T23" s="13"/>
      <c r="U23" s="135" t="n">
        <f aca="false">(AJ23+E23-AK23)/AK23</f>
        <v>0.219338422391857</v>
      </c>
      <c r="V23" s="102"/>
      <c r="W23" s="18"/>
      <c r="X23" s="40"/>
      <c r="Y23" s="103" t="n">
        <v>1.98</v>
      </c>
      <c r="Z23" s="104" t="n">
        <v>2.09</v>
      </c>
      <c r="AA23" s="105" t="n">
        <v>0.7</v>
      </c>
      <c r="AB23" s="106"/>
      <c r="AC23" s="11"/>
      <c r="AD23" s="107" t="n">
        <v>37007</v>
      </c>
      <c r="AE23" s="108" t="n">
        <v>0.525</v>
      </c>
      <c r="AF23" s="109"/>
      <c r="AG23" s="127" t="n">
        <v>28.5</v>
      </c>
      <c r="AH23" s="109" t="n">
        <v>0.525</v>
      </c>
      <c r="AI23" s="127" t="n">
        <v>26.2</v>
      </c>
      <c r="AJ23" s="109" t="n">
        <f aca="false">0.525*2</f>
        <v>1.05</v>
      </c>
      <c r="AK23" s="108" t="n">
        <v>24.5625</v>
      </c>
      <c r="AL23" s="110" t="n">
        <f aca="false">0.475+0.5+0.5+0.525</f>
        <v>2</v>
      </c>
      <c r="AM23" s="108" t="n">
        <v>19.3125</v>
      </c>
      <c r="AN23" s="109" t="n">
        <f aca="false">0.45*2+0.475*2</f>
        <v>1.85</v>
      </c>
      <c r="AO23" s="108" t="n">
        <v>24.5625</v>
      </c>
      <c r="AP23" s="126" t="n">
        <f aca="false">(0.85+0.85+0.9)/2+0.45</f>
        <v>1.75</v>
      </c>
      <c r="AQ23" s="137" t="n">
        <f aca="false">52.6875/2</f>
        <v>26.34375</v>
      </c>
      <c r="AR23" s="87"/>
      <c r="AS23" s="20"/>
      <c r="AT23" s="20"/>
      <c r="AU23" s="20"/>
      <c r="AV23" s="20"/>
      <c r="AW23" s="20"/>
      <c r="AX23" s="113"/>
      <c r="AY23" s="114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4" hidden="false" customHeight="false" outlineLevel="0" collapsed="false">
      <c r="A24" s="11"/>
      <c r="B24" s="11"/>
      <c r="C24" s="12"/>
      <c r="D24" s="11"/>
      <c r="E24" s="11"/>
      <c r="F24" s="11"/>
      <c r="G24" s="13"/>
      <c r="H24" s="13"/>
      <c r="I24" s="15"/>
      <c r="J24" s="15"/>
      <c r="K24" s="129"/>
      <c r="L24" s="23"/>
      <c r="M24" s="15"/>
      <c r="N24" s="23"/>
      <c r="O24" s="33"/>
      <c r="P24" s="130"/>
      <c r="Q24" s="33"/>
      <c r="R24" s="130"/>
      <c r="S24" s="33"/>
      <c r="T24" s="13"/>
      <c r="U24" s="12"/>
      <c r="V24" s="18"/>
      <c r="W24" s="18"/>
      <c r="X24" s="40"/>
      <c r="Y24" s="80"/>
      <c r="Z24" s="81"/>
      <c r="AA24" s="144"/>
      <c r="AB24" s="145"/>
      <c r="AC24" s="22"/>
      <c r="AD24" s="29"/>
      <c r="AE24" s="146"/>
      <c r="AF24" s="19"/>
      <c r="AG24" s="14"/>
      <c r="AH24" s="19"/>
      <c r="AI24" s="14"/>
      <c r="AJ24" s="29"/>
      <c r="AK24" s="86"/>
      <c r="AL24" s="147"/>
      <c r="AM24" s="86"/>
      <c r="AN24" s="147"/>
      <c r="AO24" s="86"/>
      <c r="AP24" s="148"/>
      <c r="AQ24" s="149"/>
      <c r="AR24" s="20"/>
      <c r="AS24" s="20"/>
      <c r="AT24" s="20"/>
      <c r="AU24" s="20"/>
      <c r="AV24" s="20"/>
      <c r="AW24" s="20"/>
      <c r="AX24" s="113"/>
      <c r="AY24" s="113"/>
      <c r="AZ24" s="114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4" hidden="false" customHeight="false" outlineLevel="0" collapsed="false">
      <c r="A25" s="150" t="s">
        <v>69</v>
      </c>
      <c r="B25" s="151"/>
      <c r="C25" s="152"/>
      <c r="D25" s="151"/>
      <c r="E25" s="153"/>
      <c r="F25" s="153"/>
      <c r="G25" s="154"/>
      <c r="H25" s="155"/>
      <c r="I25" s="156" t="n">
        <f aca="false">AVERAGEA(I13:I23)</f>
        <v>0.08376415994789</v>
      </c>
      <c r="J25" s="156"/>
      <c r="K25" s="157" t="n">
        <f aca="false">(+I25-E$27)*10000</f>
        <v>251.7715994789</v>
      </c>
      <c r="L25" s="152"/>
      <c r="M25" s="156" t="n">
        <f aca="false">AVERAGEA(M13:M23)</f>
        <v>0.0804431965985052</v>
      </c>
      <c r="N25" s="152"/>
      <c r="O25" s="158" t="n">
        <f aca="false">AVERAGEA(O13:O23)</f>
        <v>1.54497222212631</v>
      </c>
      <c r="P25" s="159"/>
      <c r="Q25" s="158" t="n">
        <f aca="false">AVERAGEA(Q13:Q23)</f>
        <v>0.000705017397089577</v>
      </c>
      <c r="R25" s="159"/>
      <c r="S25" s="158" t="n">
        <f aca="false">AVERAGEA(S13:S23)</f>
        <v>0.116419417401979</v>
      </c>
      <c r="T25" s="155"/>
      <c r="U25" s="160" t="n">
        <f aca="false">AVERAGEA(U13:U23)</f>
        <v>0.343033822071002</v>
      </c>
      <c r="V25" s="18"/>
      <c r="W25" s="18"/>
      <c r="X25" s="40"/>
      <c r="Y25" s="161"/>
      <c r="Z25" s="162"/>
      <c r="AA25" s="163"/>
      <c r="AB25" s="164"/>
      <c r="AC25" s="165"/>
      <c r="AD25" s="166"/>
      <c r="AE25" s="167"/>
      <c r="AF25" s="168"/>
      <c r="AG25" s="169"/>
      <c r="AH25" s="168"/>
      <c r="AI25" s="169"/>
      <c r="AJ25" s="170"/>
      <c r="AK25" s="167"/>
      <c r="AL25" s="171"/>
      <c r="AM25" s="167"/>
      <c r="AN25" s="171"/>
      <c r="AO25" s="167"/>
      <c r="AP25" s="172"/>
      <c r="AQ25" s="173"/>
      <c r="AR25" s="20"/>
      <c r="AS25" s="20"/>
      <c r="AT25" s="20"/>
      <c r="AU25" s="20"/>
      <c r="AV25" s="20"/>
      <c r="AW25" s="20"/>
      <c r="AX25" s="14"/>
      <c r="AY25" s="14"/>
      <c r="AZ25" s="114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3.25" hidden="false" customHeight="false" outlineLevel="0" collapsed="false">
      <c r="A26" s="11"/>
      <c r="B26" s="11"/>
      <c r="C26" s="12"/>
      <c r="D26" s="11"/>
      <c r="E26" s="174" t="n">
        <f aca="false">PV(E27/2,(58-((+VALUE($AG$6+7)-VALUE($AT$27))/(365/2))),-$AK$27*100/2,-100,0)</f>
        <v>94.5786417447873</v>
      </c>
      <c r="F26" s="11"/>
      <c r="G26" s="13"/>
      <c r="H26" s="13"/>
      <c r="I26" s="15"/>
      <c r="J26" s="15"/>
      <c r="K26" s="24"/>
      <c r="L26" s="23"/>
      <c r="M26" s="15"/>
      <c r="N26" s="23"/>
      <c r="O26" s="33"/>
      <c r="P26" s="130"/>
      <c r="Q26" s="33"/>
      <c r="R26" s="130"/>
      <c r="S26" s="33"/>
      <c r="T26" s="13"/>
      <c r="U26" s="11"/>
      <c r="V26" s="18"/>
      <c r="W26" s="18"/>
      <c r="X26" s="40"/>
      <c r="Y26" s="40"/>
      <c r="Z26" s="40"/>
      <c r="AA26" s="40"/>
      <c r="AB26" s="40"/>
      <c r="AC26" s="11"/>
      <c r="AD26" s="29"/>
      <c r="AE26" s="19"/>
      <c r="AF26" s="28"/>
      <c r="AG26" s="174" t="n">
        <v>95.7465245528994</v>
      </c>
      <c r="AH26" s="23"/>
      <c r="AI26" s="174" t="n">
        <v>100.156467010818</v>
      </c>
      <c r="AJ26" s="23"/>
      <c r="AK26" s="174" t="n">
        <f aca="false">PV(AK27/2,60,-$AK$27*100/2,-100,0)</f>
        <v>100</v>
      </c>
      <c r="AL26" s="23" t="n">
        <f aca="false">+AM27*100</f>
        <v>6.482</v>
      </c>
      <c r="AM26" s="174" t="n">
        <f aca="false">PV(AM27/2,60,-$AM$27*100/2,-100,0)</f>
        <v>100</v>
      </c>
      <c r="AN26" s="23" t="n">
        <f aca="false">+AO27*100</f>
        <v>5.1</v>
      </c>
      <c r="AO26" s="174" t="n">
        <v>100</v>
      </c>
      <c r="AP26" s="174"/>
      <c r="AQ26" s="174"/>
      <c r="AR26" s="175" t="s">
        <v>70</v>
      </c>
      <c r="AS26" s="176"/>
      <c r="AT26" s="177"/>
      <c r="AU26" s="14"/>
      <c r="AV26" s="20"/>
      <c r="AW26" s="14"/>
      <c r="AX26" s="14"/>
      <c r="AY26" s="14"/>
      <c r="AZ26" s="14"/>
      <c r="BA26" s="138"/>
      <c r="BB26" s="114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3.25" hidden="false" customHeight="true" outlineLevel="0" collapsed="false">
      <c r="A27" s="10" t="s">
        <v>71</v>
      </c>
      <c r="B27" s="11"/>
      <c r="C27" s="12"/>
      <c r="D27" s="11"/>
      <c r="E27" s="178" t="n">
        <f aca="false">DDE("REUTER","IDN","US30YT=RR,RT YIELD 1")/100</f>
        <v>0.058587</v>
      </c>
      <c r="F27" s="11"/>
      <c r="G27" s="179"/>
      <c r="H27" s="13"/>
      <c r="I27" s="22"/>
      <c r="J27" s="178"/>
      <c r="K27" s="129"/>
      <c r="L27" s="23"/>
      <c r="M27" s="67" t="n">
        <f aca="false">(E27*AA27)+((E27*(1-AA27))*(1-0.3))</f>
        <v>0.0410109</v>
      </c>
      <c r="N27" s="23"/>
      <c r="O27" s="33"/>
      <c r="P27" s="130"/>
      <c r="Q27" s="33" t="n">
        <f aca="false">(AF26+$E26-AG26)/AG26</f>
        <v>-0.0121976522235734</v>
      </c>
      <c r="R27" s="130"/>
      <c r="S27" s="33" t="n">
        <f aca="false">(AH26+$E26-AI26)/AI26</f>
        <v>-0.055691114438256</v>
      </c>
      <c r="T27" s="13"/>
      <c r="U27" s="135" t="n">
        <f aca="false">(AJ26+E26-AK26)/AK26</f>
        <v>-0.054213582552127</v>
      </c>
      <c r="V27" s="18"/>
      <c r="W27" s="18"/>
      <c r="X27" s="40"/>
      <c r="Y27" s="40"/>
      <c r="Z27" s="40"/>
      <c r="AA27" s="40"/>
      <c r="AB27" s="40"/>
      <c r="AC27" s="20"/>
      <c r="AD27" s="180"/>
      <c r="AE27" s="180"/>
      <c r="AF27" s="180"/>
      <c r="AG27" s="178" t="n">
        <v>0.0577</v>
      </c>
      <c r="AH27" s="181"/>
      <c r="AI27" s="178" t="n">
        <v>0.054491</v>
      </c>
      <c r="AJ27" s="181"/>
      <c r="AK27" s="178" t="n">
        <v>0.054601</v>
      </c>
      <c r="AL27" s="181"/>
      <c r="AM27" s="178" t="n">
        <v>0.06482</v>
      </c>
      <c r="AN27" s="182"/>
      <c r="AO27" s="182" t="n">
        <v>0.051</v>
      </c>
      <c r="AP27" s="180"/>
      <c r="AQ27" s="180"/>
      <c r="AR27" s="183" t="s">
        <v>72</v>
      </c>
      <c r="AS27" s="180"/>
      <c r="AT27" s="184" t="n">
        <v>36525</v>
      </c>
      <c r="AU27" s="14"/>
      <c r="AV27" s="20"/>
      <c r="AW27" s="14"/>
      <c r="AX27" s="14"/>
      <c r="AY27" s="14"/>
      <c r="AZ27" s="14"/>
      <c r="BA27" s="14"/>
      <c r="BB27" s="114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0.1" hidden="false" customHeight="true" outlineLevel="0" collapsed="false">
      <c r="A28" s="10"/>
      <c r="B28" s="185"/>
      <c r="C28" s="186"/>
      <c r="D28" s="185"/>
      <c r="E28" s="2" t="s">
        <v>26</v>
      </c>
      <c r="F28" s="187"/>
      <c r="G28" s="188"/>
      <c r="H28" s="188"/>
      <c r="I28" s="189"/>
      <c r="J28" s="189"/>
      <c r="K28" s="190"/>
      <c r="L28" s="188"/>
      <c r="M28" s="189"/>
      <c r="N28" s="188"/>
      <c r="O28" s="191"/>
      <c r="P28" s="191"/>
      <c r="Q28" s="192" t="s">
        <v>73</v>
      </c>
      <c r="S28" s="192" t="s">
        <v>73</v>
      </c>
      <c r="U28" s="192" t="s">
        <v>73</v>
      </c>
      <c r="V28" s="193"/>
      <c r="W28" s="194"/>
      <c r="X28" s="194"/>
      <c r="Y28" s="194"/>
      <c r="Z28" s="194"/>
      <c r="AA28" s="194"/>
      <c r="AB28" s="194"/>
      <c r="AC28" s="194"/>
      <c r="AD28" s="194"/>
      <c r="AE28" s="194"/>
      <c r="AF28" s="174"/>
      <c r="AG28" s="9" t="s">
        <v>26</v>
      </c>
      <c r="AM28" s="23"/>
      <c r="AN28" s="23"/>
      <c r="AO28" s="23"/>
      <c r="AU28" s="177"/>
      <c r="AV28" s="195"/>
      <c r="AW28" s="177"/>
      <c r="AX28" s="177"/>
      <c r="AY28" s="177"/>
      <c r="AZ28" s="177"/>
      <c r="BA28" s="177"/>
    </row>
    <row r="29" customFormat="false" ht="19.5" hidden="true" customHeight="true" outlineLevel="0" collapsed="false">
      <c r="A29" s="196" t="s">
        <v>74</v>
      </c>
      <c r="B29" s="185"/>
      <c r="C29" s="186"/>
      <c r="D29" s="185"/>
      <c r="E29" s="187"/>
      <c r="F29" s="187"/>
      <c r="G29" s="188"/>
      <c r="H29" s="188"/>
      <c r="I29" s="189"/>
      <c r="J29" s="189"/>
      <c r="K29" s="190"/>
      <c r="L29" s="188"/>
      <c r="M29" s="189"/>
      <c r="N29" s="188"/>
      <c r="O29" s="191"/>
      <c r="P29" s="191"/>
      <c r="Q29" s="191"/>
      <c r="R29" s="191"/>
      <c r="S29" s="191"/>
      <c r="T29" s="188"/>
      <c r="U29" s="187"/>
      <c r="V29" s="193"/>
      <c r="W29" s="194"/>
      <c r="X29" s="194"/>
      <c r="Y29" s="194"/>
      <c r="Z29" s="194"/>
      <c r="AA29" s="194"/>
      <c r="AB29" s="194"/>
      <c r="AC29" s="194"/>
      <c r="AD29" s="194"/>
      <c r="AE29" s="19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6"/>
      <c r="AS29" s="176"/>
      <c r="AT29" s="177"/>
      <c r="AU29" s="177"/>
      <c r="AV29" s="195"/>
      <c r="AW29" s="177"/>
      <c r="AX29" s="177"/>
      <c r="AY29" s="177"/>
      <c r="AZ29" s="177"/>
      <c r="BA29" s="177"/>
    </row>
    <row r="30" customFormat="false" ht="19.5" hidden="false" customHeight="true" outlineLevel="0" collapsed="false">
      <c r="A30" s="196"/>
      <c r="B30" s="185"/>
      <c r="C30" s="186"/>
      <c r="D30" s="185"/>
      <c r="E30" s="197"/>
      <c r="F30" s="187"/>
      <c r="G30" s="188"/>
      <c r="H30" s="188"/>
      <c r="I30" s="189"/>
      <c r="J30" s="189"/>
      <c r="K30" s="190"/>
      <c r="L30" s="188"/>
      <c r="M30" s="189"/>
      <c r="N30" s="188"/>
      <c r="O30" s="191"/>
      <c r="P30" s="191"/>
      <c r="Q30" s="191"/>
      <c r="R30" s="191"/>
      <c r="S30" s="191"/>
      <c r="T30" s="188"/>
      <c r="U30" s="187"/>
      <c r="V30" s="193"/>
      <c r="W30" s="194"/>
      <c r="X30" s="194"/>
      <c r="Y30" s="194"/>
      <c r="Z30" s="194"/>
      <c r="AA30" s="194"/>
      <c r="AB30" s="194"/>
      <c r="AC30" s="194"/>
      <c r="AD30" s="194"/>
      <c r="AE30" s="194"/>
      <c r="AF30" s="174"/>
      <c r="AJ30" s="198"/>
      <c r="AK30" s="198"/>
      <c r="AL30" s="174"/>
      <c r="AM30" s="174"/>
      <c r="AN30" s="174"/>
      <c r="AO30" s="174"/>
      <c r="AP30" s="174"/>
      <c r="AQ30" s="174"/>
      <c r="AR30" s="176"/>
      <c r="AS30" s="176"/>
      <c r="AT30" s="177"/>
      <c r="AU30" s="177"/>
      <c r="AV30" s="195"/>
      <c r="AW30" s="177"/>
      <c r="AX30" s="177"/>
      <c r="AY30" s="177"/>
      <c r="AZ30" s="177"/>
      <c r="BA30" s="177"/>
    </row>
    <row r="31" customFormat="false" ht="26.25" hidden="false" customHeight="false" outlineLevel="0" collapsed="false">
      <c r="A31" s="199" t="s">
        <v>75</v>
      </c>
      <c r="B31" s="200"/>
      <c r="C31" s="201"/>
      <c r="D31" s="200"/>
      <c r="E31" s="127"/>
      <c r="F31" s="202"/>
      <c r="G31" s="203"/>
      <c r="H31" s="203"/>
      <c r="I31" s="204"/>
      <c r="J31" s="204"/>
      <c r="K31" s="205"/>
      <c r="L31" s="203"/>
      <c r="M31" s="204"/>
      <c r="N31" s="203"/>
      <c r="O31" s="206"/>
      <c r="P31" s="206"/>
      <c r="Q31" s="206"/>
      <c r="R31" s="206"/>
      <c r="S31" s="206"/>
      <c r="T31" s="203"/>
      <c r="U31" s="202"/>
      <c r="V31" s="207"/>
      <c r="W31" s="208"/>
      <c r="X31" s="208"/>
      <c r="Y31" s="208"/>
      <c r="Z31" s="208"/>
      <c r="AA31" s="208"/>
      <c r="AB31" s="208"/>
      <c r="AC31" s="208"/>
      <c r="AD31" s="208"/>
      <c r="AE31" s="209"/>
      <c r="AF31" s="174"/>
      <c r="AG31" s="174"/>
      <c r="AH31" s="174"/>
      <c r="AI31" s="210"/>
      <c r="AJ31" s="210"/>
      <c r="AK31" s="210"/>
      <c r="AL31" s="174"/>
      <c r="AM31" s="174"/>
      <c r="AN31" s="174"/>
      <c r="AO31" s="174"/>
      <c r="AP31" s="174"/>
      <c r="AQ31" s="174"/>
      <c r="AR31" s="211"/>
      <c r="AS31" s="211"/>
      <c r="AT31" s="212"/>
      <c r="AU31" s="212"/>
      <c r="AV31" s="213"/>
      <c r="AW31" s="212"/>
      <c r="AX31" s="212"/>
      <c r="AY31" s="212"/>
      <c r="AZ31" s="212"/>
      <c r="BA31" s="212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10"/>
      <c r="CF31" s="210"/>
      <c r="CG31" s="210"/>
      <c r="CH31" s="210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0"/>
      <c r="EF31" s="210"/>
      <c r="EG31" s="210"/>
      <c r="EH31" s="210"/>
      <c r="EI31" s="210"/>
      <c r="EJ31" s="210"/>
      <c r="EK31" s="210"/>
      <c r="EL31" s="210"/>
      <c r="EM31" s="210"/>
      <c r="EN31" s="210"/>
      <c r="EO31" s="210"/>
      <c r="EP31" s="210"/>
      <c r="EQ31" s="210"/>
      <c r="ER31" s="210"/>
      <c r="ES31" s="210"/>
      <c r="ET31" s="210"/>
      <c r="EU31" s="210"/>
      <c r="EV31" s="210"/>
      <c r="EW31" s="210"/>
      <c r="EX31" s="210"/>
      <c r="EY31" s="210"/>
      <c r="EZ31" s="210"/>
      <c r="FA31" s="210"/>
      <c r="FB31" s="210"/>
      <c r="FC31" s="210"/>
      <c r="FD31" s="210"/>
      <c r="FE31" s="210"/>
      <c r="FF31" s="210"/>
      <c r="FG31" s="210"/>
      <c r="FH31" s="210"/>
      <c r="FI31" s="210"/>
      <c r="FJ31" s="210"/>
      <c r="FK31" s="210"/>
      <c r="FL31" s="210"/>
      <c r="FM31" s="210"/>
      <c r="FN31" s="210"/>
      <c r="FO31" s="210"/>
      <c r="FP31" s="210"/>
      <c r="FQ31" s="210"/>
      <c r="FR31" s="210"/>
      <c r="FS31" s="210"/>
      <c r="FT31" s="210"/>
      <c r="FU31" s="210"/>
      <c r="FV31" s="210"/>
      <c r="FW31" s="210"/>
      <c r="FX31" s="210"/>
      <c r="FY31" s="210"/>
      <c r="FZ31" s="210"/>
      <c r="GA31" s="210"/>
      <c r="GB31" s="210"/>
      <c r="GC31" s="210"/>
      <c r="GD31" s="210"/>
      <c r="GE31" s="210"/>
      <c r="GF31" s="210"/>
      <c r="GG31" s="210"/>
      <c r="GH31" s="210"/>
      <c r="GI31" s="210"/>
      <c r="GJ31" s="210"/>
      <c r="GK31" s="210"/>
      <c r="GL31" s="210"/>
      <c r="GM31" s="210"/>
      <c r="GN31" s="210"/>
      <c r="GO31" s="210"/>
      <c r="GP31" s="210"/>
      <c r="GQ31" s="210"/>
      <c r="GR31" s="210"/>
      <c r="GS31" s="210"/>
      <c r="GT31" s="210"/>
      <c r="GU31" s="210"/>
      <c r="GV31" s="210"/>
      <c r="GW31" s="210"/>
      <c r="GX31" s="210"/>
      <c r="GY31" s="210"/>
      <c r="GZ31" s="210"/>
      <c r="HA31" s="210"/>
      <c r="HB31" s="210"/>
      <c r="HC31" s="210"/>
      <c r="HD31" s="210"/>
      <c r="HE31" s="210"/>
      <c r="HF31" s="210"/>
      <c r="HG31" s="210"/>
      <c r="HH31" s="210"/>
      <c r="HI31" s="210"/>
      <c r="HJ31" s="210"/>
      <c r="HK31" s="210"/>
      <c r="HL31" s="210"/>
      <c r="HM31" s="210"/>
      <c r="HN31" s="210"/>
      <c r="HO31" s="210"/>
      <c r="HP31" s="210"/>
      <c r="HQ31" s="210"/>
      <c r="HR31" s="210"/>
      <c r="HS31" s="210"/>
      <c r="HT31" s="210"/>
      <c r="HU31" s="210"/>
      <c r="HV31" s="210"/>
      <c r="HW31" s="210"/>
      <c r="HX31" s="210"/>
      <c r="HY31" s="210"/>
      <c r="HZ31" s="210"/>
      <c r="IA31" s="210"/>
      <c r="IB31" s="210"/>
      <c r="IC31" s="210"/>
      <c r="ID31" s="210"/>
      <c r="IE31" s="210"/>
      <c r="IF31" s="210"/>
      <c r="IG31" s="210"/>
      <c r="IH31" s="210"/>
      <c r="II31" s="210"/>
      <c r="IJ31" s="210"/>
      <c r="IK31" s="210"/>
      <c r="IL31" s="210"/>
      <c r="IM31" s="210"/>
      <c r="IN31" s="210"/>
      <c r="IO31" s="210"/>
      <c r="IP31" s="210"/>
      <c r="IQ31" s="210"/>
      <c r="IR31" s="210"/>
      <c r="IS31" s="210"/>
      <c r="IT31" s="210"/>
      <c r="IU31" s="210"/>
      <c r="IV31" s="210"/>
      <c r="IW31" s="210"/>
    </row>
    <row r="32" customFormat="false" ht="9.75" hidden="false" customHeight="true" outlineLevel="0" collapsed="false">
      <c r="A32" s="10"/>
      <c r="B32" s="200"/>
      <c r="C32" s="201"/>
      <c r="D32" s="200"/>
      <c r="E32" s="174"/>
      <c r="F32" s="202"/>
      <c r="G32" s="203"/>
      <c r="H32" s="203"/>
      <c r="I32" s="204"/>
      <c r="J32" s="204"/>
      <c r="K32" s="205"/>
      <c r="L32" s="203"/>
      <c r="M32" s="204"/>
      <c r="N32" s="203"/>
      <c r="O32" s="206"/>
      <c r="P32" s="206"/>
      <c r="Q32" s="206"/>
      <c r="R32" s="206"/>
      <c r="S32" s="206"/>
      <c r="T32" s="203"/>
      <c r="U32" s="202"/>
      <c r="V32" s="207"/>
      <c r="W32" s="208"/>
      <c r="X32" s="208"/>
      <c r="Y32" s="208"/>
      <c r="Z32" s="208"/>
      <c r="AA32" s="208"/>
      <c r="AB32" s="208"/>
      <c r="AC32" s="208"/>
      <c r="AD32" s="208"/>
      <c r="AE32" s="209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211"/>
      <c r="AS32" s="211"/>
      <c r="AT32" s="212"/>
      <c r="AU32" s="212"/>
      <c r="AV32" s="213"/>
      <c r="AW32" s="212"/>
      <c r="AX32" s="212"/>
      <c r="AY32" s="212"/>
      <c r="AZ32" s="212"/>
      <c r="BA32" s="212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  <c r="GT32" s="210"/>
      <c r="GU32" s="210"/>
      <c r="GV32" s="210"/>
      <c r="GW32" s="210"/>
      <c r="GX32" s="210"/>
      <c r="GY32" s="210"/>
      <c r="GZ32" s="210"/>
      <c r="HA32" s="210"/>
      <c r="HB32" s="210"/>
      <c r="HC32" s="210"/>
      <c r="HD32" s="210"/>
      <c r="HE32" s="210"/>
      <c r="HF32" s="210"/>
      <c r="HG32" s="210"/>
      <c r="HH32" s="210"/>
      <c r="HI32" s="210"/>
      <c r="HJ32" s="210"/>
      <c r="HK32" s="210"/>
      <c r="HL32" s="210"/>
      <c r="HM32" s="210"/>
      <c r="HN32" s="210"/>
      <c r="HO32" s="210"/>
      <c r="HP32" s="210"/>
      <c r="HQ32" s="210"/>
      <c r="HR32" s="210"/>
      <c r="HS32" s="210"/>
      <c r="HT32" s="210"/>
      <c r="HU32" s="210"/>
      <c r="HV32" s="210"/>
      <c r="HW32" s="210"/>
      <c r="HX32" s="210"/>
      <c r="HY32" s="210"/>
      <c r="HZ32" s="210"/>
      <c r="IA32" s="210"/>
      <c r="IB32" s="210"/>
      <c r="IC32" s="210"/>
      <c r="ID32" s="210"/>
      <c r="IE32" s="210"/>
      <c r="IF32" s="210"/>
      <c r="IG32" s="210"/>
      <c r="IH32" s="210"/>
      <c r="II32" s="210"/>
      <c r="IJ32" s="210"/>
      <c r="IK32" s="210"/>
      <c r="IL32" s="210"/>
      <c r="IM32" s="210"/>
      <c r="IN32" s="210"/>
      <c r="IO32" s="210"/>
      <c r="IP32" s="210"/>
      <c r="IQ32" s="210"/>
      <c r="IR32" s="210"/>
      <c r="IS32" s="210"/>
      <c r="IT32" s="210"/>
      <c r="IU32" s="210"/>
      <c r="IV32" s="210"/>
      <c r="IW32" s="210"/>
    </row>
    <row r="33" customFormat="false" ht="26.25" hidden="false" customHeight="false" outlineLevel="0" collapsed="false">
      <c r="A33" s="199" t="s">
        <v>76</v>
      </c>
      <c r="B33" s="200"/>
      <c r="C33" s="201"/>
      <c r="D33" s="200"/>
      <c r="E33" s="202"/>
      <c r="F33" s="202"/>
      <c r="G33" s="203"/>
      <c r="H33" s="203"/>
      <c r="I33" s="204"/>
      <c r="J33" s="204"/>
      <c r="K33" s="205"/>
      <c r="L33" s="203"/>
      <c r="M33" s="204"/>
      <c r="N33" s="203"/>
      <c r="O33" s="206"/>
      <c r="P33" s="206"/>
      <c r="Q33" s="206"/>
      <c r="R33" s="206"/>
      <c r="S33" s="206"/>
      <c r="T33" s="203"/>
      <c r="U33" s="202"/>
      <c r="V33" s="207"/>
      <c r="W33" s="214"/>
      <c r="X33" s="214"/>
      <c r="Y33" s="214"/>
      <c r="Z33" s="214"/>
      <c r="AA33" s="214"/>
      <c r="AB33" s="214"/>
      <c r="AC33" s="214"/>
      <c r="AD33" s="214"/>
      <c r="AE33" s="214"/>
      <c r="AF33" s="208"/>
      <c r="AG33" s="174"/>
      <c r="AH33" s="208"/>
      <c r="AI33" s="208"/>
      <c r="AJ33" s="208"/>
      <c r="AK33" s="208"/>
      <c r="AL33" s="208"/>
      <c r="AM33" s="208"/>
      <c r="AN33" s="208"/>
      <c r="AO33" s="208"/>
      <c r="AP33" s="211"/>
      <c r="AQ33" s="208"/>
      <c r="AR33" s="208"/>
      <c r="AS33" s="215"/>
      <c r="AT33" s="212"/>
      <c r="AU33" s="212"/>
      <c r="AV33" s="213"/>
      <c r="AW33" s="212"/>
      <c r="AX33" s="212"/>
      <c r="AY33" s="212"/>
      <c r="AZ33" s="212"/>
      <c r="BA33" s="212"/>
      <c r="BB33" s="210"/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210"/>
      <c r="BO33" s="210"/>
      <c r="BP33" s="210"/>
      <c r="BQ33" s="210"/>
      <c r="BR33" s="210"/>
      <c r="BS33" s="210"/>
      <c r="BT33" s="210"/>
      <c r="BU33" s="210"/>
      <c r="BV33" s="210"/>
      <c r="BW33" s="210"/>
      <c r="BX33" s="210"/>
      <c r="BY33" s="210"/>
      <c r="BZ33" s="210"/>
      <c r="CA33" s="210"/>
      <c r="CB33" s="210"/>
      <c r="CC33" s="210"/>
      <c r="CD33" s="210"/>
      <c r="CE33" s="210"/>
      <c r="CF33" s="210"/>
      <c r="CG33" s="210"/>
      <c r="CH33" s="210"/>
      <c r="CI33" s="210"/>
      <c r="CJ33" s="210"/>
      <c r="CK33" s="210"/>
      <c r="CL33" s="210"/>
      <c r="CM33" s="210"/>
      <c r="CN33" s="210"/>
      <c r="CO33" s="210"/>
      <c r="CP33" s="210"/>
      <c r="CQ33" s="210"/>
      <c r="CR33" s="210"/>
      <c r="CS33" s="210"/>
      <c r="CT33" s="210"/>
      <c r="CU33" s="210"/>
      <c r="CV33" s="210"/>
      <c r="CW33" s="210"/>
      <c r="CX33" s="210"/>
      <c r="CY33" s="210"/>
      <c r="CZ33" s="210"/>
      <c r="DA33" s="210"/>
      <c r="DB33" s="210"/>
      <c r="DC33" s="210"/>
      <c r="DD33" s="210"/>
      <c r="DE33" s="210"/>
      <c r="DF33" s="210"/>
      <c r="DG33" s="210"/>
      <c r="DH33" s="210"/>
      <c r="DI33" s="210"/>
      <c r="DJ33" s="210"/>
      <c r="DK33" s="210"/>
      <c r="DL33" s="210"/>
      <c r="DM33" s="210"/>
      <c r="DN33" s="210"/>
      <c r="DO33" s="210"/>
      <c r="DP33" s="210"/>
      <c r="DQ33" s="210"/>
      <c r="DR33" s="210"/>
      <c r="DS33" s="210"/>
      <c r="DT33" s="210"/>
      <c r="DU33" s="210"/>
      <c r="DV33" s="210"/>
      <c r="DW33" s="210"/>
      <c r="DX33" s="210"/>
      <c r="DY33" s="210"/>
      <c r="DZ33" s="210"/>
      <c r="EA33" s="210"/>
      <c r="EB33" s="210"/>
      <c r="EC33" s="210"/>
      <c r="ED33" s="210"/>
      <c r="EE33" s="210"/>
      <c r="EF33" s="210"/>
      <c r="EG33" s="210"/>
      <c r="EH33" s="210"/>
      <c r="EI33" s="210"/>
      <c r="EJ33" s="210"/>
      <c r="EK33" s="210"/>
      <c r="EL33" s="210"/>
      <c r="EM33" s="210"/>
      <c r="EN33" s="210"/>
      <c r="EO33" s="210"/>
      <c r="EP33" s="210"/>
      <c r="EQ33" s="210"/>
      <c r="ER33" s="210"/>
      <c r="ES33" s="210"/>
      <c r="ET33" s="210"/>
      <c r="EU33" s="210"/>
      <c r="EV33" s="210"/>
      <c r="EW33" s="210"/>
      <c r="EX33" s="210"/>
      <c r="EY33" s="210"/>
      <c r="EZ33" s="210"/>
      <c r="FA33" s="210"/>
      <c r="FB33" s="210"/>
      <c r="FC33" s="210"/>
      <c r="FD33" s="210"/>
      <c r="FE33" s="210"/>
      <c r="FF33" s="210"/>
      <c r="FG33" s="210"/>
      <c r="FH33" s="210"/>
      <c r="FI33" s="210"/>
      <c r="FJ33" s="210"/>
      <c r="FK33" s="210"/>
      <c r="FL33" s="210"/>
      <c r="FM33" s="210"/>
      <c r="FN33" s="210"/>
      <c r="FO33" s="210"/>
      <c r="FP33" s="210"/>
      <c r="FQ33" s="210"/>
      <c r="FR33" s="210"/>
      <c r="FS33" s="210"/>
      <c r="FT33" s="210"/>
      <c r="FU33" s="210"/>
      <c r="FV33" s="210"/>
      <c r="FW33" s="210"/>
      <c r="FX33" s="210"/>
      <c r="FY33" s="210"/>
      <c r="FZ33" s="210"/>
      <c r="GA33" s="210"/>
      <c r="GB33" s="210"/>
      <c r="GC33" s="210"/>
      <c r="GD33" s="210"/>
      <c r="GE33" s="210"/>
      <c r="GF33" s="210"/>
      <c r="GG33" s="210"/>
      <c r="GH33" s="210"/>
      <c r="GI33" s="210"/>
      <c r="GJ33" s="210"/>
      <c r="GK33" s="210"/>
      <c r="GL33" s="210"/>
      <c r="GM33" s="210"/>
      <c r="GN33" s="210"/>
      <c r="GO33" s="210"/>
      <c r="GP33" s="210"/>
      <c r="GQ33" s="210"/>
      <c r="GR33" s="210"/>
      <c r="GS33" s="210"/>
      <c r="GT33" s="210"/>
      <c r="GU33" s="210"/>
      <c r="GV33" s="210"/>
      <c r="GW33" s="210"/>
      <c r="GX33" s="210"/>
      <c r="GY33" s="210"/>
      <c r="GZ33" s="210"/>
      <c r="HA33" s="210"/>
      <c r="HB33" s="210"/>
      <c r="HC33" s="210"/>
      <c r="HD33" s="210"/>
      <c r="HE33" s="210"/>
      <c r="HF33" s="210"/>
      <c r="HG33" s="210"/>
      <c r="HH33" s="210"/>
      <c r="HI33" s="210"/>
      <c r="HJ33" s="210"/>
      <c r="HK33" s="210"/>
      <c r="HL33" s="210"/>
      <c r="HM33" s="210"/>
      <c r="HN33" s="210"/>
      <c r="HO33" s="210"/>
      <c r="HP33" s="210"/>
      <c r="HQ33" s="210"/>
      <c r="HR33" s="210"/>
      <c r="HS33" s="210"/>
      <c r="HT33" s="210"/>
      <c r="HU33" s="210"/>
      <c r="HV33" s="210"/>
      <c r="HW33" s="210"/>
      <c r="HX33" s="210"/>
      <c r="HY33" s="210"/>
      <c r="HZ33" s="210"/>
      <c r="IA33" s="210"/>
      <c r="IB33" s="210"/>
      <c r="IC33" s="210"/>
      <c r="ID33" s="210"/>
      <c r="IE33" s="210"/>
      <c r="IF33" s="210"/>
      <c r="IG33" s="210"/>
      <c r="IH33" s="210"/>
      <c r="II33" s="210"/>
      <c r="IJ33" s="210"/>
      <c r="IK33" s="210"/>
      <c r="IL33" s="210"/>
      <c r="IM33" s="210"/>
      <c r="IN33" s="210"/>
      <c r="IO33" s="210"/>
      <c r="IP33" s="210"/>
      <c r="IQ33" s="210"/>
      <c r="IR33" s="210"/>
      <c r="IS33" s="210"/>
      <c r="IT33" s="210"/>
      <c r="IU33" s="210"/>
      <c r="IV33" s="210"/>
      <c r="IW33" s="210"/>
    </row>
    <row r="34" customFormat="false" ht="6.75" hidden="false" customHeight="true" outlineLevel="0" collapsed="false">
      <c r="A34" s="10"/>
      <c r="B34" s="200"/>
      <c r="C34" s="201"/>
      <c r="D34" s="200"/>
      <c r="E34" s="202"/>
      <c r="F34" s="202"/>
      <c r="G34" s="203"/>
      <c r="H34" s="203"/>
      <c r="I34" s="204"/>
      <c r="J34" s="204"/>
      <c r="K34" s="205"/>
      <c r="L34" s="203"/>
      <c r="M34" s="204"/>
      <c r="N34" s="203"/>
      <c r="O34" s="206"/>
      <c r="P34" s="206"/>
      <c r="Q34" s="206"/>
      <c r="R34" s="206"/>
      <c r="S34" s="206"/>
      <c r="T34" s="203"/>
      <c r="U34" s="202"/>
      <c r="V34" s="207"/>
      <c r="W34" s="214"/>
      <c r="X34" s="214"/>
      <c r="Y34" s="214"/>
      <c r="Z34" s="214"/>
      <c r="AA34" s="214"/>
      <c r="AB34" s="214"/>
      <c r="AC34" s="214"/>
      <c r="AD34" s="214"/>
      <c r="AE34" s="214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11"/>
      <c r="AQ34" s="208"/>
      <c r="AR34" s="208"/>
      <c r="AS34" s="215"/>
      <c r="AT34" s="212"/>
      <c r="AU34" s="212"/>
      <c r="AV34" s="213"/>
      <c r="AW34" s="212"/>
      <c r="AX34" s="212"/>
      <c r="AY34" s="212"/>
      <c r="AZ34" s="212"/>
      <c r="BA34" s="212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P34" s="210"/>
      <c r="BQ34" s="210"/>
      <c r="BR34" s="210"/>
      <c r="BS34" s="210"/>
      <c r="BT34" s="210"/>
      <c r="BU34" s="210"/>
      <c r="BV34" s="210"/>
      <c r="BW34" s="210"/>
      <c r="BX34" s="210"/>
      <c r="BY34" s="210"/>
      <c r="BZ34" s="210"/>
      <c r="CA34" s="210"/>
      <c r="CB34" s="210"/>
      <c r="CC34" s="210"/>
      <c r="CD34" s="210"/>
      <c r="CE34" s="210"/>
      <c r="CF34" s="210"/>
      <c r="CG34" s="210"/>
      <c r="CH34" s="210"/>
      <c r="CI34" s="210"/>
      <c r="CJ34" s="210"/>
      <c r="CK34" s="210"/>
      <c r="CL34" s="210"/>
      <c r="CM34" s="210"/>
      <c r="CN34" s="210"/>
      <c r="CO34" s="210"/>
      <c r="CP34" s="210"/>
      <c r="CQ34" s="210"/>
      <c r="CR34" s="210"/>
      <c r="CS34" s="210"/>
      <c r="CT34" s="210"/>
      <c r="CU34" s="210"/>
      <c r="CV34" s="210"/>
      <c r="CW34" s="210"/>
      <c r="CX34" s="210"/>
      <c r="CY34" s="210"/>
      <c r="CZ34" s="210"/>
      <c r="DA34" s="210"/>
      <c r="DB34" s="210"/>
      <c r="DC34" s="210"/>
      <c r="DD34" s="210"/>
      <c r="DE34" s="210"/>
      <c r="DF34" s="210"/>
      <c r="DG34" s="210"/>
      <c r="DH34" s="210"/>
      <c r="DI34" s="210"/>
      <c r="DJ34" s="210"/>
      <c r="DK34" s="210"/>
      <c r="DL34" s="210"/>
      <c r="DM34" s="210"/>
      <c r="DN34" s="210"/>
      <c r="DO34" s="210"/>
      <c r="DP34" s="210"/>
      <c r="DQ34" s="210"/>
      <c r="DR34" s="210"/>
      <c r="DS34" s="210"/>
      <c r="DT34" s="210"/>
      <c r="DU34" s="210"/>
      <c r="DV34" s="210"/>
      <c r="DW34" s="210"/>
      <c r="DX34" s="210"/>
      <c r="DY34" s="210"/>
      <c r="DZ34" s="210"/>
      <c r="EA34" s="210"/>
      <c r="EB34" s="210"/>
      <c r="EC34" s="210"/>
      <c r="ED34" s="210"/>
      <c r="EE34" s="210"/>
      <c r="EF34" s="210"/>
      <c r="EG34" s="210"/>
      <c r="EH34" s="210"/>
      <c r="EI34" s="210"/>
      <c r="EJ34" s="210"/>
      <c r="EK34" s="210"/>
      <c r="EL34" s="210"/>
      <c r="EM34" s="210"/>
      <c r="EN34" s="210"/>
      <c r="EO34" s="210"/>
      <c r="EP34" s="210"/>
      <c r="EQ34" s="210"/>
      <c r="ER34" s="210"/>
      <c r="ES34" s="210"/>
      <c r="ET34" s="210"/>
      <c r="EU34" s="210"/>
      <c r="EV34" s="210"/>
      <c r="EW34" s="210"/>
      <c r="EX34" s="210"/>
      <c r="EY34" s="210"/>
      <c r="EZ34" s="210"/>
      <c r="FA34" s="210"/>
      <c r="FB34" s="210"/>
      <c r="FC34" s="210"/>
      <c r="FD34" s="210"/>
      <c r="FE34" s="210"/>
      <c r="FF34" s="210"/>
      <c r="FG34" s="210"/>
      <c r="FH34" s="210"/>
      <c r="FI34" s="210"/>
      <c r="FJ34" s="210"/>
      <c r="FK34" s="210"/>
      <c r="FL34" s="210"/>
      <c r="FM34" s="210"/>
      <c r="FN34" s="210"/>
      <c r="FO34" s="210"/>
      <c r="FP34" s="210"/>
      <c r="FQ34" s="210"/>
      <c r="FR34" s="210"/>
      <c r="FS34" s="210"/>
      <c r="FT34" s="210"/>
      <c r="FU34" s="210"/>
      <c r="FV34" s="210"/>
      <c r="FW34" s="210"/>
      <c r="FX34" s="210"/>
      <c r="FY34" s="210"/>
      <c r="FZ34" s="210"/>
      <c r="GA34" s="210"/>
      <c r="GB34" s="210"/>
      <c r="GC34" s="210"/>
      <c r="GD34" s="210"/>
      <c r="GE34" s="210"/>
      <c r="GF34" s="210"/>
      <c r="GG34" s="210"/>
      <c r="GH34" s="210"/>
      <c r="GI34" s="210"/>
      <c r="GJ34" s="210"/>
      <c r="GK34" s="210"/>
      <c r="GL34" s="210"/>
      <c r="GM34" s="210"/>
      <c r="GN34" s="210"/>
      <c r="GO34" s="210"/>
      <c r="GP34" s="210"/>
      <c r="GQ34" s="210"/>
      <c r="GR34" s="210"/>
      <c r="GS34" s="210"/>
      <c r="GT34" s="210"/>
      <c r="GU34" s="210"/>
      <c r="GV34" s="210"/>
      <c r="GW34" s="210"/>
      <c r="GX34" s="210"/>
      <c r="GY34" s="210"/>
      <c r="GZ34" s="210"/>
      <c r="HA34" s="210"/>
      <c r="HB34" s="210"/>
      <c r="HC34" s="210"/>
      <c r="HD34" s="210"/>
      <c r="HE34" s="210"/>
      <c r="HF34" s="210"/>
      <c r="HG34" s="210"/>
      <c r="HH34" s="210"/>
      <c r="HI34" s="210"/>
      <c r="HJ34" s="210"/>
      <c r="HK34" s="210"/>
      <c r="HL34" s="210"/>
      <c r="HM34" s="210"/>
      <c r="HN34" s="210"/>
      <c r="HO34" s="210"/>
      <c r="HP34" s="210"/>
      <c r="HQ34" s="210"/>
      <c r="HR34" s="210"/>
      <c r="HS34" s="210"/>
      <c r="HT34" s="210"/>
      <c r="HU34" s="210"/>
      <c r="HV34" s="210"/>
      <c r="HW34" s="210"/>
      <c r="HX34" s="210"/>
      <c r="HY34" s="210"/>
      <c r="HZ34" s="210"/>
      <c r="IA34" s="210"/>
      <c r="IB34" s="210"/>
      <c r="IC34" s="210"/>
      <c r="ID34" s="210"/>
      <c r="IE34" s="210"/>
      <c r="IF34" s="210"/>
      <c r="IG34" s="210"/>
      <c r="IH34" s="210"/>
      <c r="II34" s="210"/>
      <c r="IJ34" s="210"/>
      <c r="IK34" s="210"/>
      <c r="IL34" s="210"/>
      <c r="IM34" s="210"/>
      <c r="IN34" s="210"/>
      <c r="IO34" s="210"/>
      <c r="IP34" s="210"/>
      <c r="IQ34" s="210"/>
      <c r="IR34" s="210"/>
      <c r="IS34" s="210"/>
      <c r="IT34" s="210"/>
      <c r="IU34" s="210"/>
      <c r="IV34" s="210"/>
      <c r="IW34" s="210"/>
    </row>
    <row r="35" customFormat="false" ht="31.5" hidden="false" customHeight="true" outlineLevel="0" collapsed="false">
      <c r="A35" s="185" t="s">
        <v>77</v>
      </c>
      <c r="B35" s="216"/>
      <c r="C35" s="216"/>
      <c r="D35" s="216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8"/>
      <c r="T35" s="219"/>
      <c r="U35" s="220"/>
      <c r="V35" s="207"/>
      <c r="W35" s="207"/>
      <c r="X35" s="221"/>
      <c r="Y35" s="221"/>
      <c r="Z35" s="221"/>
      <c r="AA35" s="221"/>
      <c r="AB35" s="221"/>
      <c r="AC35" s="200"/>
      <c r="AD35" s="222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23"/>
      <c r="AQ35" s="224"/>
      <c r="AR35" s="225"/>
      <c r="AS35" s="225"/>
      <c r="AT35" s="212"/>
      <c r="AU35" s="212"/>
      <c r="AV35" s="213"/>
      <c r="AW35" s="212"/>
      <c r="AX35" s="212"/>
      <c r="AY35" s="212"/>
      <c r="AZ35" s="212"/>
      <c r="BA35" s="212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0"/>
      <c r="BY35" s="210"/>
      <c r="BZ35" s="210"/>
      <c r="CA35" s="210"/>
      <c r="CB35" s="210"/>
      <c r="CC35" s="210"/>
      <c r="CD35" s="210"/>
      <c r="CE35" s="210"/>
      <c r="CF35" s="210"/>
      <c r="CG35" s="210"/>
      <c r="CH35" s="210"/>
      <c r="CI35" s="210"/>
      <c r="CJ35" s="210"/>
      <c r="CK35" s="210"/>
      <c r="CL35" s="210"/>
      <c r="CM35" s="210"/>
      <c r="CN35" s="210"/>
      <c r="CO35" s="210"/>
      <c r="CP35" s="210"/>
      <c r="CQ35" s="210"/>
      <c r="CR35" s="210"/>
      <c r="CS35" s="210"/>
      <c r="CT35" s="210"/>
      <c r="CU35" s="210"/>
      <c r="CV35" s="210"/>
      <c r="CW35" s="210"/>
      <c r="CX35" s="210"/>
      <c r="CY35" s="210"/>
      <c r="CZ35" s="210"/>
      <c r="DA35" s="210"/>
      <c r="DB35" s="210"/>
      <c r="DC35" s="210"/>
      <c r="DD35" s="210"/>
      <c r="DE35" s="210"/>
      <c r="DF35" s="210"/>
      <c r="DG35" s="210"/>
      <c r="DH35" s="210"/>
      <c r="DI35" s="210"/>
      <c r="DJ35" s="210"/>
      <c r="DK35" s="210"/>
      <c r="DL35" s="210"/>
      <c r="DM35" s="210"/>
      <c r="DN35" s="210"/>
      <c r="DO35" s="210"/>
      <c r="DP35" s="210"/>
      <c r="DQ35" s="210"/>
      <c r="DR35" s="210"/>
      <c r="DS35" s="210"/>
      <c r="DT35" s="210"/>
      <c r="DU35" s="210"/>
      <c r="DV35" s="210"/>
      <c r="DW35" s="210"/>
      <c r="DX35" s="210"/>
      <c r="DY35" s="210"/>
      <c r="DZ35" s="210"/>
      <c r="EA35" s="210"/>
      <c r="EB35" s="210"/>
      <c r="EC35" s="210"/>
      <c r="ED35" s="210"/>
      <c r="EE35" s="210"/>
      <c r="EF35" s="210"/>
      <c r="EG35" s="210"/>
      <c r="EH35" s="210"/>
      <c r="EI35" s="210"/>
      <c r="EJ35" s="210"/>
      <c r="EK35" s="210"/>
      <c r="EL35" s="210"/>
      <c r="EM35" s="210"/>
      <c r="EN35" s="210"/>
      <c r="EO35" s="210"/>
      <c r="EP35" s="210"/>
      <c r="EQ35" s="210"/>
      <c r="ER35" s="210"/>
      <c r="ES35" s="210"/>
      <c r="ET35" s="210"/>
      <c r="EU35" s="210"/>
      <c r="EV35" s="210"/>
      <c r="EW35" s="210"/>
      <c r="EX35" s="210"/>
      <c r="EY35" s="210"/>
      <c r="EZ35" s="210"/>
      <c r="FA35" s="210"/>
      <c r="FB35" s="210"/>
      <c r="FC35" s="210"/>
      <c r="FD35" s="210"/>
      <c r="FE35" s="210"/>
      <c r="FF35" s="210"/>
      <c r="FG35" s="210"/>
      <c r="FH35" s="210"/>
      <c r="FI35" s="210"/>
      <c r="FJ35" s="210"/>
      <c r="FK35" s="210"/>
      <c r="FL35" s="210"/>
      <c r="FM35" s="210"/>
      <c r="FN35" s="210"/>
      <c r="FO35" s="210"/>
      <c r="FP35" s="210"/>
      <c r="FQ35" s="210"/>
      <c r="FR35" s="210"/>
      <c r="FS35" s="210"/>
      <c r="FT35" s="210"/>
      <c r="FU35" s="210"/>
      <c r="FV35" s="210"/>
      <c r="FW35" s="210"/>
      <c r="FX35" s="210"/>
      <c r="FY35" s="210"/>
      <c r="FZ35" s="210"/>
      <c r="GA35" s="210"/>
      <c r="GB35" s="210"/>
      <c r="GC35" s="210"/>
      <c r="GD35" s="210"/>
      <c r="GE35" s="210"/>
      <c r="GF35" s="210"/>
      <c r="GG35" s="210"/>
      <c r="GH35" s="210"/>
      <c r="GI35" s="210"/>
      <c r="GJ35" s="210"/>
      <c r="GK35" s="210"/>
      <c r="GL35" s="210"/>
      <c r="GM35" s="210"/>
      <c r="GN35" s="210"/>
      <c r="GO35" s="210"/>
      <c r="GP35" s="210"/>
      <c r="GQ35" s="210"/>
      <c r="GR35" s="210"/>
      <c r="GS35" s="210"/>
      <c r="GT35" s="210"/>
      <c r="GU35" s="210"/>
      <c r="GV35" s="210"/>
      <c r="GW35" s="210"/>
      <c r="GX35" s="210"/>
      <c r="GY35" s="210"/>
      <c r="GZ35" s="210"/>
      <c r="HA35" s="210"/>
      <c r="HB35" s="210"/>
      <c r="HC35" s="210"/>
      <c r="HD35" s="210"/>
      <c r="HE35" s="210"/>
      <c r="HF35" s="210"/>
      <c r="HG35" s="210"/>
      <c r="HH35" s="210"/>
      <c r="HI35" s="210"/>
      <c r="HJ35" s="210"/>
      <c r="HK35" s="210"/>
      <c r="HL35" s="210"/>
      <c r="HM35" s="210"/>
      <c r="HN35" s="210"/>
      <c r="HO35" s="210"/>
      <c r="HP35" s="210"/>
      <c r="HQ35" s="210"/>
      <c r="HR35" s="210"/>
      <c r="HS35" s="210"/>
      <c r="HT35" s="210"/>
      <c r="HU35" s="210"/>
      <c r="HV35" s="210"/>
      <c r="HW35" s="210"/>
      <c r="HX35" s="210"/>
      <c r="HY35" s="210"/>
      <c r="HZ35" s="210"/>
      <c r="IA35" s="210"/>
      <c r="IB35" s="210"/>
      <c r="IC35" s="210"/>
      <c r="ID35" s="210"/>
      <c r="IE35" s="210"/>
      <c r="IF35" s="210"/>
      <c r="IG35" s="210"/>
      <c r="IH35" s="210"/>
      <c r="II35" s="210"/>
      <c r="IJ35" s="210"/>
      <c r="IK35" s="210"/>
      <c r="IL35" s="210"/>
      <c r="IM35" s="210"/>
      <c r="IN35" s="210"/>
      <c r="IO35" s="210"/>
      <c r="IP35" s="210"/>
      <c r="IQ35" s="210"/>
      <c r="IR35" s="210"/>
      <c r="IS35" s="210"/>
      <c r="IT35" s="210"/>
      <c r="IU35" s="210"/>
      <c r="IV35" s="210"/>
      <c r="IW35" s="210"/>
    </row>
    <row r="36" customFormat="false" ht="31.5" hidden="false" customHeight="true" outlineLevel="0" collapsed="false">
      <c r="A36" s="185"/>
      <c r="B36" s="216"/>
      <c r="C36" s="216"/>
      <c r="D36" s="216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8"/>
      <c r="T36" s="219"/>
      <c r="U36" s="220"/>
      <c r="V36" s="207"/>
      <c r="W36" s="207"/>
      <c r="X36" s="221"/>
      <c r="Y36" s="221"/>
      <c r="Z36" s="221"/>
      <c r="AA36" s="221"/>
      <c r="AB36" s="221"/>
      <c r="AC36" s="200"/>
      <c r="AD36" s="222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23"/>
      <c r="AQ36" s="224"/>
      <c r="AR36" s="225"/>
      <c r="AS36" s="225"/>
      <c r="AT36" s="212"/>
      <c r="AU36" s="212"/>
      <c r="AV36" s="213"/>
      <c r="AW36" s="212"/>
      <c r="AX36" s="212"/>
      <c r="AY36" s="212"/>
      <c r="AZ36" s="212"/>
      <c r="BA36" s="212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0"/>
      <c r="BR36" s="210"/>
      <c r="BS36" s="210"/>
      <c r="BT36" s="210"/>
      <c r="BU36" s="210"/>
      <c r="BV36" s="210"/>
      <c r="BW36" s="210"/>
      <c r="BX36" s="210"/>
      <c r="BY36" s="210"/>
      <c r="BZ36" s="210"/>
      <c r="CA36" s="210"/>
      <c r="CB36" s="210"/>
      <c r="CC36" s="210"/>
      <c r="CD36" s="210"/>
      <c r="CE36" s="210"/>
      <c r="CF36" s="210"/>
      <c r="CG36" s="210"/>
      <c r="CH36" s="210"/>
      <c r="CI36" s="210"/>
      <c r="CJ36" s="210"/>
      <c r="CK36" s="210"/>
      <c r="CL36" s="210"/>
      <c r="CM36" s="210"/>
      <c r="CN36" s="210"/>
      <c r="CO36" s="210"/>
      <c r="CP36" s="210"/>
      <c r="CQ36" s="210"/>
      <c r="CR36" s="210"/>
      <c r="CS36" s="210"/>
      <c r="CT36" s="210"/>
      <c r="CU36" s="210"/>
      <c r="CV36" s="210"/>
      <c r="CW36" s="210"/>
      <c r="CX36" s="210"/>
      <c r="CY36" s="210"/>
      <c r="CZ36" s="210"/>
      <c r="DA36" s="210"/>
      <c r="DB36" s="210"/>
      <c r="DC36" s="210"/>
      <c r="DD36" s="210"/>
      <c r="DE36" s="210"/>
      <c r="DF36" s="210"/>
      <c r="DG36" s="210"/>
      <c r="DH36" s="210"/>
      <c r="DI36" s="210"/>
      <c r="DJ36" s="210"/>
      <c r="DK36" s="210"/>
      <c r="DL36" s="210"/>
      <c r="DM36" s="210"/>
      <c r="DN36" s="210"/>
      <c r="DO36" s="210"/>
      <c r="DP36" s="210"/>
      <c r="DQ36" s="21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0"/>
      <c r="EB36" s="210"/>
      <c r="EC36" s="210"/>
      <c r="ED36" s="210"/>
      <c r="EE36" s="210"/>
      <c r="EF36" s="210"/>
      <c r="EG36" s="210"/>
      <c r="EH36" s="210"/>
      <c r="EI36" s="210"/>
      <c r="EJ36" s="210"/>
      <c r="EK36" s="210"/>
      <c r="EL36" s="210"/>
      <c r="EM36" s="210"/>
      <c r="EN36" s="210"/>
      <c r="EO36" s="210"/>
      <c r="EP36" s="210"/>
      <c r="EQ36" s="210"/>
      <c r="ER36" s="210"/>
      <c r="ES36" s="210"/>
      <c r="ET36" s="210"/>
      <c r="EU36" s="210"/>
      <c r="EV36" s="210"/>
      <c r="EW36" s="210"/>
      <c r="EX36" s="210"/>
      <c r="EY36" s="210"/>
      <c r="EZ36" s="210"/>
      <c r="FA36" s="210"/>
      <c r="FB36" s="210"/>
      <c r="FC36" s="210"/>
      <c r="FD36" s="210"/>
      <c r="FE36" s="210"/>
      <c r="FF36" s="210"/>
      <c r="FG36" s="210"/>
      <c r="FH36" s="210"/>
      <c r="FI36" s="210"/>
      <c r="FJ36" s="210"/>
      <c r="FK36" s="210"/>
      <c r="FL36" s="210"/>
      <c r="FM36" s="210"/>
      <c r="FN36" s="210"/>
      <c r="FO36" s="210"/>
      <c r="FP36" s="210"/>
      <c r="FQ36" s="210"/>
      <c r="FR36" s="210"/>
      <c r="FS36" s="210"/>
      <c r="FT36" s="210"/>
      <c r="FU36" s="210"/>
      <c r="FV36" s="210"/>
      <c r="FW36" s="210"/>
      <c r="FX36" s="210"/>
      <c r="FY36" s="210"/>
      <c r="FZ36" s="210"/>
      <c r="GA36" s="210"/>
      <c r="GB36" s="210"/>
      <c r="GC36" s="210"/>
      <c r="GD36" s="210"/>
      <c r="GE36" s="210"/>
      <c r="GF36" s="210"/>
      <c r="GG36" s="210"/>
      <c r="GH36" s="210"/>
      <c r="GI36" s="210"/>
      <c r="GJ36" s="210"/>
      <c r="GK36" s="210"/>
      <c r="GL36" s="210"/>
      <c r="GM36" s="210"/>
      <c r="GN36" s="210"/>
      <c r="GO36" s="210"/>
      <c r="GP36" s="210"/>
      <c r="GQ36" s="210"/>
      <c r="GR36" s="210"/>
      <c r="GS36" s="210"/>
      <c r="GT36" s="210"/>
      <c r="GU36" s="210"/>
      <c r="GV36" s="210"/>
      <c r="GW36" s="210"/>
      <c r="GX36" s="210"/>
      <c r="GY36" s="210"/>
      <c r="GZ36" s="210"/>
      <c r="HA36" s="210"/>
      <c r="HB36" s="210"/>
      <c r="HC36" s="210"/>
      <c r="HD36" s="210"/>
      <c r="HE36" s="210"/>
      <c r="HF36" s="210"/>
      <c r="HG36" s="210"/>
      <c r="HH36" s="210"/>
      <c r="HI36" s="210"/>
      <c r="HJ36" s="210"/>
      <c r="HK36" s="210"/>
      <c r="HL36" s="210"/>
      <c r="HM36" s="210"/>
      <c r="HN36" s="210"/>
      <c r="HO36" s="210"/>
      <c r="HP36" s="210"/>
      <c r="HQ36" s="210"/>
      <c r="HR36" s="210"/>
      <c r="HS36" s="210"/>
      <c r="HT36" s="210"/>
      <c r="HU36" s="210"/>
      <c r="HV36" s="210"/>
      <c r="HW36" s="210"/>
      <c r="HX36" s="210"/>
      <c r="HY36" s="210"/>
      <c r="HZ36" s="210"/>
      <c r="IA36" s="210"/>
      <c r="IB36" s="210"/>
      <c r="IC36" s="210"/>
      <c r="ID36" s="210"/>
      <c r="IE36" s="210"/>
      <c r="IF36" s="210"/>
      <c r="IG36" s="210"/>
      <c r="IH36" s="210"/>
      <c r="II36" s="210"/>
      <c r="IJ36" s="210"/>
      <c r="IK36" s="210"/>
      <c r="IL36" s="210"/>
      <c r="IM36" s="210"/>
      <c r="IN36" s="210"/>
      <c r="IO36" s="210"/>
      <c r="IP36" s="210"/>
      <c r="IQ36" s="210"/>
      <c r="IR36" s="210"/>
      <c r="IS36" s="210"/>
      <c r="IT36" s="210"/>
      <c r="IU36" s="210"/>
      <c r="IV36" s="210"/>
      <c r="IW36" s="210"/>
    </row>
    <row r="37" customFormat="false" ht="26.25" hidden="false" customHeight="false" outlineLevel="0" collapsed="false">
      <c r="A37" s="91" t="s">
        <v>78</v>
      </c>
      <c r="B37" s="92"/>
      <c r="C37" s="226" t="s">
        <v>79</v>
      </c>
      <c r="D37" s="92"/>
      <c r="E37" s="94" t="n">
        <f aca="false">DDE("REUTER","IDN","UDL")</f>
        <v>30.7</v>
      </c>
      <c r="F37" s="227"/>
      <c r="G37" s="94" t="n">
        <v>2.4</v>
      </c>
      <c r="H37" s="228"/>
      <c r="I37" s="97" t="n">
        <f aca="false">+G37/E37</f>
        <v>0.0781758957654723</v>
      </c>
      <c r="J37" s="97"/>
      <c r="K37" s="229" t="n">
        <f aca="false">(+I37-E$27)*10000</f>
        <v>195.888957654723</v>
      </c>
      <c r="L37" s="93"/>
      <c r="M37" s="97" t="n">
        <f aca="false">(I37*AA37)+((I37*(1-AA37))*(1-0.3))</f>
        <v>0.0547231270358306</v>
      </c>
      <c r="N37" s="93"/>
      <c r="O37" s="230" t="s">
        <v>55</v>
      </c>
      <c r="P37" s="231"/>
      <c r="Q37" s="230" t="n">
        <f aca="false">(AF37+$E37-AG37)/AG37</f>
        <v>-0.00967741935483873</v>
      </c>
      <c r="R37" s="231"/>
      <c r="S37" s="230" t="n">
        <f aca="false">(AH37+$E37-AI37)/AI37</f>
        <v>0.253061224489796</v>
      </c>
      <c r="T37" s="96"/>
      <c r="U37" s="232" t="e">
        <f aca="false">(AJ37+E37-AK37)/AK37</f>
        <v>#VALUE!</v>
      </c>
      <c r="V37" s="102"/>
      <c r="W37" s="18"/>
      <c r="X37" s="40"/>
      <c r="Y37" s="233" t="s">
        <v>55</v>
      </c>
      <c r="Z37" s="234" t="s">
        <v>55</v>
      </c>
      <c r="AA37" s="235" t="n">
        <v>0</v>
      </c>
      <c r="AB37" s="236"/>
      <c r="AC37" s="43"/>
      <c r="AD37" s="237"/>
      <c r="AE37" s="238"/>
      <c r="AF37" s="239"/>
      <c r="AG37" s="240" t="n">
        <v>31</v>
      </c>
      <c r="AH37" s="239"/>
      <c r="AI37" s="240" t="n">
        <v>24.5</v>
      </c>
      <c r="AJ37" s="241" t="s">
        <v>64</v>
      </c>
      <c r="AK37" s="241" t="n">
        <v>24.5</v>
      </c>
      <c r="AL37" s="241" t="s">
        <v>64</v>
      </c>
      <c r="AM37" s="241" t="s">
        <v>64</v>
      </c>
      <c r="AN37" s="241" t="s">
        <v>64</v>
      </c>
      <c r="AO37" s="241" t="s">
        <v>64</v>
      </c>
      <c r="AP37" s="241" t="s">
        <v>64</v>
      </c>
      <c r="AQ37" s="242" t="s">
        <v>64</v>
      </c>
      <c r="AR37" s="87"/>
      <c r="AS37" s="142"/>
      <c r="AT37" s="88"/>
      <c r="AU37" s="88"/>
      <c r="AV37" s="88"/>
      <c r="AW37" s="14"/>
      <c r="AX37" s="113"/>
      <c r="AY37" s="114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27" hidden="false" customHeight="false" outlineLevel="0" collapsed="false">
      <c r="A38" s="243" t="s">
        <v>80</v>
      </c>
      <c r="B38" s="116"/>
      <c r="C38" s="244" t="s">
        <v>81</v>
      </c>
      <c r="D38" s="116"/>
      <c r="E38" s="118" t="n">
        <f aca="false">DDE("REUTER","IDN","WEG")</f>
        <v>32.5</v>
      </c>
      <c r="F38" s="245"/>
      <c r="G38" s="118" t="n">
        <v>2.1</v>
      </c>
      <c r="H38" s="246"/>
      <c r="I38" s="121" t="n">
        <f aca="false">+G38/E38</f>
        <v>0.0646153846153846</v>
      </c>
      <c r="J38" s="121"/>
      <c r="K38" s="122" t="n">
        <f aca="false">(+I38-E$27)*10000</f>
        <v>60.2838461538462</v>
      </c>
      <c r="L38" s="117"/>
      <c r="M38" s="121" t="n">
        <f aca="false">(I38*AA38)+((I38*(1-AA38))*(1-0.3))</f>
        <v>0.0452307692307692</v>
      </c>
      <c r="N38" s="117"/>
      <c r="O38" s="247" t="s">
        <v>55</v>
      </c>
      <c r="P38" s="248"/>
      <c r="Q38" s="247" t="n">
        <f aca="false">(AF38+$E38-AG38)/AG38</f>
        <v>0.0188087774294671</v>
      </c>
      <c r="R38" s="248"/>
      <c r="S38" s="247" t="n">
        <f aca="false">(AH38+$E38-AI38)/AI38</f>
        <v>0.0797342192691029</v>
      </c>
      <c r="T38" s="120"/>
      <c r="U38" s="249" t="e">
        <f aca="false">(AJ38+E38-AK38)/AK38</f>
        <v>#VALUE!</v>
      </c>
      <c r="V38" s="102"/>
      <c r="W38" s="18"/>
      <c r="X38" s="40"/>
      <c r="Y38" s="250" t="s">
        <v>55</v>
      </c>
      <c r="Z38" s="251" t="s">
        <v>55</v>
      </c>
      <c r="AA38" s="252" t="n">
        <v>0</v>
      </c>
      <c r="AB38" s="253"/>
      <c r="AC38" s="165"/>
      <c r="AD38" s="254" t="n">
        <v>37008</v>
      </c>
      <c r="AE38" s="255" t="n">
        <v>0.292</v>
      </c>
      <c r="AF38" s="256"/>
      <c r="AG38" s="257" t="n">
        <v>31.9</v>
      </c>
      <c r="AH38" s="256"/>
      <c r="AI38" s="257" t="n">
        <v>30.1</v>
      </c>
      <c r="AJ38" s="258" t="s">
        <v>64</v>
      </c>
      <c r="AK38" s="258" t="n">
        <v>21.5</v>
      </c>
      <c r="AL38" s="258" t="s">
        <v>64</v>
      </c>
      <c r="AM38" s="258" t="s">
        <v>64</v>
      </c>
      <c r="AN38" s="258" t="s">
        <v>64</v>
      </c>
      <c r="AO38" s="258" t="s">
        <v>64</v>
      </c>
      <c r="AP38" s="258" t="s">
        <v>64</v>
      </c>
      <c r="AQ38" s="259" t="s">
        <v>64</v>
      </c>
      <c r="AR38" s="87"/>
      <c r="AS38" s="142"/>
      <c r="AT38" s="88"/>
      <c r="AU38" s="88"/>
      <c r="AV38" s="88"/>
      <c r="AW38" s="14"/>
      <c r="AX38" s="113"/>
      <c r="AY38" s="114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8.75" hidden="false" customHeight="true" outlineLevel="0" collapsed="false">
      <c r="A39" s="260" t="s">
        <v>82</v>
      </c>
      <c r="B39" s="11"/>
      <c r="C39" s="35"/>
      <c r="D39" s="11"/>
      <c r="E39" s="127"/>
      <c r="F39" s="128"/>
      <c r="G39" s="127"/>
      <c r="H39" s="140"/>
      <c r="I39" s="67"/>
      <c r="J39" s="67"/>
      <c r="K39" s="134"/>
      <c r="L39" s="23"/>
      <c r="M39" s="67"/>
      <c r="N39" s="23"/>
      <c r="O39" s="33"/>
      <c r="P39" s="130"/>
      <c r="Q39" s="33"/>
      <c r="R39" s="130"/>
      <c r="S39" s="33"/>
      <c r="T39" s="13"/>
      <c r="U39" s="135"/>
      <c r="V39" s="102"/>
      <c r="W39" s="18"/>
      <c r="X39" s="40"/>
      <c r="Y39" s="261"/>
      <c r="Z39" s="261"/>
      <c r="AA39" s="105"/>
      <c r="AB39" s="105"/>
      <c r="AC39" s="11"/>
      <c r="AD39" s="107"/>
      <c r="AE39" s="109"/>
      <c r="AF39" s="109"/>
      <c r="AG39" s="127"/>
      <c r="AH39" s="109"/>
      <c r="AI39" s="127"/>
      <c r="AJ39" s="262"/>
      <c r="AK39" s="262"/>
      <c r="AL39" s="262"/>
      <c r="AM39" s="262"/>
      <c r="AN39" s="262"/>
      <c r="AO39" s="262"/>
      <c r="AP39" s="262"/>
      <c r="AQ39" s="263"/>
      <c r="AR39" s="87"/>
      <c r="AS39" s="142"/>
      <c r="AT39" s="88"/>
      <c r="AU39" s="88"/>
      <c r="AV39" s="88"/>
      <c r="AW39" s="14"/>
      <c r="AX39" s="113"/>
      <c r="AY39" s="114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18.75" hidden="false" customHeight="true" outlineLevel="0" collapsed="false">
      <c r="A40" s="260" t="s">
        <v>83</v>
      </c>
      <c r="B40" s="217"/>
      <c r="C40" s="209"/>
      <c r="D40" s="217"/>
      <c r="E40" s="217"/>
      <c r="F40" s="128"/>
      <c r="G40" s="127"/>
      <c r="H40" s="140"/>
      <c r="I40" s="67"/>
      <c r="J40" s="67"/>
      <c r="K40" s="134"/>
      <c r="L40" s="23"/>
      <c r="M40" s="67"/>
      <c r="N40" s="23"/>
      <c r="O40" s="33"/>
      <c r="P40" s="130"/>
      <c r="Q40" s="33"/>
      <c r="R40" s="130"/>
      <c r="S40" s="33"/>
      <c r="T40" s="13"/>
      <c r="U40" s="135"/>
      <c r="V40" s="102"/>
      <c r="W40" s="18"/>
      <c r="X40" s="40"/>
      <c r="Y40" s="261"/>
      <c r="Z40" s="261"/>
      <c r="AA40" s="105"/>
      <c r="AB40" s="105"/>
      <c r="AC40" s="11"/>
      <c r="AD40" s="107"/>
      <c r="AE40" s="109"/>
      <c r="AF40" s="109"/>
      <c r="AG40" s="127"/>
      <c r="AH40" s="109"/>
      <c r="AI40" s="127"/>
      <c r="AJ40" s="262"/>
      <c r="AK40" s="262"/>
      <c r="AL40" s="262"/>
      <c r="AM40" s="262"/>
      <c r="AN40" s="262"/>
      <c r="AO40" s="262"/>
      <c r="AP40" s="262"/>
      <c r="AQ40" s="263"/>
      <c r="AR40" s="87"/>
      <c r="AS40" s="142"/>
      <c r="AT40" s="88"/>
      <c r="AU40" s="88"/>
      <c r="AV40" s="88"/>
      <c r="AW40" s="14"/>
      <c r="AX40" s="113"/>
      <c r="AY40" s="114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19.5" hidden="false" customHeight="true" outlineLevel="0" collapsed="false">
      <c r="A41" s="210"/>
      <c r="B41" s="210"/>
      <c r="C41" s="210"/>
      <c r="D41" s="210"/>
      <c r="E41" s="210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8"/>
      <c r="T41" s="219"/>
      <c r="U41" s="220"/>
      <c r="V41" s="207"/>
      <c r="W41" s="207"/>
      <c r="X41" s="221"/>
      <c r="Y41" s="221"/>
      <c r="Z41" s="221"/>
      <c r="AA41" s="221"/>
      <c r="AB41" s="221"/>
      <c r="AC41" s="200"/>
      <c r="AD41" s="222"/>
      <c r="AE41" s="213"/>
      <c r="AF41" s="213"/>
      <c r="AG41" s="198" t="s">
        <v>84</v>
      </c>
      <c r="AH41" s="213"/>
      <c r="AI41" s="198" t="s">
        <v>85</v>
      </c>
      <c r="AJ41" s="213"/>
      <c r="AK41" s="213"/>
      <c r="AL41" s="213"/>
      <c r="AM41" s="213"/>
      <c r="AN41" s="213"/>
      <c r="AO41" s="213"/>
      <c r="AP41" s="223"/>
      <c r="AQ41" s="224"/>
      <c r="AR41" s="225"/>
      <c r="AS41" s="225"/>
      <c r="AT41" s="212"/>
      <c r="AU41" s="212"/>
      <c r="AV41" s="213"/>
      <c r="AW41" s="212"/>
      <c r="AX41" s="212"/>
      <c r="AY41" s="212"/>
      <c r="AZ41" s="212"/>
      <c r="BA41" s="212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210"/>
      <c r="BM41" s="210"/>
      <c r="BN41" s="210"/>
      <c r="BO41" s="210"/>
      <c r="BP41" s="210"/>
      <c r="BQ41" s="210"/>
      <c r="BR41" s="210"/>
      <c r="BS41" s="210"/>
      <c r="BT41" s="210"/>
      <c r="BU41" s="210"/>
      <c r="BV41" s="210"/>
      <c r="BW41" s="210"/>
      <c r="BX41" s="210"/>
      <c r="BY41" s="210"/>
      <c r="BZ41" s="210"/>
      <c r="CA41" s="210"/>
      <c r="CB41" s="210"/>
      <c r="CC41" s="210"/>
      <c r="CD41" s="210"/>
      <c r="CE41" s="210"/>
      <c r="CF41" s="210"/>
      <c r="CG41" s="210"/>
      <c r="CH41" s="210"/>
      <c r="CI41" s="210"/>
      <c r="CJ41" s="210"/>
      <c r="CK41" s="210"/>
      <c r="CL41" s="210"/>
      <c r="CM41" s="210"/>
      <c r="CN41" s="210"/>
      <c r="CO41" s="210"/>
      <c r="CP41" s="210"/>
      <c r="CQ41" s="210"/>
      <c r="CR41" s="210"/>
      <c r="CS41" s="210"/>
      <c r="CT41" s="210"/>
      <c r="CU41" s="210"/>
      <c r="CV41" s="210"/>
      <c r="CW41" s="210"/>
      <c r="CX41" s="210"/>
      <c r="CY41" s="210"/>
      <c r="CZ41" s="210"/>
      <c r="DA41" s="210"/>
      <c r="DB41" s="210"/>
      <c r="DC41" s="210"/>
      <c r="DD41" s="210"/>
      <c r="DE41" s="210"/>
      <c r="DF41" s="210"/>
      <c r="DG41" s="210"/>
      <c r="DH41" s="210"/>
      <c r="DI41" s="210"/>
      <c r="DJ41" s="210"/>
      <c r="DK41" s="210"/>
      <c r="DL41" s="210"/>
      <c r="DM41" s="210"/>
      <c r="DN41" s="210"/>
      <c r="DO41" s="210"/>
      <c r="DP41" s="210"/>
      <c r="DQ41" s="210"/>
      <c r="DR41" s="210"/>
      <c r="DS41" s="210"/>
      <c r="DT41" s="210"/>
      <c r="DU41" s="210"/>
      <c r="DV41" s="210"/>
      <c r="DW41" s="210"/>
      <c r="DX41" s="210"/>
      <c r="DY41" s="210"/>
      <c r="DZ41" s="210"/>
      <c r="EA41" s="210"/>
      <c r="EB41" s="210"/>
      <c r="EC41" s="210"/>
      <c r="ED41" s="210"/>
      <c r="EE41" s="210"/>
      <c r="EF41" s="210"/>
      <c r="EG41" s="210"/>
      <c r="EH41" s="210"/>
      <c r="EI41" s="210"/>
      <c r="EJ41" s="210"/>
      <c r="EK41" s="210"/>
      <c r="EL41" s="210"/>
      <c r="EM41" s="210"/>
      <c r="EN41" s="210"/>
      <c r="EO41" s="210"/>
      <c r="EP41" s="210"/>
      <c r="EQ41" s="210"/>
      <c r="ER41" s="210"/>
      <c r="ES41" s="210"/>
      <c r="ET41" s="210"/>
      <c r="EU41" s="210"/>
      <c r="EV41" s="210"/>
      <c r="EW41" s="210"/>
      <c r="EX41" s="210"/>
      <c r="EY41" s="210"/>
      <c r="EZ41" s="210"/>
      <c r="FA41" s="210"/>
      <c r="FB41" s="210"/>
      <c r="FC41" s="210"/>
      <c r="FD41" s="210"/>
      <c r="FE41" s="210"/>
      <c r="FF41" s="210"/>
      <c r="FG41" s="210"/>
      <c r="FH41" s="210"/>
      <c r="FI41" s="210"/>
      <c r="FJ41" s="210"/>
      <c r="FK41" s="210"/>
      <c r="FL41" s="210"/>
      <c r="FM41" s="210"/>
      <c r="FN41" s="210"/>
      <c r="FO41" s="210"/>
      <c r="FP41" s="210"/>
      <c r="FQ41" s="210"/>
      <c r="FR41" s="210"/>
      <c r="FS41" s="210"/>
      <c r="FT41" s="210"/>
      <c r="FU41" s="210"/>
      <c r="FV41" s="210"/>
      <c r="FW41" s="210"/>
      <c r="FX41" s="210"/>
      <c r="FY41" s="210"/>
      <c r="FZ41" s="210"/>
      <c r="GA41" s="210"/>
      <c r="GB41" s="210"/>
      <c r="GC41" s="210"/>
      <c r="GD41" s="210"/>
      <c r="GE41" s="210"/>
      <c r="GF41" s="210"/>
      <c r="GG41" s="210"/>
      <c r="GH41" s="210"/>
      <c r="GI41" s="210"/>
      <c r="GJ41" s="210"/>
      <c r="GK41" s="210"/>
      <c r="GL41" s="210"/>
      <c r="GM41" s="210"/>
      <c r="GN41" s="210"/>
      <c r="GO41" s="210"/>
      <c r="GP41" s="210"/>
      <c r="GQ41" s="210"/>
      <c r="GR41" s="210"/>
      <c r="GS41" s="210"/>
      <c r="GT41" s="210"/>
      <c r="GU41" s="210"/>
      <c r="GV41" s="210"/>
      <c r="GW41" s="210"/>
      <c r="GX41" s="210"/>
      <c r="GY41" s="210"/>
      <c r="GZ41" s="210"/>
      <c r="HA41" s="210"/>
      <c r="HB41" s="210"/>
      <c r="HC41" s="210"/>
      <c r="HD41" s="210"/>
      <c r="HE41" s="210"/>
      <c r="HF41" s="210"/>
      <c r="HG41" s="210"/>
      <c r="HH41" s="210"/>
      <c r="HI41" s="210"/>
      <c r="HJ41" s="210"/>
      <c r="HK41" s="210"/>
      <c r="HL41" s="210"/>
      <c r="HM41" s="210"/>
      <c r="HN41" s="210"/>
      <c r="HO41" s="210"/>
      <c r="HP41" s="210"/>
      <c r="HQ41" s="210"/>
      <c r="HR41" s="210"/>
      <c r="HS41" s="210"/>
      <c r="HT41" s="210"/>
      <c r="HU41" s="210"/>
      <c r="HV41" s="210"/>
      <c r="HW41" s="210"/>
      <c r="HX41" s="210"/>
      <c r="HY41" s="210"/>
      <c r="HZ41" s="210"/>
      <c r="IA41" s="210"/>
      <c r="IB41" s="210"/>
      <c r="IC41" s="210"/>
      <c r="ID41" s="210"/>
      <c r="IE41" s="210"/>
      <c r="IF41" s="210"/>
      <c r="IG41" s="210"/>
      <c r="IH41" s="210"/>
      <c r="II41" s="210"/>
      <c r="IJ41" s="210"/>
      <c r="IK41" s="210"/>
      <c r="IL41" s="210"/>
      <c r="IM41" s="210"/>
      <c r="IN41" s="210"/>
      <c r="IO41" s="210"/>
      <c r="IP41" s="210"/>
      <c r="IQ41" s="210"/>
      <c r="IR41" s="210"/>
      <c r="IS41" s="210"/>
      <c r="IT41" s="210"/>
      <c r="IU41" s="210"/>
      <c r="IV41" s="210"/>
      <c r="IW41" s="210"/>
    </row>
    <row r="42" customFormat="false" ht="37.5" hidden="false" customHeight="true" outlineLevel="0" collapsed="false">
      <c r="A42" s="264"/>
      <c r="B42" s="265"/>
      <c r="C42" s="266"/>
      <c r="D42" s="265"/>
      <c r="E42" s="267" t="s">
        <v>40</v>
      </c>
      <c r="F42" s="267"/>
      <c r="G42" s="267"/>
      <c r="H42" s="267"/>
      <c r="I42" s="267"/>
      <c r="J42" s="267"/>
      <c r="K42" s="267"/>
      <c r="L42" s="267"/>
      <c r="M42" s="267"/>
      <c r="N42" s="267"/>
      <c r="O42" s="268"/>
      <c r="P42" s="269"/>
      <c r="Q42" s="270" t="s">
        <v>42</v>
      </c>
      <c r="R42" s="270"/>
      <c r="S42" s="270"/>
      <c r="T42" s="270"/>
      <c r="U42" s="270"/>
      <c r="V42" s="270"/>
      <c r="W42" s="270"/>
      <c r="X42" s="271"/>
      <c r="Y42" s="272" t="s">
        <v>86</v>
      </c>
      <c r="Z42" s="40"/>
      <c r="AA42" s="40"/>
      <c r="AB42" s="40"/>
      <c r="AC42" s="11"/>
      <c r="AD42" s="273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74"/>
      <c r="AQ42" s="275"/>
      <c r="AR42" s="276"/>
      <c r="AS42" s="276"/>
      <c r="AT42" s="14"/>
      <c r="AU42" s="14"/>
      <c r="AV42" s="20"/>
      <c r="AW42" s="14"/>
      <c r="AX42" s="14"/>
      <c r="AY42" s="14"/>
      <c r="AZ42" s="14"/>
      <c r="BA42" s="14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</row>
    <row r="43" customFormat="false" ht="26.1" hidden="false" customHeight="true" outlineLevel="0" collapsed="false">
      <c r="A43" s="277" t="s">
        <v>87</v>
      </c>
      <c r="B43" s="278"/>
      <c r="C43" s="278"/>
      <c r="D43" s="278"/>
      <c r="E43" s="279" t="s">
        <v>88</v>
      </c>
      <c r="F43" s="278"/>
      <c r="G43" s="279" t="s">
        <v>89</v>
      </c>
      <c r="H43" s="280"/>
      <c r="I43" s="279" t="s">
        <v>90</v>
      </c>
      <c r="J43" s="279"/>
      <c r="K43" s="279" t="s">
        <v>91</v>
      </c>
      <c r="L43" s="11"/>
      <c r="M43" s="281"/>
      <c r="N43" s="280"/>
      <c r="O43" s="282"/>
      <c r="P43" s="280"/>
      <c r="Q43" s="283" t="s">
        <v>88</v>
      </c>
      <c r="R43" s="280"/>
      <c r="S43" s="279" t="s">
        <v>89</v>
      </c>
      <c r="T43" s="280"/>
      <c r="U43" s="279" t="s">
        <v>90</v>
      </c>
      <c r="V43" s="18"/>
      <c r="W43" s="284" t="s">
        <v>91</v>
      </c>
      <c r="X43" s="279"/>
      <c r="Y43" s="40"/>
      <c r="Z43" s="40"/>
      <c r="AA43" s="40"/>
      <c r="AB43" s="40"/>
      <c r="AC43" s="11"/>
      <c r="AD43" s="285"/>
      <c r="AE43" s="275"/>
      <c r="AF43" s="275"/>
      <c r="AG43" s="275"/>
      <c r="AH43" s="275"/>
      <c r="AI43" s="275"/>
      <c r="AJ43" s="275"/>
      <c r="AK43" s="275"/>
      <c r="AL43" s="275"/>
      <c r="AM43" s="275"/>
      <c r="AN43" s="275"/>
      <c r="AO43" s="275"/>
      <c r="AP43" s="274"/>
      <c r="AQ43" s="275"/>
      <c r="AR43" s="276"/>
      <c r="AS43" s="276"/>
      <c r="AT43" s="14"/>
      <c r="AU43" s="14"/>
      <c r="AV43" s="20"/>
      <c r="AW43" s="14"/>
      <c r="AX43" s="14"/>
      <c r="AY43" s="14"/>
      <c r="AZ43" s="14"/>
      <c r="BA43" s="14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86" t="s">
        <v>92</v>
      </c>
      <c r="B44" s="278"/>
      <c r="C44" s="278"/>
      <c r="D44" s="278"/>
      <c r="E44" s="287" t="s">
        <v>93</v>
      </c>
      <c r="F44" s="278"/>
      <c r="G44" s="288" t="n">
        <v>2.62</v>
      </c>
      <c r="H44" s="278"/>
      <c r="I44" s="288" t="n">
        <v>2.67</v>
      </c>
      <c r="J44" s="278"/>
      <c r="K44" s="288" t="n">
        <v>42</v>
      </c>
      <c r="L44" s="11"/>
      <c r="M44" s="281"/>
      <c r="N44" s="278"/>
      <c r="O44" s="288"/>
      <c r="P44" s="278"/>
      <c r="Q44" s="289" t="s">
        <v>94</v>
      </c>
      <c r="R44" s="290"/>
      <c r="S44" s="289"/>
      <c r="T44" s="271"/>
      <c r="U44" s="291"/>
      <c r="V44" s="18"/>
      <c r="W44" s="292"/>
      <c r="X44" s="293"/>
      <c r="Y44" s="40" t="s">
        <v>95</v>
      </c>
      <c r="Z44" s="40"/>
      <c r="AA44" s="40"/>
      <c r="AB44" s="40"/>
      <c r="AC44" s="11"/>
      <c r="AD44" s="285"/>
      <c r="AE44" s="275"/>
      <c r="AF44" s="275"/>
      <c r="AG44" s="275"/>
      <c r="AH44" s="275"/>
      <c r="AI44" s="275"/>
      <c r="AJ44" s="275"/>
      <c r="AK44" s="275"/>
      <c r="AL44" s="275"/>
      <c r="AM44" s="275"/>
      <c r="AN44" s="275"/>
      <c r="AO44" s="275"/>
      <c r="AP44" s="274"/>
      <c r="AQ44" s="275"/>
      <c r="AR44" s="276"/>
      <c r="AS44" s="276"/>
      <c r="AT44" s="14"/>
      <c r="AU44" s="14"/>
      <c r="AV44" s="20"/>
      <c r="AW44" s="14"/>
      <c r="AX44" s="14"/>
      <c r="AY44" s="14"/>
      <c r="AZ44" s="14"/>
      <c r="BA44" s="14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86" t="s">
        <v>96</v>
      </c>
      <c r="B45" s="278"/>
      <c r="C45" s="278"/>
      <c r="D45" s="278"/>
      <c r="E45" s="287" t="s">
        <v>93</v>
      </c>
      <c r="F45" s="278"/>
      <c r="G45" s="288" t="n">
        <v>2.65</v>
      </c>
      <c r="H45" s="278"/>
      <c r="I45" s="288" t="n">
        <v>2.75</v>
      </c>
      <c r="J45" s="278"/>
      <c r="K45" s="288" t="n">
        <v>43</v>
      </c>
      <c r="L45" s="11"/>
      <c r="M45" s="281"/>
      <c r="N45" s="278"/>
      <c r="O45" s="288"/>
      <c r="P45" s="278"/>
      <c r="Q45" s="289" t="s">
        <v>97</v>
      </c>
      <c r="R45" s="290"/>
      <c r="S45" s="293"/>
      <c r="T45" s="271"/>
      <c r="U45" s="293"/>
      <c r="V45" s="18"/>
      <c r="W45" s="292"/>
      <c r="X45" s="293"/>
      <c r="Y45" s="40" t="s">
        <v>98</v>
      </c>
      <c r="Z45" s="40"/>
      <c r="AA45" s="40"/>
      <c r="AB45" s="40"/>
      <c r="AC45" s="11"/>
      <c r="AD45" s="285"/>
      <c r="AE45" s="275"/>
      <c r="AF45" s="275"/>
      <c r="AG45" s="275"/>
      <c r="AH45" s="275"/>
      <c r="AI45" s="275"/>
      <c r="AJ45" s="275"/>
      <c r="AK45" s="275"/>
      <c r="AL45" s="275"/>
      <c r="AM45" s="275"/>
      <c r="AN45" s="275"/>
      <c r="AO45" s="275"/>
      <c r="AP45" s="274"/>
      <c r="AQ45" s="275"/>
      <c r="AR45" s="276"/>
      <c r="AS45" s="276"/>
      <c r="AT45" s="14"/>
      <c r="AU45" s="14"/>
      <c r="AV45" s="20"/>
      <c r="AW45" s="14"/>
      <c r="AX45" s="14"/>
      <c r="AY45" s="14"/>
      <c r="AZ45" s="14"/>
      <c r="BA45" s="14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86" t="s">
        <v>99</v>
      </c>
      <c r="B46" s="278"/>
      <c r="C46" s="278"/>
      <c r="D46" s="278"/>
      <c r="E46" s="287" t="s">
        <v>93</v>
      </c>
      <c r="F46" s="278"/>
      <c r="G46" s="288" t="n">
        <v>2.6</v>
      </c>
      <c r="H46" s="278"/>
      <c r="I46" s="288"/>
      <c r="J46" s="278"/>
      <c r="K46" s="288" t="n">
        <v>34</v>
      </c>
      <c r="L46" s="11"/>
      <c r="M46" s="281"/>
      <c r="N46" s="278"/>
      <c r="O46" s="288"/>
      <c r="P46" s="278"/>
      <c r="Q46" s="289" t="s">
        <v>97</v>
      </c>
      <c r="R46" s="290"/>
      <c r="S46" s="289"/>
      <c r="T46" s="271"/>
      <c r="U46" s="291"/>
      <c r="V46" s="18"/>
      <c r="W46" s="292"/>
      <c r="X46" s="293"/>
      <c r="Y46" s="40" t="s">
        <v>100</v>
      </c>
      <c r="Z46" s="40"/>
      <c r="AA46" s="40"/>
      <c r="AB46" s="40"/>
      <c r="AC46" s="11"/>
      <c r="AD46" s="28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4"/>
      <c r="AQ46" s="275"/>
      <c r="AR46" s="276"/>
      <c r="AS46" s="276"/>
      <c r="AT46" s="14"/>
      <c r="AU46" s="14"/>
      <c r="AV46" s="20"/>
      <c r="AW46" s="14"/>
      <c r="AX46" s="14"/>
      <c r="AY46" s="14"/>
      <c r="AZ46" s="14"/>
      <c r="BA46" s="14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86" t="s">
        <v>101</v>
      </c>
      <c r="B47" s="278"/>
      <c r="C47" s="278"/>
      <c r="D47" s="278"/>
      <c r="E47" s="287" t="s">
        <v>93</v>
      </c>
      <c r="F47" s="278"/>
      <c r="G47" s="288" t="n">
        <v>2.7</v>
      </c>
      <c r="H47" s="278"/>
      <c r="I47" s="288" t="n">
        <v>2.8</v>
      </c>
      <c r="J47" s="278"/>
      <c r="K47" s="288" t="n">
        <v>44</v>
      </c>
      <c r="L47" s="11"/>
      <c r="M47" s="281"/>
      <c r="N47" s="278"/>
      <c r="O47" s="288"/>
      <c r="P47" s="278"/>
      <c r="Q47" s="289" t="s">
        <v>102</v>
      </c>
      <c r="R47" s="290"/>
      <c r="S47" s="288" t="n">
        <v>0.65</v>
      </c>
      <c r="T47" s="278"/>
      <c r="U47" s="288" t="n">
        <v>0.7</v>
      </c>
      <c r="V47" s="18"/>
      <c r="W47" s="294" t="n">
        <v>22</v>
      </c>
      <c r="X47" s="288"/>
      <c r="Y47" s="40" t="s">
        <v>103</v>
      </c>
      <c r="Z47" s="40"/>
      <c r="AA47" s="40"/>
      <c r="AB47" s="40"/>
      <c r="AC47" s="11"/>
      <c r="AD47" s="285"/>
      <c r="AE47" s="275"/>
      <c r="AF47" s="275"/>
      <c r="AG47" s="275"/>
      <c r="AH47" s="275"/>
      <c r="AI47" s="275"/>
      <c r="AJ47" s="275"/>
      <c r="AK47" s="275"/>
      <c r="AL47" s="275"/>
      <c r="AM47" s="275"/>
      <c r="AN47" s="275"/>
      <c r="AO47" s="275"/>
      <c r="AP47" s="274"/>
      <c r="AQ47" s="275"/>
      <c r="AR47" s="276"/>
      <c r="AS47" s="276"/>
      <c r="AT47" s="20"/>
      <c r="AU47" s="20"/>
      <c r="AV47" s="20"/>
      <c r="AW47" s="20"/>
      <c r="AX47" s="20"/>
      <c r="AY47" s="20"/>
      <c r="AZ47" s="20"/>
      <c r="BA47" s="20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86" t="s">
        <v>104</v>
      </c>
      <c r="B48" s="278"/>
      <c r="C48" s="278"/>
      <c r="D48" s="278"/>
      <c r="E48" s="287" t="s">
        <v>105</v>
      </c>
      <c r="F48" s="278"/>
      <c r="G48" s="288" t="n">
        <v>2.56</v>
      </c>
      <c r="H48" s="278"/>
      <c r="I48" s="288" t="n">
        <v>2.68</v>
      </c>
      <c r="J48" s="278"/>
      <c r="K48" s="288" t="n">
        <v>43</v>
      </c>
      <c r="L48" s="11"/>
      <c r="M48" s="281"/>
      <c r="N48" s="278"/>
      <c r="O48" s="288"/>
      <c r="P48" s="278"/>
      <c r="Q48" s="289"/>
      <c r="R48" s="290"/>
      <c r="S48" s="288"/>
      <c r="T48" s="278"/>
      <c r="U48" s="288"/>
      <c r="V48" s="18"/>
      <c r="W48" s="294"/>
      <c r="X48" s="288"/>
      <c r="Y48" s="40"/>
      <c r="Z48" s="40"/>
      <c r="AA48" s="40"/>
      <c r="AB48" s="40"/>
      <c r="AC48" s="11"/>
      <c r="AD48" s="285"/>
      <c r="AE48" s="275"/>
      <c r="AF48" s="275"/>
      <c r="AG48" s="275"/>
      <c r="AH48" s="275"/>
      <c r="AI48" s="275"/>
      <c r="AJ48" s="275"/>
      <c r="AK48" s="275"/>
      <c r="AL48" s="275"/>
      <c r="AM48" s="275"/>
      <c r="AN48" s="275"/>
      <c r="AO48" s="275"/>
      <c r="AP48" s="274"/>
      <c r="AQ48" s="275"/>
      <c r="AR48" s="276"/>
      <c r="AS48" s="276"/>
      <c r="AT48" s="20"/>
      <c r="AU48" s="20"/>
      <c r="AV48" s="20"/>
      <c r="AW48" s="20"/>
      <c r="AX48" s="20"/>
      <c r="AY48" s="20"/>
      <c r="AZ48" s="20"/>
      <c r="BA48" s="20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86" t="s">
        <v>106</v>
      </c>
      <c r="B49" s="278"/>
      <c r="C49" s="278"/>
      <c r="D49" s="278"/>
      <c r="E49" s="287" t="s">
        <v>107</v>
      </c>
      <c r="F49" s="278"/>
      <c r="G49" s="288" t="n">
        <v>2.6</v>
      </c>
      <c r="H49" s="278"/>
      <c r="I49" s="288"/>
      <c r="J49" s="278"/>
      <c r="K49" s="288" t="n">
        <v>38</v>
      </c>
      <c r="L49" s="11"/>
      <c r="M49" s="281"/>
      <c r="N49" s="278"/>
      <c r="O49" s="288"/>
      <c r="P49" s="278"/>
      <c r="Q49" s="289" t="s">
        <v>97</v>
      </c>
      <c r="R49" s="290"/>
      <c r="S49" s="293"/>
      <c r="T49" s="271"/>
      <c r="U49" s="293"/>
      <c r="V49" s="18"/>
      <c r="W49" s="292"/>
      <c r="X49" s="293"/>
      <c r="Y49" s="40" t="s">
        <v>108</v>
      </c>
      <c r="Z49" s="40"/>
      <c r="AA49" s="40"/>
      <c r="AB49" s="40"/>
      <c r="AC49" s="11"/>
      <c r="AD49" s="285"/>
      <c r="AE49" s="275"/>
      <c r="AF49" s="275"/>
      <c r="AG49" s="275"/>
      <c r="AH49" s="275"/>
      <c r="AI49" s="275"/>
      <c r="AJ49" s="275"/>
      <c r="AK49" s="275"/>
      <c r="AL49" s="275"/>
      <c r="AM49" s="275"/>
      <c r="AN49" s="275"/>
      <c r="AO49" s="275"/>
      <c r="AP49" s="274"/>
      <c r="AQ49" s="275"/>
      <c r="AR49" s="276"/>
      <c r="AS49" s="276"/>
      <c r="AT49" s="20"/>
      <c r="AU49" s="20"/>
      <c r="AV49" s="20"/>
      <c r="AW49" s="20"/>
      <c r="AX49" s="20"/>
      <c r="AY49" s="20"/>
      <c r="AZ49" s="20"/>
      <c r="BA49" s="20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86" t="s">
        <v>109</v>
      </c>
      <c r="B50" s="278"/>
      <c r="C50" s="278"/>
      <c r="D50" s="278"/>
      <c r="E50" s="287"/>
      <c r="F50" s="278"/>
      <c r="G50" s="288"/>
      <c r="H50" s="278"/>
      <c r="I50" s="288"/>
      <c r="J50" s="278"/>
      <c r="K50" s="288"/>
      <c r="L50" s="11"/>
      <c r="M50" s="281"/>
      <c r="N50" s="278"/>
      <c r="O50" s="288"/>
      <c r="P50" s="278"/>
      <c r="Q50" s="289" t="s">
        <v>93</v>
      </c>
      <c r="R50" s="290"/>
      <c r="S50" s="295"/>
      <c r="T50" s="296"/>
      <c r="U50" s="295"/>
      <c r="V50" s="18"/>
      <c r="W50" s="297"/>
      <c r="X50" s="293"/>
      <c r="Y50" s="40" t="s">
        <v>110</v>
      </c>
      <c r="Z50" s="40"/>
      <c r="AA50" s="40"/>
      <c r="AB50" s="40"/>
      <c r="AC50" s="11"/>
      <c r="AD50" s="285"/>
      <c r="AE50" s="275"/>
      <c r="AF50" s="275"/>
      <c r="AG50" s="275"/>
      <c r="AH50" s="275"/>
      <c r="AI50" s="275"/>
      <c r="AJ50" s="275"/>
      <c r="AK50" s="275"/>
      <c r="AL50" s="275"/>
      <c r="AM50" s="275"/>
      <c r="AN50" s="275"/>
      <c r="AO50" s="275"/>
      <c r="AP50" s="274"/>
      <c r="AQ50" s="275"/>
      <c r="AR50" s="276"/>
      <c r="AS50" s="276"/>
      <c r="AT50" s="20"/>
      <c r="AU50" s="20"/>
      <c r="AV50" s="20"/>
      <c r="AW50" s="20"/>
      <c r="AX50" s="20"/>
      <c r="AY50" s="20"/>
      <c r="AZ50" s="20"/>
      <c r="BA50" s="20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86" t="s">
        <v>111</v>
      </c>
      <c r="B51" s="278"/>
      <c r="C51" s="278"/>
      <c r="D51" s="278"/>
      <c r="E51" s="287" t="s">
        <v>93</v>
      </c>
      <c r="F51" s="278"/>
      <c r="G51" s="288" t="n">
        <v>2.58</v>
      </c>
      <c r="H51" s="278"/>
      <c r="I51" s="288" t="n">
        <v>2.68</v>
      </c>
      <c r="J51" s="278"/>
      <c r="K51" s="288" t="n">
        <v>42</v>
      </c>
      <c r="L51" s="11"/>
      <c r="M51" s="281"/>
      <c r="N51" s="278"/>
      <c r="O51" s="288"/>
      <c r="P51" s="278"/>
      <c r="Q51" s="289" t="s">
        <v>112</v>
      </c>
      <c r="R51" s="290"/>
      <c r="S51" s="295" t="n">
        <v>0.6</v>
      </c>
      <c r="T51" s="296"/>
      <c r="U51" s="288" t="n">
        <v>0.65</v>
      </c>
      <c r="V51" s="18"/>
      <c r="W51" s="297" t="n">
        <v>19</v>
      </c>
      <c r="X51" s="293"/>
      <c r="Y51" s="40" t="s">
        <v>113</v>
      </c>
      <c r="Z51" s="40"/>
      <c r="AA51" s="40"/>
      <c r="AB51" s="40"/>
      <c r="AC51" s="11"/>
      <c r="AD51" s="285"/>
      <c r="AE51" s="275"/>
      <c r="AF51" s="275"/>
      <c r="AG51" s="275"/>
      <c r="AH51" s="275"/>
      <c r="AI51" s="275"/>
      <c r="AJ51" s="275"/>
      <c r="AK51" s="275"/>
      <c r="AL51" s="275"/>
      <c r="AM51" s="275"/>
      <c r="AN51" s="275"/>
      <c r="AO51" s="275"/>
      <c r="AP51" s="274"/>
      <c r="AQ51" s="275"/>
      <c r="AR51" s="276"/>
      <c r="AS51" s="276"/>
      <c r="AT51" s="20"/>
      <c r="AU51" s="20"/>
      <c r="AV51" s="20"/>
      <c r="AW51" s="20"/>
      <c r="AX51" s="20"/>
      <c r="AY51" s="20"/>
      <c r="AZ51" s="20"/>
      <c r="BA51" s="20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</row>
    <row r="52" customFormat="false" ht="26.1" hidden="false" customHeight="true" outlineLevel="0" collapsed="false">
      <c r="A52" s="286" t="s">
        <v>114</v>
      </c>
      <c r="B52" s="278"/>
      <c r="C52" s="278"/>
      <c r="D52" s="278"/>
      <c r="E52" s="287" t="s">
        <v>115</v>
      </c>
      <c r="F52" s="278"/>
      <c r="G52" s="288" t="n">
        <v>2.6</v>
      </c>
      <c r="H52" s="278"/>
      <c r="I52" s="288" t="n">
        <v>2.7</v>
      </c>
      <c r="J52" s="278"/>
      <c r="K52" s="288" t="n">
        <v>43.48</v>
      </c>
      <c r="L52" s="11"/>
      <c r="M52" s="281"/>
      <c r="N52" s="278"/>
      <c r="O52" s="288"/>
      <c r="P52" s="278"/>
      <c r="Q52" s="289" t="s">
        <v>116</v>
      </c>
      <c r="R52" s="290"/>
      <c r="S52" s="288" t="n">
        <v>0.67</v>
      </c>
      <c r="T52" s="278"/>
      <c r="U52" s="288" t="n">
        <v>0.65</v>
      </c>
      <c r="V52" s="18"/>
      <c r="W52" s="294"/>
      <c r="X52" s="288"/>
      <c r="Y52" s="40" t="s">
        <v>117</v>
      </c>
      <c r="Z52" s="40"/>
      <c r="AA52" s="40"/>
      <c r="AB52" s="40"/>
      <c r="AC52" s="22"/>
      <c r="AD52" s="285"/>
      <c r="AE52" s="275"/>
      <c r="AF52" s="275"/>
      <c r="AG52" s="275"/>
      <c r="AH52" s="275"/>
      <c r="AI52" s="275"/>
      <c r="AJ52" s="275"/>
      <c r="AK52" s="275"/>
      <c r="AL52" s="275"/>
      <c r="AM52" s="275"/>
      <c r="AN52" s="275"/>
      <c r="AO52" s="275"/>
      <c r="AP52" s="274"/>
      <c r="AQ52" s="275"/>
      <c r="AR52" s="276"/>
      <c r="AS52" s="276"/>
      <c r="AT52" s="20"/>
      <c r="AU52" s="20"/>
      <c r="AV52" s="20"/>
      <c r="AW52" s="20"/>
      <c r="AX52" s="20"/>
      <c r="AY52" s="20"/>
      <c r="AZ52" s="20"/>
      <c r="BA52" s="20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</row>
    <row r="53" customFormat="false" ht="26.1" hidden="false" customHeight="true" outlineLevel="0" collapsed="false">
      <c r="A53" s="286" t="s">
        <v>118</v>
      </c>
      <c r="B53" s="278"/>
      <c r="C53" s="278"/>
      <c r="D53" s="278"/>
      <c r="E53" s="287" t="s">
        <v>119</v>
      </c>
      <c r="F53" s="278"/>
      <c r="G53" s="288" t="n">
        <v>2.6</v>
      </c>
      <c r="H53" s="278"/>
      <c r="I53" s="288" t="n">
        <v>2.65</v>
      </c>
      <c r="J53" s="278"/>
      <c r="K53" s="288" t="n">
        <v>40</v>
      </c>
      <c r="L53" s="11"/>
      <c r="M53" s="281"/>
      <c r="N53" s="278"/>
      <c r="O53" s="288"/>
      <c r="P53" s="278"/>
      <c r="Q53" s="289" t="s">
        <v>97</v>
      </c>
      <c r="R53" s="290"/>
      <c r="S53" s="293"/>
      <c r="T53" s="271"/>
      <c r="U53" s="293"/>
      <c r="V53" s="18"/>
      <c r="W53" s="292"/>
      <c r="X53" s="293"/>
      <c r="Y53" s="40" t="s">
        <v>120</v>
      </c>
      <c r="Z53" s="40"/>
      <c r="AA53" s="40"/>
      <c r="AB53" s="40"/>
      <c r="AC53" s="11"/>
      <c r="AD53" s="285"/>
      <c r="AE53" s="275"/>
      <c r="AF53" s="275"/>
      <c r="AG53" s="275"/>
      <c r="AH53" s="275"/>
      <c r="AI53" s="275"/>
      <c r="AJ53" s="275"/>
      <c r="AK53" s="275"/>
      <c r="AL53" s="275"/>
      <c r="AM53" s="275"/>
      <c r="AN53" s="275"/>
      <c r="AO53" s="275"/>
      <c r="AP53" s="274"/>
      <c r="AQ53" s="275"/>
      <c r="AR53" s="276"/>
      <c r="AS53" s="276"/>
      <c r="AT53" s="20"/>
      <c r="AU53" s="20"/>
      <c r="AV53" s="20"/>
      <c r="AW53" s="20"/>
      <c r="AX53" s="20"/>
      <c r="AY53" s="20"/>
      <c r="AZ53" s="20"/>
      <c r="BA53" s="20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</row>
    <row r="54" customFormat="false" ht="26.1" hidden="false" customHeight="true" outlineLevel="0" collapsed="false">
      <c r="A54" s="298" t="s">
        <v>121</v>
      </c>
      <c r="B54" s="278"/>
      <c r="C54" s="278"/>
      <c r="D54" s="278"/>
      <c r="E54" s="287" t="s">
        <v>93</v>
      </c>
      <c r="F54" s="278"/>
      <c r="G54" s="288" t="n">
        <v>2.55</v>
      </c>
      <c r="H54" s="278"/>
      <c r="I54" s="288" t="n">
        <v>2.7</v>
      </c>
      <c r="J54" s="278"/>
      <c r="K54" s="288" t="n">
        <v>45</v>
      </c>
      <c r="L54" s="11"/>
      <c r="M54" s="281"/>
      <c r="N54" s="278"/>
      <c r="O54" s="288"/>
      <c r="P54" s="278"/>
      <c r="Q54" s="289" t="s">
        <v>119</v>
      </c>
      <c r="R54" s="290"/>
      <c r="S54" s="288" t="n">
        <v>0.6</v>
      </c>
      <c r="T54" s="278"/>
      <c r="U54" s="288" t="n">
        <v>0.65</v>
      </c>
      <c r="V54" s="18"/>
      <c r="W54" s="294" t="n">
        <v>19</v>
      </c>
      <c r="X54" s="293"/>
      <c r="Y54" s="40"/>
      <c r="Z54" s="40"/>
      <c r="AA54" s="40"/>
      <c r="AB54" s="40"/>
      <c r="AC54" s="11"/>
      <c r="AD54" s="285"/>
      <c r="AE54" s="275"/>
      <c r="AF54" s="275"/>
      <c r="AG54" s="275"/>
      <c r="AH54" s="275"/>
      <c r="AI54" s="275"/>
      <c r="AJ54" s="275"/>
      <c r="AK54" s="275"/>
      <c r="AL54" s="275"/>
      <c r="AM54" s="275"/>
      <c r="AN54" s="275"/>
      <c r="AO54" s="275"/>
      <c r="AP54" s="274"/>
      <c r="AQ54" s="275"/>
      <c r="AR54" s="276"/>
      <c r="AS54" s="276"/>
      <c r="AT54" s="20"/>
      <c r="AU54" s="20"/>
      <c r="AV54" s="20"/>
      <c r="AW54" s="20"/>
      <c r="AX54" s="20"/>
      <c r="AY54" s="20"/>
      <c r="AZ54" s="20"/>
      <c r="BA54" s="20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</row>
    <row r="55" customFormat="false" ht="26.1" hidden="false" customHeight="true" outlineLevel="0" collapsed="false">
      <c r="A55" s="298" t="s">
        <v>122</v>
      </c>
      <c r="B55" s="278"/>
      <c r="C55" s="278"/>
      <c r="D55" s="278"/>
      <c r="E55" s="287" t="s">
        <v>93</v>
      </c>
      <c r="F55" s="278"/>
      <c r="G55" s="288" t="n">
        <v>2.6</v>
      </c>
      <c r="H55" s="278"/>
      <c r="I55" s="288" t="n">
        <v>2.7</v>
      </c>
      <c r="J55" s="278"/>
      <c r="K55" s="288" t="n">
        <v>47</v>
      </c>
      <c r="L55" s="11"/>
      <c r="M55" s="281"/>
      <c r="N55" s="278"/>
      <c r="O55" s="288"/>
      <c r="P55" s="278"/>
      <c r="Q55" s="289" t="s">
        <v>93</v>
      </c>
      <c r="R55" s="290"/>
      <c r="S55" s="288" t="n">
        <v>0.6</v>
      </c>
      <c r="T55" s="278"/>
      <c r="U55" s="288"/>
      <c r="V55" s="18"/>
      <c r="W55" s="294" t="n">
        <v>19</v>
      </c>
      <c r="X55" s="288"/>
      <c r="Y55" s="40" t="s">
        <v>123</v>
      </c>
      <c r="Z55" s="40"/>
      <c r="AA55" s="40"/>
      <c r="AB55" s="40"/>
      <c r="AC55" s="22"/>
      <c r="AD55" s="285"/>
      <c r="AE55" s="275"/>
      <c r="AF55" s="275"/>
      <c r="AG55" s="275"/>
      <c r="AH55" s="275"/>
      <c r="AI55" s="275"/>
      <c r="AJ55" s="275"/>
      <c r="AK55" s="275"/>
      <c r="AL55" s="275"/>
      <c r="AM55" s="275"/>
      <c r="AN55" s="275"/>
      <c r="AO55" s="275"/>
      <c r="AP55" s="274"/>
      <c r="AQ55" s="275"/>
      <c r="AR55" s="276"/>
      <c r="AS55" s="276"/>
      <c r="AT55" s="20"/>
      <c r="AU55" s="20"/>
      <c r="AV55" s="20"/>
      <c r="AW55" s="20"/>
      <c r="AX55" s="20"/>
      <c r="AY55" s="20"/>
      <c r="AZ55" s="20"/>
      <c r="BA55" s="20"/>
      <c r="BB55" s="20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</row>
    <row r="56" customFormat="false" ht="26.1" hidden="false" customHeight="true" outlineLevel="0" collapsed="false">
      <c r="A56" s="298"/>
      <c r="B56" s="278"/>
      <c r="C56" s="278"/>
      <c r="D56" s="278"/>
      <c r="E56" s="14"/>
      <c r="F56" s="278"/>
      <c r="G56" s="288"/>
      <c r="H56" s="278"/>
      <c r="I56" s="288"/>
      <c r="J56" s="278"/>
      <c r="K56" s="288"/>
      <c r="L56" s="14"/>
      <c r="M56" s="14"/>
      <c r="N56" s="278"/>
      <c r="O56" s="288"/>
      <c r="P56" s="278"/>
      <c r="Q56" s="14"/>
      <c r="R56" s="290"/>
      <c r="S56" s="287"/>
      <c r="T56" s="278"/>
      <c r="U56" s="14"/>
      <c r="V56" s="14"/>
      <c r="W56" s="299"/>
      <c r="X56" s="278"/>
      <c r="Y56" s="40"/>
      <c r="Z56" s="40"/>
      <c r="AA56" s="40"/>
      <c r="AB56" s="40"/>
      <c r="AC56" s="20"/>
      <c r="AD56" s="285"/>
      <c r="AE56" s="275"/>
      <c r="AF56" s="275"/>
      <c r="AG56" s="275"/>
      <c r="AH56" s="275"/>
      <c r="AI56" s="275"/>
      <c r="AJ56" s="275"/>
      <c r="AK56" s="275"/>
      <c r="AL56" s="275"/>
      <c r="AM56" s="275"/>
      <c r="AN56" s="275"/>
      <c r="AO56" s="275"/>
      <c r="AP56" s="274"/>
      <c r="AQ56" s="275"/>
      <c r="AR56" s="276"/>
      <c r="AS56" s="276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26.1" hidden="false" customHeight="true" outlineLevel="0" collapsed="false">
      <c r="A57" s="298" t="s">
        <v>16</v>
      </c>
      <c r="B57" s="14"/>
      <c r="C57" s="23"/>
      <c r="D57" s="14"/>
      <c r="E57" s="14"/>
      <c r="F57" s="14"/>
      <c r="G57" s="300" t="n">
        <f aca="false">AVERAGEA(G44:G55)</f>
        <v>2.60545454545455</v>
      </c>
      <c r="H57" s="13"/>
      <c r="I57" s="300" t="n">
        <f aca="false">AVERAGEA(I44:I55)</f>
        <v>2.70333333333333</v>
      </c>
      <c r="J57" s="15"/>
      <c r="K57" s="300" t="n">
        <f aca="false">AVERAGEA(K44:K55)</f>
        <v>41.9527272727273</v>
      </c>
      <c r="L57" s="14"/>
      <c r="M57" s="14"/>
      <c r="N57" s="13"/>
      <c r="O57" s="14"/>
      <c r="P57" s="13"/>
      <c r="Q57" s="14"/>
      <c r="R57" s="290"/>
      <c r="S57" s="300" t="n">
        <f aca="false">AVERAGEA(S44:S55)</f>
        <v>0.624</v>
      </c>
      <c r="T57" s="37"/>
      <c r="U57" s="300" t="n">
        <f aca="false">AVERAGEA(U44:U55)</f>
        <v>0.6625</v>
      </c>
      <c r="V57" s="14"/>
      <c r="W57" s="301" t="n">
        <f aca="false">AVERAGEA(W44:W55)</f>
        <v>19.75</v>
      </c>
      <c r="X57" s="302"/>
      <c r="Y57" s="40"/>
      <c r="Z57" s="40"/>
      <c r="AA57" s="40"/>
      <c r="AB57" s="40"/>
      <c r="AC57" s="20"/>
      <c r="AD57" s="285"/>
      <c r="AE57" s="275"/>
      <c r="AF57" s="275"/>
      <c r="AG57" s="275"/>
      <c r="AH57" s="275"/>
      <c r="AI57" s="275"/>
      <c r="AJ57" s="275"/>
      <c r="AK57" s="275"/>
      <c r="AL57" s="275"/>
      <c r="AM57" s="275"/>
      <c r="AN57" s="275"/>
      <c r="AO57" s="275"/>
      <c r="AP57" s="274"/>
      <c r="AQ57" s="275"/>
      <c r="AR57" s="276"/>
      <c r="AS57" s="276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24" hidden="false" customHeight="false" outlineLevel="0" collapsed="false">
      <c r="A58" s="298"/>
      <c r="B58" s="14"/>
      <c r="C58" s="23"/>
      <c r="D58" s="14"/>
      <c r="E58" s="14"/>
      <c r="F58" s="14"/>
      <c r="G58" s="13"/>
      <c r="H58" s="13"/>
      <c r="I58" s="302"/>
      <c r="J58" s="15"/>
      <c r="K58" s="14"/>
      <c r="L58" s="14"/>
      <c r="M58" s="36"/>
      <c r="N58" s="13"/>
      <c r="O58" s="15"/>
      <c r="P58" s="13"/>
      <c r="Q58" s="37"/>
      <c r="R58" s="290"/>
      <c r="S58" s="14"/>
      <c r="T58" s="37"/>
      <c r="U58" s="14"/>
      <c r="V58" s="302"/>
      <c r="W58" s="303"/>
      <c r="X58" s="40"/>
      <c r="Y58" s="40"/>
      <c r="Z58" s="40"/>
      <c r="AA58" s="40"/>
      <c r="AB58" s="40"/>
      <c r="AC58" s="20"/>
      <c r="AD58" s="285"/>
      <c r="AE58" s="275"/>
      <c r="AF58" s="275"/>
      <c r="AG58" s="275"/>
      <c r="AH58" s="275"/>
      <c r="AI58" s="275"/>
      <c r="AJ58" s="275"/>
      <c r="AK58" s="275"/>
      <c r="AL58" s="275"/>
      <c r="AM58" s="275"/>
      <c r="AN58" s="275"/>
      <c r="AO58" s="275"/>
      <c r="AP58" s="274"/>
      <c r="AQ58" s="275"/>
      <c r="AR58" s="276"/>
      <c r="AS58" s="276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23.25" hidden="false" customHeight="false" outlineLevel="0" collapsed="false">
      <c r="A59" s="304" t="s">
        <v>124</v>
      </c>
      <c r="B59" s="14"/>
      <c r="C59" s="23"/>
      <c r="D59" s="14"/>
      <c r="E59" s="14"/>
      <c r="F59" s="14"/>
      <c r="G59" s="13"/>
      <c r="H59" s="13"/>
      <c r="I59" s="15"/>
      <c r="J59" s="15"/>
      <c r="K59" s="14"/>
      <c r="L59" s="14"/>
      <c r="M59" s="36"/>
      <c r="N59" s="13"/>
      <c r="O59" s="15"/>
      <c r="P59" s="13"/>
      <c r="Q59" s="37"/>
      <c r="R59" s="290"/>
      <c r="S59" s="14"/>
      <c r="T59" s="37"/>
      <c r="U59" s="14"/>
      <c r="V59" s="37"/>
      <c r="W59" s="303"/>
      <c r="X59" s="40"/>
      <c r="Y59" s="40"/>
      <c r="Z59" s="40"/>
      <c r="AA59" s="40"/>
      <c r="AB59" s="40"/>
      <c r="AC59" s="20"/>
      <c r="AD59" s="22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22"/>
      <c r="AQ59" s="22"/>
      <c r="AR59" s="305"/>
      <c r="AS59" s="22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23.25" hidden="false" customHeight="false" outlineLevel="0" collapsed="false">
      <c r="A60" s="304" t="s">
        <v>125</v>
      </c>
      <c r="B60" s="14"/>
      <c r="C60" s="23"/>
      <c r="D60" s="14"/>
      <c r="E60" s="14"/>
      <c r="F60" s="14"/>
      <c r="G60" s="13"/>
      <c r="H60" s="13"/>
      <c r="I60" s="15"/>
      <c r="J60" s="15"/>
      <c r="K60" s="14"/>
      <c r="L60" s="14"/>
      <c r="M60" s="36"/>
      <c r="N60" s="13"/>
      <c r="O60" s="15"/>
      <c r="P60" s="13"/>
      <c r="Q60" s="37"/>
      <c r="R60" s="290"/>
      <c r="S60" s="14"/>
      <c r="T60" s="37"/>
      <c r="U60" s="14"/>
      <c r="V60" s="37"/>
      <c r="W60" s="303"/>
      <c r="X60" s="40"/>
      <c r="Y60" s="40"/>
      <c r="Z60" s="40"/>
      <c r="AA60" s="40"/>
      <c r="AB60" s="40"/>
      <c r="AC60" s="20"/>
      <c r="AD60" s="22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22"/>
      <c r="AQ60" s="22"/>
      <c r="AR60" s="305"/>
      <c r="AS60" s="22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23.25" hidden="false" customHeight="false" outlineLevel="0" collapsed="false">
      <c r="A61" s="306"/>
      <c r="B61" s="165"/>
      <c r="C61" s="307"/>
      <c r="D61" s="165"/>
      <c r="E61" s="165"/>
      <c r="F61" s="165"/>
      <c r="G61" s="308"/>
      <c r="H61" s="308"/>
      <c r="I61" s="309"/>
      <c r="J61" s="309"/>
      <c r="K61" s="165"/>
      <c r="L61" s="165"/>
      <c r="M61" s="310"/>
      <c r="N61" s="308"/>
      <c r="O61" s="309"/>
      <c r="P61" s="308"/>
      <c r="Q61" s="311"/>
      <c r="R61" s="312"/>
      <c r="S61" s="165"/>
      <c r="T61" s="311"/>
      <c r="U61" s="165"/>
      <c r="V61" s="311"/>
      <c r="W61" s="313"/>
      <c r="X61" s="40"/>
      <c r="Y61" s="40"/>
      <c r="Z61" s="40"/>
      <c r="AA61" s="40"/>
      <c r="AB61" s="40"/>
      <c r="AC61" s="20"/>
      <c r="AD61" s="22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22"/>
      <c r="AQ61" s="22"/>
      <c r="AR61" s="305"/>
      <c r="AS61" s="22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23.25" hidden="false" customHeight="false" outlineLevel="0" collapsed="false">
      <c r="A62" s="195"/>
      <c r="B62" s="195"/>
      <c r="C62" s="314"/>
      <c r="D62" s="195"/>
      <c r="E62" s="195"/>
      <c r="F62" s="195"/>
      <c r="G62" s="188"/>
      <c r="H62" s="315"/>
      <c r="I62" s="316"/>
      <c r="J62" s="316"/>
      <c r="K62" s="190"/>
      <c r="L62" s="315"/>
      <c r="M62" s="316"/>
      <c r="N62" s="315"/>
      <c r="O62" s="191"/>
      <c r="P62" s="191"/>
      <c r="Q62" s="191"/>
      <c r="R62" s="191"/>
      <c r="S62" s="191"/>
      <c r="T62" s="315"/>
      <c r="U62" s="195"/>
      <c r="AC62" s="195"/>
      <c r="AF62" s="127"/>
      <c r="AR62" s="315"/>
      <c r="AT62" s="195"/>
      <c r="AU62" s="195"/>
      <c r="AV62" s="195"/>
      <c r="AW62" s="195"/>
      <c r="AX62" s="195"/>
      <c r="AY62" s="195"/>
      <c r="AZ62" s="195"/>
      <c r="BA62" s="195"/>
      <c r="BB62" s="195"/>
      <c r="BC62" s="195"/>
      <c r="BD62" s="195"/>
      <c r="BE62" s="195"/>
      <c r="BF62" s="195"/>
      <c r="BG62" s="195"/>
      <c r="BH62" s="195"/>
      <c r="BI62" s="195"/>
      <c r="BJ62" s="195"/>
      <c r="BK62" s="195"/>
      <c r="BL62" s="195"/>
      <c r="BM62" s="195"/>
      <c r="BN62" s="195"/>
      <c r="BO62" s="195"/>
      <c r="BP62" s="195"/>
      <c r="BQ62" s="195"/>
      <c r="BR62" s="195"/>
      <c r="BS62" s="195"/>
      <c r="BT62" s="195"/>
      <c r="BU62" s="195"/>
      <c r="BV62" s="195"/>
      <c r="BW62" s="195"/>
      <c r="BX62" s="195"/>
      <c r="BY62" s="195"/>
      <c r="BZ62" s="195"/>
      <c r="CA62" s="195"/>
      <c r="CB62" s="195"/>
      <c r="CC62" s="195"/>
      <c r="CD62" s="195"/>
      <c r="CE62" s="195"/>
      <c r="CF62" s="195"/>
      <c r="CG62" s="195"/>
      <c r="CH62" s="195"/>
      <c r="CI62" s="195"/>
      <c r="CJ62" s="195"/>
      <c r="CK62" s="195"/>
      <c r="CL62" s="195"/>
      <c r="CM62" s="195"/>
      <c r="CN62" s="195"/>
      <c r="CO62" s="195"/>
      <c r="CP62" s="195"/>
      <c r="CQ62" s="195"/>
      <c r="CR62" s="195"/>
      <c r="CS62" s="195"/>
      <c r="CT62" s="195"/>
      <c r="CU62" s="195"/>
      <c r="CV62" s="195"/>
      <c r="CW62" s="195"/>
      <c r="CX62" s="195"/>
      <c r="CY62" s="195"/>
      <c r="CZ62" s="195"/>
      <c r="DA62" s="195"/>
      <c r="DB62" s="195"/>
      <c r="DC62" s="195"/>
      <c r="DD62" s="195"/>
      <c r="DE62" s="195"/>
      <c r="DF62" s="195"/>
      <c r="DG62" s="195"/>
      <c r="DH62" s="195"/>
      <c r="DI62" s="195"/>
      <c r="DJ62" s="195"/>
      <c r="DK62" s="195"/>
      <c r="DL62" s="195"/>
      <c r="DM62" s="195"/>
      <c r="DN62" s="195"/>
      <c r="DO62" s="195"/>
      <c r="DP62" s="195"/>
      <c r="DQ62" s="195"/>
      <c r="DR62" s="195"/>
      <c r="DS62" s="195"/>
      <c r="DT62" s="195"/>
      <c r="DU62" s="195"/>
      <c r="DV62" s="195"/>
      <c r="DW62" s="195"/>
      <c r="DX62" s="195"/>
      <c r="DY62" s="195"/>
      <c r="DZ62" s="195"/>
      <c r="EA62" s="195"/>
      <c r="EB62" s="195"/>
      <c r="EC62" s="195"/>
      <c r="ED62" s="195"/>
      <c r="EE62" s="195"/>
      <c r="EF62" s="195"/>
      <c r="EG62" s="195"/>
      <c r="EH62" s="195"/>
      <c r="EI62" s="195"/>
      <c r="EJ62" s="195"/>
      <c r="EK62" s="195"/>
      <c r="EL62" s="195"/>
      <c r="EM62" s="195"/>
      <c r="EN62" s="195"/>
      <c r="EO62" s="195"/>
      <c r="EP62" s="195"/>
      <c r="EQ62" s="195"/>
      <c r="ER62" s="195"/>
      <c r="ES62" s="195"/>
      <c r="ET62" s="195"/>
      <c r="EU62" s="195"/>
      <c r="EV62" s="195"/>
      <c r="EW62" s="195"/>
      <c r="EX62" s="195"/>
      <c r="EY62" s="195"/>
      <c r="EZ62" s="195"/>
      <c r="FA62" s="195"/>
      <c r="FB62" s="195"/>
      <c r="FC62" s="195"/>
      <c r="FD62" s="195"/>
      <c r="FE62" s="195"/>
      <c r="FF62" s="195"/>
      <c r="FG62" s="195"/>
      <c r="FH62" s="195"/>
      <c r="FI62" s="195"/>
      <c r="FJ62" s="195"/>
      <c r="FK62" s="195"/>
      <c r="FL62" s="195"/>
      <c r="FM62" s="195"/>
      <c r="FN62" s="195"/>
      <c r="FO62" s="195"/>
      <c r="FP62" s="195"/>
      <c r="FQ62" s="195"/>
      <c r="FR62" s="195"/>
      <c r="FS62" s="195"/>
      <c r="FT62" s="195"/>
      <c r="FU62" s="195"/>
      <c r="FV62" s="195"/>
      <c r="FW62" s="195"/>
      <c r="FX62" s="195"/>
      <c r="FY62" s="195"/>
      <c r="FZ62" s="195"/>
      <c r="GA62" s="195"/>
      <c r="GB62" s="195"/>
      <c r="GC62" s="195"/>
      <c r="GD62" s="195"/>
      <c r="GE62" s="195"/>
      <c r="GF62" s="195"/>
      <c r="GG62" s="195"/>
      <c r="GH62" s="195"/>
      <c r="GI62" s="195"/>
      <c r="GJ62" s="195"/>
      <c r="GK62" s="195"/>
      <c r="GL62" s="195"/>
      <c r="GM62" s="195"/>
      <c r="GN62" s="195"/>
      <c r="GO62" s="195"/>
      <c r="GP62" s="195"/>
      <c r="GQ62" s="195"/>
      <c r="GR62" s="195"/>
      <c r="GS62" s="195"/>
      <c r="GT62" s="195"/>
      <c r="GU62" s="195"/>
      <c r="GV62" s="195"/>
      <c r="GW62" s="195"/>
      <c r="GX62" s="195"/>
      <c r="GY62" s="195"/>
      <c r="GZ62" s="195"/>
      <c r="HA62" s="195"/>
      <c r="HB62" s="195"/>
      <c r="HC62" s="195"/>
      <c r="HD62" s="195"/>
      <c r="HE62" s="195"/>
      <c r="HF62" s="195"/>
      <c r="HG62" s="195"/>
      <c r="HH62" s="195"/>
      <c r="HI62" s="195"/>
      <c r="HJ62" s="195"/>
      <c r="HK62" s="195"/>
      <c r="HL62" s="195"/>
      <c r="HM62" s="195"/>
      <c r="HN62" s="195"/>
      <c r="HO62" s="195"/>
      <c r="HP62" s="195"/>
      <c r="HQ62" s="195"/>
      <c r="HR62" s="195"/>
      <c r="HS62" s="195"/>
      <c r="HT62" s="195"/>
      <c r="HU62" s="195"/>
      <c r="HV62" s="195"/>
      <c r="HW62" s="195"/>
      <c r="HX62" s="195"/>
      <c r="HY62" s="195"/>
      <c r="HZ62" s="195"/>
      <c r="IA62" s="195"/>
      <c r="IB62" s="195"/>
      <c r="IC62" s="195"/>
      <c r="ID62" s="195"/>
      <c r="IE62" s="195"/>
      <c r="IF62" s="195"/>
      <c r="IG62" s="195"/>
      <c r="IH62" s="195"/>
      <c r="II62" s="195"/>
      <c r="IJ62" s="195"/>
      <c r="IK62" s="195"/>
      <c r="IL62" s="195"/>
      <c r="IM62" s="195"/>
      <c r="IN62" s="195"/>
      <c r="IO62" s="195"/>
      <c r="IP62" s="195"/>
      <c r="IQ62" s="195"/>
      <c r="IR62" s="195"/>
      <c r="IS62" s="195"/>
      <c r="IT62" s="195"/>
      <c r="IU62" s="195"/>
      <c r="IV62" s="195"/>
      <c r="IW62" s="195"/>
    </row>
    <row r="63" customFormat="false" ht="23.25" hidden="false" customHeight="false" outlineLevel="0" collapsed="false">
      <c r="A63" s="195"/>
      <c r="B63" s="195"/>
      <c r="C63" s="314"/>
      <c r="D63" s="195"/>
      <c r="F63" s="195"/>
      <c r="G63" s="188"/>
      <c r="H63" s="315"/>
      <c r="I63" s="316"/>
      <c r="J63" s="316"/>
      <c r="K63" s="190"/>
      <c r="L63" s="315"/>
      <c r="M63" s="316"/>
      <c r="N63" s="315"/>
      <c r="O63" s="191"/>
      <c r="P63" s="191"/>
      <c r="Q63" s="191"/>
      <c r="R63" s="191"/>
      <c r="S63" s="191"/>
      <c r="T63" s="315"/>
      <c r="U63" s="195"/>
      <c r="AC63" s="195"/>
      <c r="AF63" s="127"/>
      <c r="AR63" s="315"/>
      <c r="AT63" s="195"/>
      <c r="AU63" s="195"/>
      <c r="AV63" s="195"/>
      <c r="AW63" s="195"/>
      <c r="AX63" s="195"/>
      <c r="AY63" s="195"/>
      <c r="AZ63" s="195"/>
      <c r="BA63" s="195"/>
      <c r="BB63" s="195"/>
      <c r="BC63" s="195"/>
      <c r="BD63" s="195"/>
      <c r="BE63" s="195"/>
      <c r="BF63" s="195"/>
      <c r="BG63" s="195"/>
      <c r="BH63" s="195"/>
      <c r="BI63" s="195"/>
      <c r="BJ63" s="195"/>
      <c r="BK63" s="195"/>
      <c r="BL63" s="195"/>
      <c r="BM63" s="195"/>
      <c r="BN63" s="195"/>
      <c r="BO63" s="195"/>
      <c r="BP63" s="195"/>
      <c r="BQ63" s="195"/>
      <c r="BR63" s="195"/>
      <c r="BS63" s="195"/>
      <c r="BT63" s="195"/>
      <c r="BU63" s="195"/>
      <c r="BV63" s="195"/>
      <c r="BW63" s="195"/>
      <c r="BX63" s="195"/>
      <c r="BY63" s="195"/>
      <c r="BZ63" s="195"/>
      <c r="CA63" s="195"/>
      <c r="CB63" s="195"/>
      <c r="CC63" s="195"/>
      <c r="CD63" s="195"/>
      <c r="CE63" s="195"/>
      <c r="CF63" s="195"/>
      <c r="CG63" s="195"/>
      <c r="CH63" s="195"/>
      <c r="CI63" s="195"/>
      <c r="CJ63" s="195"/>
      <c r="CK63" s="195"/>
      <c r="CL63" s="195"/>
      <c r="CM63" s="195"/>
      <c r="CN63" s="195"/>
      <c r="CO63" s="195"/>
      <c r="CP63" s="195"/>
      <c r="CQ63" s="195"/>
      <c r="CR63" s="195"/>
      <c r="CS63" s="195"/>
      <c r="CT63" s="195"/>
      <c r="CU63" s="195"/>
      <c r="CV63" s="195"/>
      <c r="CW63" s="195"/>
      <c r="CX63" s="195"/>
      <c r="CY63" s="195"/>
      <c r="CZ63" s="195"/>
      <c r="DA63" s="195"/>
      <c r="DB63" s="195"/>
      <c r="DC63" s="195"/>
      <c r="DD63" s="195"/>
      <c r="DE63" s="195"/>
      <c r="DF63" s="195"/>
      <c r="DG63" s="195"/>
      <c r="DH63" s="195"/>
      <c r="DI63" s="195"/>
      <c r="DJ63" s="195"/>
      <c r="DK63" s="195"/>
      <c r="DL63" s="195"/>
      <c r="DM63" s="195"/>
      <c r="DN63" s="195"/>
      <c r="DO63" s="195"/>
      <c r="DP63" s="195"/>
      <c r="DQ63" s="195"/>
      <c r="DR63" s="195"/>
      <c r="DS63" s="195"/>
      <c r="DT63" s="195"/>
      <c r="DU63" s="195"/>
      <c r="DV63" s="195"/>
      <c r="DW63" s="195"/>
      <c r="DX63" s="195"/>
      <c r="DY63" s="195"/>
      <c r="DZ63" s="195"/>
      <c r="EA63" s="195"/>
      <c r="EB63" s="195"/>
      <c r="EC63" s="195"/>
      <c r="ED63" s="195"/>
      <c r="EE63" s="195"/>
      <c r="EF63" s="195"/>
      <c r="EG63" s="195"/>
      <c r="EH63" s="195"/>
      <c r="EI63" s="195"/>
      <c r="EJ63" s="195"/>
      <c r="EK63" s="195"/>
      <c r="EL63" s="195"/>
      <c r="EM63" s="195"/>
      <c r="EN63" s="195"/>
      <c r="EO63" s="195"/>
      <c r="EP63" s="195"/>
      <c r="EQ63" s="195"/>
      <c r="ER63" s="195"/>
      <c r="ES63" s="195"/>
      <c r="ET63" s="195"/>
      <c r="EU63" s="195"/>
      <c r="EV63" s="195"/>
      <c r="EW63" s="195"/>
      <c r="EX63" s="195"/>
      <c r="EY63" s="195"/>
      <c r="EZ63" s="195"/>
      <c r="FA63" s="195"/>
      <c r="FB63" s="195"/>
      <c r="FC63" s="195"/>
      <c r="FD63" s="195"/>
      <c r="FE63" s="195"/>
      <c r="FF63" s="195"/>
      <c r="FG63" s="195"/>
      <c r="FH63" s="195"/>
      <c r="FI63" s="195"/>
      <c r="FJ63" s="195"/>
      <c r="FK63" s="195"/>
      <c r="FL63" s="195"/>
      <c r="FM63" s="195"/>
      <c r="FN63" s="195"/>
      <c r="FO63" s="195"/>
      <c r="FP63" s="195"/>
      <c r="FQ63" s="195"/>
      <c r="FR63" s="195"/>
      <c r="FS63" s="195"/>
      <c r="FT63" s="195"/>
      <c r="FU63" s="195"/>
      <c r="FV63" s="195"/>
      <c r="FW63" s="195"/>
      <c r="FX63" s="195"/>
      <c r="FY63" s="195"/>
      <c r="FZ63" s="195"/>
      <c r="GA63" s="195"/>
      <c r="GB63" s="195"/>
      <c r="GC63" s="195"/>
      <c r="GD63" s="195"/>
      <c r="GE63" s="195"/>
      <c r="GF63" s="195"/>
      <c r="GG63" s="195"/>
      <c r="GH63" s="195"/>
      <c r="GI63" s="195"/>
      <c r="GJ63" s="195"/>
      <c r="GK63" s="195"/>
      <c r="GL63" s="195"/>
      <c r="GM63" s="195"/>
      <c r="GN63" s="195"/>
      <c r="GO63" s="195"/>
      <c r="GP63" s="195"/>
      <c r="GQ63" s="195"/>
      <c r="GR63" s="195"/>
      <c r="GS63" s="195"/>
      <c r="GT63" s="195"/>
      <c r="GU63" s="195"/>
      <c r="GV63" s="195"/>
      <c r="GW63" s="195"/>
      <c r="GX63" s="195"/>
      <c r="GY63" s="195"/>
      <c r="GZ63" s="195"/>
      <c r="HA63" s="195"/>
      <c r="HB63" s="195"/>
      <c r="HC63" s="195"/>
      <c r="HD63" s="195"/>
      <c r="HE63" s="195"/>
      <c r="HF63" s="195"/>
      <c r="HG63" s="195"/>
      <c r="HH63" s="195"/>
      <c r="HI63" s="195"/>
      <c r="HJ63" s="195"/>
      <c r="HK63" s="195"/>
      <c r="HL63" s="195"/>
      <c r="HM63" s="195"/>
      <c r="HN63" s="195"/>
      <c r="HO63" s="195"/>
      <c r="HP63" s="195"/>
      <c r="HQ63" s="195"/>
      <c r="HR63" s="195"/>
      <c r="HS63" s="195"/>
      <c r="HT63" s="195"/>
      <c r="HU63" s="195"/>
      <c r="HV63" s="195"/>
      <c r="HW63" s="195"/>
      <c r="HX63" s="195"/>
      <c r="HY63" s="195"/>
      <c r="HZ63" s="195"/>
      <c r="IA63" s="195"/>
      <c r="IB63" s="195"/>
      <c r="IC63" s="195"/>
      <c r="ID63" s="195"/>
      <c r="IE63" s="195"/>
      <c r="IF63" s="195"/>
      <c r="IG63" s="195"/>
      <c r="IH63" s="195"/>
      <c r="II63" s="195"/>
      <c r="IJ63" s="195"/>
      <c r="IK63" s="195"/>
      <c r="IL63" s="195"/>
      <c r="IM63" s="195"/>
      <c r="IN63" s="195"/>
      <c r="IO63" s="195"/>
      <c r="IP63" s="195"/>
      <c r="IQ63" s="195"/>
      <c r="IR63" s="195"/>
      <c r="IS63" s="195"/>
      <c r="IT63" s="195"/>
      <c r="IU63" s="195"/>
      <c r="IV63" s="195"/>
      <c r="IW63" s="195"/>
    </row>
    <row r="64" customFormat="false" ht="23.25" hidden="false" customHeight="false" outlineLevel="0" collapsed="false">
      <c r="A64" s="195"/>
      <c r="B64" s="195"/>
      <c r="C64" s="314"/>
      <c r="D64" s="195"/>
      <c r="F64" s="195"/>
      <c r="G64" s="188"/>
      <c r="H64" s="195"/>
      <c r="I64" s="316"/>
      <c r="J64" s="316"/>
      <c r="K64" s="317"/>
      <c r="L64" s="195"/>
      <c r="M64" s="316"/>
      <c r="N64" s="195"/>
      <c r="O64" s="318"/>
      <c r="P64" s="318"/>
      <c r="Q64" s="318"/>
      <c r="R64" s="318"/>
      <c r="S64" s="318"/>
      <c r="T64" s="195"/>
      <c r="U64" s="195"/>
      <c r="V64" s="319"/>
      <c r="W64" s="319"/>
      <c r="X64" s="319"/>
      <c r="Y64" s="319"/>
      <c r="Z64" s="319"/>
      <c r="AA64" s="319"/>
      <c r="AB64" s="319"/>
      <c r="AC64" s="195"/>
      <c r="AF64" s="127"/>
      <c r="AR64" s="315"/>
      <c r="AT64" s="195"/>
      <c r="AU64" s="195"/>
      <c r="AV64" s="195"/>
      <c r="AW64" s="195"/>
      <c r="AX64" s="195"/>
      <c r="AY64" s="195"/>
      <c r="AZ64" s="195"/>
      <c r="BA64" s="195"/>
      <c r="BB64" s="195"/>
      <c r="BC64" s="195"/>
      <c r="BD64" s="195"/>
      <c r="BE64" s="195"/>
      <c r="BF64" s="195"/>
      <c r="BG64" s="195"/>
      <c r="BH64" s="195"/>
      <c r="BI64" s="195"/>
      <c r="BJ64" s="195"/>
      <c r="BK64" s="195"/>
      <c r="BL64" s="195"/>
      <c r="BM64" s="195"/>
      <c r="BN64" s="195"/>
      <c r="BO64" s="195"/>
      <c r="BP64" s="195"/>
      <c r="BQ64" s="195"/>
      <c r="BR64" s="195"/>
      <c r="BS64" s="195"/>
      <c r="BT64" s="195"/>
      <c r="BU64" s="195"/>
      <c r="BV64" s="195"/>
      <c r="BW64" s="195"/>
      <c r="BX64" s="195"/>
      <c r="BY64" s="195"/>
      <c r="BZ64" s="195"/>
      <c r="CA64" s="195"/>
      <c r="CB64" s="195"/>
      <c r="CC64" s="195"/>
      <c r="CD64" s="195"/>
      <c r="CE64" s="195"/>
      <c r="CF64" s="195"/>
      <c r="CG64" s="195"/>
      <c r="CH64" s="195"/>
      <c r="CI64" s="195"/>
      <c r="CJ64" s="195"/>
      <c r="CK64" s="195"/>
      <c r="CL64" s="195"/>
      <c r="CM64" s="195"/>
      <c r="CN64" s="195"/>
      <c r="CO64" s="195"/>
      <c r="CP64" s="195"/>
      <c r="CQ64" s="195"/>
      <c r="CR64" s="195"/>
      <c r="CS64" s="195"/>
      <c r="CT64" s="195"/>
      <c r="CU64" s="195"/>
      <c r="CV64" s="195"/>
      <c r="CW64" s="195"/>
      <c r="CX64" s="195"/>
      <c r="CY64" s="195"/>
      <c r="CZ64" s="195"/>
      <c r="DA64" s="195"/>
      <c r="DB64" s="195"/>
      <c r="DC64" s="195"/>
      <c r="DD64" s="195"/>
      <c r="DE64" s="195"/>
      <c r="DF64" s="195"/>
      <c r="DG64" s="195"/>
      <c r="DH64" s="195"/>
      <c r="DI64" s="195"/>
      <c r="DJ64" s="195"/>
      <c r="DK64" s="195"/>
      <c r="DL64" s="195"/>
      <c r="DM64" s="195"/>
      <c r="DN64" s="195"/>
      <c r="DO64" s="195"/>
      <c r="DP64" s="195"/>
      <c r="DQ64" s="195"/>
      <c r="DR64" s="195"/>
      <c r="DS64" s="195"/>
      <c r="DT64" s="195"/>
      <c r="DU64" s="195"/>
      <c r="DV64" s="195"/>
      <c r="DW64" s="195"/>
      <c r="DX64" s="195"/>
      <c r="DY64" s="195"/>
      <c r="DZ64" s="195"/>
      <c r="EA64" s="195"/>
      <c r="EB64" s="195"/>
      <c r="EC64" s="195"/>
      <c r="ED64" s="195"/>
      <c r="EE64" s="195"/>
      <c r="EF64" s="195"/>
      <c r="EG64" s="195"/>
      <c r="EH64" s="195"/>
      <c r="EI64" s="195"/>
      <c r="EJ64" s="195"/>
      <c r="EK64" s="195"/>
      <c r="EL64" s="195"/>
      <c r="EM64" s="195"/>
      <c r="EN64" s="195"/>
      <c r="EO64" s="195"/>
      <c r="EP64" s="195"/>
      <c r="EQ64" s="195"/>
      <c r="ER64" s="195"/>
      <c r="ES64" s="195"/>
      <c r="ET64" s="195"/>
      <c r="EU64" s="195"/>
      <c r="EV64" s="195"/>
      <c r="EW64" s="195"/>
      <c r="EX64" s="195"/>
      <c r="EY64" s="195"/>
      <c r="EZ64" s="195"/>
      <c r="FA64" s="195"/>
      <c r="FB64" s="195"/>
      <c r="FC64" s="195"/>
      <c r="FD64" s="195"/>
      <c r="FE64" s="195"/>
      <c r="FF64" s="195"/>
      <c r="FG64" s="195"/>
      <c r="FH64" s="195"/>
      <c r="FI64" s="195"/>
      <c r="FJ64" s="195"/>
      <c r="FK64" s="195"/>
      <c r="FL64" s="195"/>
      <c r="FM64" s="195"/>
      <c r="FN64" s="195"/>
      <c r="FO64" s="195"/>
      <c r="FP64" s="195"/>
      <c r="FQ64" s="195"/>
      <c r="FR64" s="195"/>
      <c r="FS64" s="195"/>
      <c r="FT64" s="195"/>
      <c r="FU64" s="195"/>
      <c r="FV64" s="195"/>
      <c r="FW64" s="195"/>
      <c r="FX64" s="195"/>
      <c r="FY64" s="195"/>
      <c r="FZ64" s="195"/>
      <c r="GA64" s="195"/>
      <c r="GB64" s="195"/>
      <c r="GC64" s="195"/>
      <c r="GD64" s="195"/>
      <c r="GE64" s="195"/>
      <c r="GF64" s="195"/>
      <c r="GG64" s="195"/>
      <c r="GH64" s="195"/>
      <c r="GI64" s="195"/>
      <c r="GJ64" s="195"/>
      <c r="GK64" s="195"/>
      <c r="GL64" s="195"/>
      <c r="GM64" s="195"/>
      <c r="GN64" s="195"/>
      <c r="GO64" s="195"/>
      <c r="GP64" s="195"/>
      <c r="GQ64" s="195"/>
      <c r="GR64" s="195"/>
      <c r="GS64" s="195"/>
      <c r="GT64" s="195"/>
      <c r="GU64" s="195"/>
      <c r="GV64" s="195"/>
      <c r="GW64" s="195"/>
      <c r="GX64" s="195"/>
      <c r="GY64" s="195"/>
      <c r="GZ64" s="195"/>
      <c r="HA64" s="195"/>
      <c r="HB64" s="195"/>
      <c r="HC64" s="195"/>
      <c r="HD64" s="195"/>
      <c r="HE64" s="195"/>
      <c r="HF64" s="195"/>
      <c r="HG64" s="195"/>
      <c r="HH64" s="195"/>
      <c r="HI64" s="195"/>
      <c r="HJ64" s="195"/>
      <c r="HK64" s="195"/>
      <c r="HL64" s="195"/>
      <c r="HM64" s="195"/>
      <c r="HN64" s="195"/>
      <c r="HO64" s="195"/>
      <c r="HP64" s="195"/>
      <c r="HQ64" s="195"/>
      <c r="HR64" s="195"/>
      <c r="HS64" s="195"/>
      <c r="HT64" s="195"/>
      <c r="HU64" s="195"/>
      <c r="HV64" s="195"/>
      <c r="HW64" s="195"/>
      <c r="HX64" s="195"/>
      <c r="HY64" s="195"/>
      <c r="HZ64" s="195"/>
      <c r="IA64" s="195"/>
      <c r="IB64" s="195"/>
      <c r="IC64" s="195"/>
      <c r="ID64" s="195"/>
      <c r="IE64" s="195"/>
      <c r="IF64" s="195"/>
      <c r="IG64" s="195"/>
      <c r="IH64" s="195"/>
      <c r="II64" s="195"/>
      <c r="IJ64" s="195"/>
      <c r="IK64" s="195"/>
      <c r="IL64" s="195"/>
      <c r="IM64" s="195"/>
      <c r="IN64" s="195"/>
      <c r="IO64" s="195"/>
      <c r="IP64" s="195"/>
      <c r="IQ64" s="195"/>
      <c r="IR64" s="195"/>
      <c r="IS64" s="195"/>
      <c r="IT64" s="195"/>
      <c r="IU64" s="195"/>
      <c r="IV64" s="195"/>
      <c r="IW64" s="195"/>
    </row>
    <row r="65" customFormat="false" ht="23.25" hidden="false" customHeight="false" outlineLevel="0" collapsed="false">
      <c r="A65" s="195"/>
      <c r="B65" s="195"/>
      <c r="C65" s="314"/>
      <c r="D65" s="195"/>
      <c r="F65" s="195"/>
      <c r="G65" s="188"/>
      <c r="H65" s="195"/>
      <c r="I65" s="316"/>
      <c r="J65" s="316"/>
      <c r="K65" s="317"/>
      <c r="L65" s="195"/>
      <c r="M65" s="316"/>
      <c r="N65" s="195"/>
      <c r="O65" s="7"/>
      <c r="Q65" s="7"/>
      <c r="S65" s="7"/>
      <c r="T65" s="195"/>
      <c r="U65" s="195"/>
      <c r="V65" s="319"/>
      <c r="W65" s="319"/>
      <c r="X65" s="319"/>
      <c r="Y65" s="319"/>
      <c r="Z65" s="319"/>
      <c r="AA65" s="319"/>
      <c r="AB65" s="319"/>
      <c r="AC65" s="195"/>
      <c r="AF65" s="127"/>
      <c r="AR65" s="315"/>
      <c r="AT65" s="195"/>
      <c r="AU65" s="195"/>
      <c r="AV65" s="195"/>
      <c r="AW65" s="195"/>
      <c r="AX65" s="195"/>
      <c r="AY65" s="195"/>
      <c r="AZ65" s="195"/>
      <c r="BA65" s="195"/>
      <c r="BB65" s="195"/>
      <c r="BC65" s="195"/>
      <c r="BD65" s="195"/>
      <c r="BE65" s="195"/>
      <c r="BF65" s="195"/>
      <c r="BG65" s="195"/>
      <c r="BH65" s="195"/>
      <c r="BI65" s="195"/>
      <c r="BJ65" s="195"/>
      <c r="BK65" s="195"/>
      <c r="BL65" s="195"/>
      <c r="BM65" s="195"/>
      <c r="BN65" s="195"/>
      <c r="BO65" s="195"/>
      <c r="BP65" s="195"/>
      <c r="BQ65" s="195"/>
      <c r="BR65" s="195"/>
      <c r="BS65" s="195"/>
      <c r="BT65" s="195"/>
      <c r="BU65" s="195"/>
      <c r="BV65" s="195"/>
      <c r="BW65" s="195"/>
      <c r="BX65" s="195"/>
      <c r="BY65" s="195"/>
      <c r="BZ65" s="195"/>
      <c r="CA65" s="195"/>
      <c r="CB65" s="195"/>
      <c r="CC65" s="195"/>
      <c r="CD65" s="195"/>
      <c r="CE65" s="195"/>
      <c r="CF65" s="195"/>
      <c r="CG65" s="195"/>
      <c r="CH65" s="195"/>
      <c r="CI65" s="195"/>
      <c r="CJ65" s="195"/>
      <c r="CK65" s="195"/>
      <c r="CL65" s="195"/>
      <c r="CM65" s="195"/>
      <c r="CN65" s="195"/>
      <c r="CO65" s="195"/>
      <c r="CP65" s="195"/>
      <c r="CQ65" s="195"/>
      <c r="CR65" s="195"/>
      <c r="CS65" s="195"/>
      <c r="CT65" s="195"/>
      <c r="CU65" s="195"/>
      <c r="CV65" s="195"/>
      <c r="CW65" s="195"/>
      <c r="CX65" s="195"/>
      <c r="CY65" s="195"/>
      <c r="CZ65" s="195"/>
      <c r="DA65" s="195"/>
      <c r="DB65" s="195"/>
      <c r="DC65" s="195"/>
      <c r="DD65" s="195"/>
      <c r="DE65" s="195"/>
      <c r="DF65" s="195"/>
      <c r="DG65" s="195"/>
      <c r="DH65" s="195"/>
      <c r="DI65" s="195"/>
      <c r="DJ65" s="195"/>
      <c r="DK65" s="195"/>
      <c r="DL65" s="195"/>
      <c r="DM65" s="195"/>
      <c r="DN65" s="195"/>
      <c r="DO65" s="195"/>
      <c r="DP65" s="195"/>
      <c r="DQ65" s="195"/>
      <c r="DR65" s="195"/>
      <c r="DS65" s="195"/>
      <c r="DT65" s="195"/>
      <c r="DU65" s="195"/>
      <c r="DV65" s="195"/>
      <c r="DW65" s="195"/>
      <c r="DX65" s="195"/>
      <c r="DY65" s="195"/>
      <c r="DZ65" s="195"/>
      <c r="EA65" s="195"/>
      <c r="EB65" s="195"/>
      <c r="EC65" s="195"/>
      <c r="ED65" s="195"/>
      <c r="EE65" s="195"/>
      <c r="EF65" s="195"/>
      <c r="EG65" s="195"/>
      <c r="EH65" s="195"/>
      <c r="EI65" s="195"/>
      <c r="EJ65" s="195"/>
      <c r="EK65" s="195"/>
      <c r="EL65" s="195"/>
      <c r="EM65" s="195"/>
      <c r="EN65" s="195"/>
      <c r="EO65" s="195"/>
      <c r="EP65" s="195"/>
      <c r="EQ65" s="195"/>
      <c r="ER65" s="195"/>
      <c r="ES65" s="195"/>
      <c r="ET65" s="195"/>
      <c r="EU65" s="195"/>
      <c r="EV65" s="195"/>
      <c r="EW65" s="195"/>
      <c r="EX65" s="195"/>
      <c r="EY65" s="195"/>
      <c r="EZ65" s="195"/>
      <c r="FA65" s="195"/>
      <c r="FB65" s="195"/>
      <c r="FC65" s="195"/>
      <c r="FD65" s="195"/>
      <c r="FE65" s="195"/>
      <c r="FF65" s="195"/>
      <c r="FG65" s="195"/>
      <c r="FH65" s="195"/>
      <c r="FI65" s="195"/>
      <c r="FJ65" s="195"/>
      <c r="FK65" s="195"/>
      <c r="FL65" s="195"/>
      <c r="FM65" s="195"/>
      <c r="FN65" s="195"/>
      <c r="FO65" s="195"/>
      <c r="FP65" s="195"/>
      <c r="FQ65" s="195"/>
      <c r="FR65" s="195"/>
      <c r="FS65" s="195"/>
      <c r="FT65" s="195"/>
      <c r="FU65" s="195"/>
      <c r="FV65" s="195"/>
      <c r="FW65" s="195"/>
      <c r="FX65" s="195"/>
      <c r="FY65" s="195"/>
      <c r="FZ65" s="195"/>
      <c r="GA65" s="195"/>
      <c r="GB65" s="195"/>
      <c r="GC65" s="195"/>
      <c r="GD65" s="195"/>
      <c r="GE65" s="195"/>
      <c r="GF65" s="195"/>
      <c r="GG65" s="195"/>
      <c r="GH65" s="195"/>
      <c r="GI65" s="195"/>
      <c r="GJ65" s="195"/>
      <c r="GK65" s="195"/>
      <c r="GL65" s="195"/>
      <c r="GM65" s="195"/>
      <c r="GN65" s="195"/>
      <c r="GO65" s="195"/>
      <c r="GP65" s="195"/>
      <c r="GQ65" s="195"/>
      <c r="GR65" s="195"/>
      <c r="GS65" s="195"/>
      <c r="GT65" s="195"/>
      <c r="GU65" s="195"/>
      <c r="GV65" s="195"/>
      <c r="GW65" s="195"/>
      <c r="GX65" s="195"/>
      <c r="GY65" s="195"/>
      <c r="GZ65" s="195"/>
      <c r="HA65" s="195"/>
      <c r="HB65" s="195"/>
      <c r="HC65" s="195"/>
      <c r="HD65" s="195"/>
      <c r="HE65" s="195"/>
      <c r="HF65" s="195"/>
      <c r="HG65" s="195"/>
      <c r="HH65" s="195"/>
      <c r="HI65" s="195"/>
      <c r="HJ65" s="195"/>
      <c r="HK65" s="195"/>
      <c r="HL65" s="195"/>
      <c r="HM65" s="195"/>
      <c r="HN65" s="195"/>
      <c r="HO65" s="195"/>
      <c r="HP65" s="195"/>
      <c r="HQ65" s="195"/>
      <c r="HR65" s="195"/>
      <c r="HS65" s="195"/>
      <c r="HT65" s="195"/>
      <c r="HU65" s="195"/>
      <c r="HV65" s="195"/>
      <c r="HW65" s="195"/>
      <c r="HX65" s="195"/>
      <c r="HY65" s="195"/>
      <c r="HZ65" s="195"/>
      <c r="IA65" s="195"/>
      <c r="IB65" s="195"/>
      <c r="IC65" s="195"/>
      <c r="ID65" s="195"/>
      <c r="IE65" s="195"/>
      <c r="IF65" s="195"/>
      <c r="IG65" s="195"/>
      <c r="IH65" s="195"/>
      <c r="II65" s="195"/>
      <c r="IJ65" s="195"/>
      <c r="IK65" s="195"/>
      <c r="IL65" s="195"/>
      <c r="IM65" s="195"/>
      <c r="IN65" s="195"/>
      <c r="IO65" s="195"/>
      <c r="IP65" s="195"/>
      <c r="IQ65" s="195"/>
      <c r="IR65" s="195"/>
      <c r="IS65" s="195"/>
      <c r="IT65" s="195"/>
      <c r="IU65" s="195"/>
      <c r="IV65" s="195"/>
      <c r="IW65" s="195"/>
    </row>
    <row r="66" customFormat="false" ht="23.25" hidden="false" customHeight="false" outlineLevel="0" collapsed="false">
      <c r="O66" s="320"/>
      <c r="P66" s="321"/>
      <c r="Q66" s="320"/>
      <c r="R66" s="321"/>
      <c r="S66" s="320"/>
      <c r="V66" s="319"/>
      <c r="W66" s="319"/>
      <c r="X66" s="319"/>
      <c r="Y66" s="319"/>
      <c r="Z66" s="319"/>
      <c r="AA66" s="319"/>
      <c r="AB66" s="319"/>
      <c r="AE66" s="322"/>
      <c r="AF66" s="127"/>
      <c r="AG66" s="322"/>
      <c r="AH66" s="322"/>
      <c r="AI66" s="322"/>
      <c r="AJ66" s="322"/>
      <c r="AK66" s="322"/>
      <c r="AL66" s="322"/>
      <c r="AM66" s="322"/>
      <c r="AN66" s="322"/>
      <c r="AO66" s="322"/>
      <c r="AR66" s="177"/>
      <c r="AT66" s="195"/>
      <c r="AU66" s="195"/>
      <c r="AV66" s="195"/>
      <c r="AX66" s="195"/>
      <c r="AY66" s="195"/>
      <c r="AZ66" s="195"/>
      <c r="BC66" s="323"/>
    </row>
    <row r="67" customFormat="false" ht="23.25" hidden="false" customHeight="false" outlineLevel="0" collapsed="false">
      <c r="O67" s="320"/>
      <c r="P67" s="321"/>
      <c r="Q67" s="320"/>
      <c r="R67" s="321"/>
      <c r="S67" s="320"/>
      <c r="V67" s="319"/>
      <c r="W67" s="319"/>
      <c r="X67" s="319"/>
      <c r="Y67" s="319"/>
      <c r="Z67" s="319"/>
      <c r="AA67" s="319"/>
      <c r="AB67" s="319"/>
      <c r="AE67" s="322"/>
      <c r="AF67" s="127"/>
      <c r="AG67" s="322"/>
      <c r="AH67" s="322"/>
      <c r="AI67" s="322"/>
      <c r="AJ67" s="322"/>
      <c r="AK67" s="322"/>
      <c r="AL67" s="322"/>
      <c r="AM67" s="322"/>
      <c r="AN67" s="322"/>
      <c r="AO67" s="322"/>
      <c r="AR67" s="177"/>
      <c r="AT67" s="195"/>
      <c r="AU67" s="195"/>
      <c r="AV67" s="195"/>
      <c r="AX67" s="195"/>
      <c r="AY67" s="195"/>
      <c r="AZ67" s="195"/>
      <c r="BC67" s="323"/>
    </row>
    <row r="68" customFormat="false" ht="23.25" hidden="false" customHeight="false" outlineLevel="0" collapsed="false">
      <c r="O68" s="320"/>
      <c r="P68" s="321"/>
      <c r="Q68" s="320"/>
      <c r="R68" s="321"/>
      <c r="S68" s="320"/>
      <c r="V68" s="319"/>
      <c r="W68" s="319"/>
      <c r="X68" s="319"/>
      <c r="Y68" s="319"/>
      <c r="Z68" s="319"/>
      <c r="AA68" s="319"/>
      <c r="AB68" s="319"/>
      <c r="AE68" s="322"/>
      <c r="AF68" s="127"/>
      <c r="AG68" s="322"/>
      <c r="AH68" s="322"/>
      <c r="AI68" s="322"/>
      <c r="AJ68" s="322"/>
      <c r="AK68" s="322"/>
      <c r="AL68" s="322"/>
      <c r="AM68" s="322"/>
      <c r="AN68" s="322"/>
      <c r="AO68" s="322"/>
      <c r="AR68" s="185"/>
      <c r="AT68" s="195"/>
      <c r="AU68" s="195"/>
      <c r="AV68" s="195"/>
      <c r="AX68" s="195"/>
      <c r="AY68" s="195"/>
      <c r="AZ68" s="195"/>
      <c r="BC68" s="323"/>
    </row>
    <row r="69" customFormat="false" ht="23.25" hidden="false" customHeight="false" outlineLevel="0" collapsed="false">
      <c r="O69" s="320"/>
      <c r="P69" s="321"/>
      <c r="Q69" s="320"/>
      <c r="R69" s="321"/>
      <c r="S69" s="320"/>
      <c r="V69" s="319"/>
      <c r="W69" s="319"/>
      <c r="X69" s="319"/>
      <c r="Y69" s="319"/>
      <c r="Z69" s="319"/>
      <c r="AA69" s="319"/>
      <c r="AB69" s="319"/>
      <c r="AE69" s="322"/>
      <c r="AF69" s="127"/>
      <c r="AG69" s="322"/>
      <c r="AH69" s="322"/>
      <c r="AI69" s="322"/>
      <c r="AJ69" s="322"/>
      <c r="AK69" s="322"/>
      <c r="AL69" s="322"/>
      <c r="AM69" s="322"/>
      <c r="AN69" s="322"/>
      <c r="AO69" s="322"/>
      <c r="AR69" s="185"/>
      <c r="AT69" s="195"/>
      <c r="AU69" s="195"/>
      <c r="AV69" s="195"/>
      <c r="AX69" s="195"/>
      <c r="AY69" s="195"/>
      <c r="AZ69" s="195"/>
      <c r="BC69" s="323"/>
    </row>
    <row r="70" customFormat="false" ht="23.25" hidden="false" customHeight="false" outlineLevel="0" collapsed="false">
      <c r="O70" s="320"/>
      <c r="P70" s="321"/>
      <c r="Q70" s="320"/>
      <c r="R70" s="321"/>
      <c r="S70" s="320"/>
      <c r="V70" s="319"/>
      <c r="W70" s="319"/>
      <c r="X70" s="319"/>
      <c r="Y70" s="319"/>
      <c r="Z70" s="319"/>
      <c r="AA70" s="319"/>
      <c r="AB70" s="319"/>
      <c r="AE70" s="322"/>
      <c r="AF70" s="127"/>
      <c r="AG70" s="322"/>
      <c r="AH70" s="322"/>
      <c r="AI70" s="322"/>
      <c r="AJ70" s="322"/>
      <c r="AK70" s="322"/>
      <c r="AL70" s="322"/>
      <c r="AM70" s="322"/>
      <c r="AN70" s="322"/>
      <c r="AO70" s="322"/>
      <c r="AR70" s="185"/>
      <c r="AT70" s="195"/>
      <c r="AU70" s="195"/>
      <c r="AV70" s="195"/>
      <c r="AX70" s="195"/>
      <c r="AY70" s="195"/>
      <c r="AZ70" s="195"/>
      <c r="BC70" s="323"/>
    </row>
    <row r="71" customFormat="false" ht="23.25" hidden="false" customHeight="false" outlineLevel="0" collapsed="false">
      <c r="O71" s="320"/>
      <c r="P71" s="321"/>
      <c r="Q71" s="320"/>
      <c r="R71" s="321"/>
      <c r="S71" s="320"/>
      <c r="V71" s="319"/>
      <c r="W71" s="319"/>
      <c r="X71" s="319"/>
      <c r="Y71" s="319"/>
      <c r="Z71" s="319"/>
      <c r="AA71" s="319"/>
      <c r="AB71" s="319"/>
      <c r="AE71" s="322"/>
      <c r="AF71" s="127"/>
      <c r="AG71" s="322"/>
      <c r="AH71" s="322"/>
      <c r="AI71" s="322"/>
      <c r="AJ71" s="322"/>
      <c r="AK71" s="322"/>
      <c r="AL71" s="322"/>
      <c r="AM71" s="322"/>
      <c r="AN71" s="322"/>
      <c r="AO71" s="322"/>
      <c r="AR71" s="185"/>
      <c r="AT71" s="195"/>
      <c r="AU71" s="195"/>
      <c r="AV71" s="195"/>
      <c r="AX71" s="195"/>
      <c r="AY71" s="195"/>
      <c r="AZ71" s="195"/>
      <c r="BC71" s="323"/>
    </row>
    <row r="72" customFormat="false" ht="23.25" hidden="false" customHeight="false" outlineLevel="0" collapsed="false">
      <c r="O72" s="320"/>
      <c r="P72" s="321"/>
      <c r="Q72" s="320"/>
      <c r="R72" s="321"/>
      <c r="S72" s="320"/>
      <c r="V72" s="319"/>
      <c r="W72" s="319"/>
      <c r="X72" s="319"/>
      <c r="Y72" s="319"/>
      <c r="Z72" s="319"/>
      <c r="AA72" s="319"/>
      <c r="AB72" s="319"/>
      <c r="AE72" s="322"/>
      <c r="AF72" s="127"/>
      <c r="AG72" s="322"/>
      <c r="AH72" s="322"/>
      <c r="AI72" s="322"/>
      <c r="AJ72" s="322"/>
      <c r="AK72" s="322"/>
      <c r="AL72" s="322"/>
      <c r="AM72" s="322"/>
      <c r="AN72" s="322"/>
      <c r="AO72" s="322"/>
      <c r="AR72" s="185"/>
      <c r="AT72" s="195"/>
      <c r="AU72" s="195"/>
      <c r="AV72" s="195"/>
      <c r="AX72" s="195"/>
      <c r="AY72" s="195"/>
      <c r="AZ72" s="195"/>
      <c r="BC72" s="323"/>
    </row>
    <row r="73" customFormat="false" ht="23.25" hidden="false" customHeight="false" outlineLevel="0" collapsed="false">
      <c r="O73" s="320"/>
      <c r="P73" s="321"/>
      <c r="Q73" s="320"/>
      <c r="R73" s="321"/>
      <c r="S73" s="320"/>
      <c r="V73" s="319"/>
      <c r="W73" s="319"/>
      <c r="X73" s="319"/>
      <c r="Y73" s="319"/>
      <c r="Z73" s="319"/>
      <c r="AA73" s="319"/>
      <c r="AB73" s="319"/>
      <c r="AE73" s="322"/>
      <c r="AF73" s="127"/>
      <c r="AG73" s="322"/>
      <c r="AH73" s="322"/>
      <c r="AI73" s="322"/>
      <c r="AJ73" s="322"/>
      <c r="AK73" s="322"/>
      <c r="AL73" s="322"/>
      <c r="AM73" s="322"/>
      <c r="AN73" s="322"/>
      <c r="AO73" s="322"/>
      <c r="AR73" s="185"/>
      <c r="AT73" s="195"/>
      <c r="AU73" s="195"/>
      <c r="AV73" s="195"/>
      <c r="AX73" s="195"/>
      <c r="AY73" s="195"/>
      <c r="AZ73" s="195"/>
      <c r="BC73" s="323"/>
    </row>
    <row r="74" customFormat="false" ht="18" hidden="false" customHeight="false" outlineLevel="0" collapsed="false">
      <c r="O74" s="320"/>
      <c r="P74" s="321"/>
      <c r="Q74" s="320"/>
      <c r="R74" s="321"/>
      <c r="S74" s="320"/>
      <c r="V74" s="319"/>
      <c r="W74" s="319"/>
      <c r="X74" s="319"/>
      <c r="Y74" s="319"/>
      <c r="Z74" s="319"/>
      <c r="AA74" s="319"/>
      <c r="AB74" s="319"/>
      <c r="AE74" s="322"/>
      <c r="AF74" s="322"/>
      <c r="AG74" s="322"/>
      <c r="AH74" s="322"/>
      <c r="AI74" s="322"/>
      <c r="AJ74" s="322"/>
      <c r="AK74" s="322"/>
      <c r="AL74" s="322"/>
      <c r="AM74" s="322"/>
      <c r="AN74" s="322"/>
      <c r="AO74" s="322"/>
      <c r="AR74" s="185"/>
      <c r="AT74" s="195"/>
      <c r="AU74" s="195"/>
      <c r="AV74" s="195"/>
      <c r="AX74" s="195"/>
      <c r="AY74" s="195"/>
      <c r="AZ74" s="195"/>
      <c r="BC74" s="323"/>
    </row>
    <row r="75" customFormat="false" ht="18" hidden="false" customHeight="false" outlineLevel="0" collapsed="false">
      <c r="O75" s="320"/>
      <c r="P75" s="321"/>
      <c r="Q75" s="320"/>
      <c r="R75" s="321"/>
      <c r="S75" s="320"/>
      <c r="V75" s="319"/>
      <c r="W75" s="319"/>
      <c r="X75" s="319"/>
      <c r="Y75" s="319"/>
      <c r="Z75" s="319"/>
      <c r="AA75" s="319"/>
      <c r="AB75" s="319"/>
      <c r="AE75" s="322"/>
      <c r="AF75" s="322"/>
      <c r="AG75" s="322"/>
      <c r="AH75" s="322"/>
      <c r="AI75" s="322"/>
      <c r="AJ75" s="322"/>
      <c r="AK75" s="322"/>
      <c r="AL75" s="322"/>
      <c r="AM75" s="322"/>
      <c r="AN75" s="322"/>
      <c r="AO75" s="322"/>
      <c r="AR75" s="185"/>
      <c r="AT75" s="195"/>
      <c r="AU75" s="195"/>
      <c r="AV75" s="195"/>
      <c r="AX75" s="195"/>
      <c r="AY75" s="195"/>
      <c r="AZ75" s="195"/>
      <c r="BC75" s="323"/>
    </row>
    <row r="76" customFormat="false" ht="18" hidden="false" customHeight="false" outlineLevel="0" collapsed="false">
      <c r="O76" s="320"/>
      <c r="P76" s="321"/>
      <c r="Q76" s="320"/>
      <c r="R76" s="321"/>
      <c r="S76" s="320"/>
      <c r="V76" s="319"/>
      <c r="W76" s="319"/>
      <c r="X76" s="319"/>
      <c r="Y76" s="319"/>
      <c r="Z76" s="319"/>
      <c r="AA76" s="319"/>
      <c r="AB76" s="319"/>
      <c r="AE76" s="322"/>
      <c r="AF76" s="322"/>
      <c r="AG76" s="322"/>
      <c r="AH76" s="322"/>
      <c r="AI76" s="322"/>
      <c r="AJ76" s="322"/>
      <c r="AK76" s="322"/>
      <c r="AL76" s="322"/>
      <c r="AM76" s="322"/>
      <c r="AN76" s="322"/>
      <c r="AO76" s="322"/>
      <c r="AR76" s="185"/>
      <c r="AT76" s="195"/>
      <c r="AU76" s="195"/>
      <c r="AV76" s="195"/>
      <c r="AX76" s="195"/>
      <c r="AY76" s="195"/>
      <c r="AZ76" s="195"/>
      <c r="BC76" s="323"/>
    </row>
    <row r="77" customFormat="false" ht="18" hidden="false" customHeight="false" outlineLevel="0" collapsed="false">
      <c r="O77" s="320"/>
      <c r="P77" s="321"/>
      <c r="Q77" s="320"/>
      <c r="R77" s="321"/>
      <c r="S77" s="320"/>
      <c r="V77" s="319"/>
      <c r="W77" s="319"/>
      <c r="X77" s="319"/>
      <c r="Y77" s="319"/>
      <c r="Z77" s="319"/>
      <c r="AA77" s="319"/>
      <c r="AB77" s="319"/>
      <c r="AE77" s="322"/>
      <c r="AF77" s="322"/>
      <c r="AG77" s="322"/>
      <c r="AH77" s="322"/>
      <c r="AI77" s="322"/>
      <c r="AJ77" s="322"/>
      <c r="AK77" s="322"/>
      <c r="AL77" s="322"/>
      <c r="AM77" s="322"/>
      <c r="AN77" s="322"/>
      <c r="AO77" s="322"/>
      <c r="AR77" s="185"/>
      <c r="AT77" s="195"/>
      <c r="AU77" s="195"/>
      <c r="AV77" s="195"/>
      <c r="AX77" s="195"/>
      <c r="AY77" s="195"/>
      <c r="AZ77" s="195"/>
      <c r="BC77" s="323"/>
    </row>
    <row r="78" customFormat="false" ht="18" hidden="false" customHeight="false" outlineLevel="0" collapsed="false">
      <c r="O78" s="320"/>
      <c r="P78" s="321"/>
      <c r="Q78" s="320"/>
      <c r="R78" s="321"/>
      <c r="S78" s="320"/>
      <c r="V78" s="319"/>
      <c r="W78" s="319"/>
      <c r="X78" s="319"/>
      <c r="Y78" s="319"/>
      <c r="Z78" s="319"/>
      <c r="AA78" s="319"/>
      <c r="AB78" s="319"/>
      <c r="AE78" s="322"/>
      <c r="AF78" s="322"/>
      <c r="AG78" s="322"/>
      <c r="AH78" s="322"/>
      <c r="AI78" s="322"/>
      <c r="AJ78" s="322"/>
      <c r="AK78" s="322"/>
      <c r="AL78" s="322"/>
      <c r="AM78" s="322"/>
      <c r="AN78" s="322"/>
      <c r="AO78" s="322"/>
      <c r="AR78" s="185"/>
      <c r="AT78" s="195"/>
      <c r="AU78" s="195"/>
      <c r="AV78" s="195"/>
      <c r="AX78" s="195"/>
      <c r="AY78" s="195"/>
      <c r="AZ78" s="195"/>
      <c r="BC78" s="323"/>
    </row>
    <row r="79" customFormat="false" ht="18" hidden="false" customHeight="false" outlineLevel="0" collapsed="false">
      <c r="V79" s="319"/>
      <c r="W79" s="319"/>
      <c r="X79" s="319"/>
      <c r="Y79" s="319"/>
      <c r="Z79" s="319"/>
      <c r="AA79" s="319"/>
      <c r="AB79" s="319"/>
      <c r="AE79" s="322"/>
      <c r="AF79" s="322"/>
      <c r="AG79" s="322"/>
      <c r="AH79" s="322"/>
      <c r="AI79" s="322"/>
      <c r="AJ79" s="322"/>
      <c r="AK79" s="322"/>
      <c r="AL79" s="322"/>
      <c r="AM79" s="322"/>
      <c r="AN79" s="322"/>
      <c r="AO79" s="322"/>
      <c r="AR79" s="185"/>
      <c r="AT79" s="195"/>
      <c r="AU79" s="195"/>
      <c r="AV79" s="195"/>
      <c r="AX79" s="195"/>
      <c r="AY79" s="195"/>
      <c r="AZ79" s="195"/>
    </row>
    <row r="80" customFormat="false" ht="18" hidden="false" customHeight="false" outlineLevel="0" collapsed="false">
      <c r="V80" s="319"/>
      <c r="W80" s="319"/>
      <c r="X80" s="319"/>
      <c r="Y80" s="319"/>
      <c r="Z80" s="319"/>
      <c r="AA80" s="319"/>
      <c r="AB80" s="319"/>
      <c r="AE80" s="322"/>
      <c r="AF80" s="322"/>
      <c r="AG80" s="322"/>
      <c r="AH80" s="322"/>
      <c r="AI80" s="322"/>
      <c r="AJ80" s="322"/>
      <c r="AK80" s="322"/>
      <c r="AL80" s="322"/>
      <c r="AM80" s="322"/>
      <c r="AN80" s="322"/>
      <c r="AO80" s="322"/>
      <c r="AR80" s="185"/>
      <c r="AT80" s="195"/>
      <c r="AU80" s="195"/>
      <c r="AV80" s="195"/>
      <c r="AX80" s="195"/>
      <c r="AY80" s="195"/>
      <c r="AZ80" s="195"/>
    </row>
    <row r="81" customFormat="false" ht="18" hidden="false" customHeight="false" outlineLevel="0" collapsed="false">
      <c r="V81" s="319"/>
      <c r="W81" s="319"/>
      <c r="X81" s="319"/>
      <c r="Y81" s="319"/>
      <c r="Z81" s="319"/>
      <c r="AA81" s="319"/>
      <c r="AB81" s="319"/>
      <c r="AE81" s="322"/>
      <c r="AF81" s="322"/>
      <c r="AG81" s="322"/>
      <c r="AH81" s="322"/>
      <c r="AI81" s="322"/>
      <c r="AJ81" s="322"/>
      <c r="AK81" s="322"/>
      <c r="AL81" s="322"/>
      <c r="AM81" s="322"/>
      <c r="AN81" s="322"/>
      <c r="AO81" s="322"/>
      <c r="AR81" s="185"/>
      <c r="AT81" s="195"/>
      <c r="AU81" s="195"/>
      <c r="AV81" s="195"/>
      <c r="AX81" s="195"/>
      <c r="AY81" s="195"/>
      <c r="AZ81" s="195"/>
    </row>
    <row r="82" customFormat="false" ht="18" hidden="false" customHeight="false" outlineLevel="0" collapsed="false">
      <c r="V82" s="319"/>
      <c r="W82" s="319"/>
      <c r="X82" s="319"/>
      <c r="Y82" s="319"/>
      <c r="Z82" s="319"/>
      <c r="AA82" s="319"/>
      <c r="AB82" s="319"/>
      <c r="AE82" s="322"/>
      <c r="AF82" s="322"/>
      <c r="AG82" s="322"/>
      <c r="AH82" s="322"/>
      <c r="AI82" s="322"/>
      <c r="AJ82" s="322"/>
      <c r="AK82" s="322"/>
      <c r="AL82" s="322"/>
      <c r="AM82" s="322"/>
      <c r="AN82" s="322"/>
      <c r="AO82" s="322"/>
      <c r="AR82" s="185"/>
      <c r="AT82" s="195"/>
      <c r="AU82" s="195"/>
      <c r="AV82" s="195"/>
      <c r="AX82" s="195"/>
      <c r="AY82" s="195"/>
      <c r="AZ82" s="195"/>
    </row>
    <row r="83" customFormat="false" ht="18" hidden="false" customHeight="false" outlineLevel="0" collapsed="false">
      <c r="V83" s="319"/>
      <c r="W83" s="319"/>
      <c r="X83" s="319"/>
      <c r="Y83" s="319"/>
      <c r="Z83" s="319"/>
      <c r="AA83" s="319"/>
      <c r="AB83" s="319"/>
      <c r="AE83" s="322"/>
      <c r="AF83" s="322"/>
      <c r="AG83" s="322"/>
      <c r="AH83" s="322"/>
      <c r="AI83" s="322"/>
      <c r="AJ83" s="322"/>
      <c r="AK83" s="322"/>
      <c r="AL83" s="322"/>
      <c r="AM83" s="322"/>
      <c r="AN83" s="322"/>
      <c r="AO83" s="322"/>
      <c r="AR83" s="185"/>
    </row>
    <row r="84" customFormat="false" ht="18" hidden="false" customHeight="false" outlineLevel="0" collapsed="false">
      <c r="V84" s="319"/>
      <c r="W84" s="319"/>
      <c r="X84" s="319"/>
      <c r="Y84" s="319"/>
      <c r="Z84" s="319"/>
      <c r="AA84" s="319"/>
      <c r="AB84" s="319"/>
      <c r="AE84" s="322"/>
      <c r="AF84" s="322"/>
      <c r="AG84" s="322"/>
      <c r="AH84" s="322"/>
      <c r="AI84" s="322"/>
      <c r="AJ84" s="322"/>
      <c r="AK84" s="322"/>
      <c r="AL84" s="322"/>
      <c r="AM84" s="322"/>
      <c r="AN84" s="322"/>
      <c r="AO84" s="322"/>
      <c r="AR84" s="185"/>
    </row>
    <row r="85" customFormat="false" ht="18" hidden="false" customHeight="false" outlineLevel="0" collapsed="false">
      <c r="V85" s="319"/>
      <c r="W85" s="319"/>
      <c r="X85" s="319"/>
      <c r="Y85" s="319"/>
      <c r="Z85" s="319"/>
      <c r="AA85" s="319"/>
      <c r="AB85" s="319"/>
      <c r="AE85" s="322"/>
      <c r="AF85" s="322"/>
      <c r="AG85" s="322"/>
      <c r="AH85" s="322"/>
      <c r="AI85" s="322"/>
      <c r="AJ85" s="322"/>
      <c r="AK85" s="322"/>
      <c r="AL85" s="322"/>
      <c r="AM85" s="322"/>
      <c r="AN85" s="322"/>
      <c r="AO85" s="322"/>
      <c r="AR85" s="185"/>
    </row>
    <row r="86" customFormat="false" ht="18" hidden="false" customHeight="false" outlineLevel="0" collapsed="false">
      <c r="V86" s="319"/>
      <c r="W86" s="319"/>
      <c r="X86" s="319"/>
      <c r="Y86" s="319"/>
      <c r="Z86" s="319"/>
      <c r="AA86" s="319"/>
      <c r="AB86" s="319"/>
      <c r="AE86" s="322"/>
      <c r="AF86" s="322"/>
      <c r="AG86" s="322"/>
      <c r="AH86" s="322"/>
      <c r="AI86" s="322"/>
      <c r="AJ86" s="322"/>
      <c r="AK86" s="322"/>
      <c r="AL86" s="322"/>
      <c r="AM86" s="322"/>
      <c r="AN86" s="322"/>
      <c r="AO86" s="322"/>
      <c r="AR86" s="185"/>
    </row>
    <row r="87" customFormat="false" ht="18" hidden="false" customHeight="false" outlineLevel="0" collapsed="false">
      <c r="V87" s="319"/>
      <c r="W87" s="319"/>
      <c r="X87" s="319"/>
      <c r="Y87" s="319"/>
      <c r="Z87" s="319"/>
      <c r="AA87" s="319"/>
      <c r="AB87" s="319"/>
      <c r="AE87" s="322"/>
      <c r="AF87" s="322"/>
      <c r="AG87" s="322"/>
      <c r="AH87" s="322"/>
      <c r="AI87" s="322"/>
      <c r="AJ87" s="322"/>
      <c r="AK87" s="322"/>
      <c r="AL87" s="322"/>
      <c r="AM87" s="322"/>
      <c r="AN87" s="322"/>
      <c r="AO87" s="322"/>
      <c r="AR87" s="185"/>
    </row>
    <row r="88" customFormat="false" ht="18" hidden="false" customHeight="false" outlineLevel="0" collapsed="false">
      <c r="V88" s="319"/>
      <c r="W88" s="319"/>
      <c r="X88" s="319"/>
      <c r="Y88" s="319"/>
      <c r="Z88" s="319"/>
      <c r="AA88" s="319"/>
      <c r="AB88" s="319"/>
      <c r="AE88" s="322"/>
      <c r="AF88" s="322"/>
      <c r="AG88" s="322"/>
      <c r="AH88" s="322"/>
      <c r="AI88" s="322"/>
      <c r="AJ88" s="322"/>
      <c r="AK88" s="322"/>
      <c r="AL88" s="322"/>
      <c r="AM88" s="322"/>
      <c r="AN88" s="322"/>
      <c r="AO88" s="322"/>
      <c r="AR88" s="185"/>
    </row>
    <row r="89" customFormat="false" ht="18" hidden="false" customHeight="false" outlineLevel="0" collapsed="false">
      <c r="V89" s="319"/>
      <c r="W89" s="319"/>
      <c r="X89" s="319"/>
      <c r="Y89" s="319"/>
      <c r="Z89" s="319"/>
      <c r="AA89" s="319"/>
      <c r="AB89" s="319"/>
      <c r="AE89" s="322"/>
      <c r="AF89" s="322"/>
      <c r="AG89" s="322"/>
      <c r="AH89" s="322"/>
      <c r="AI89" s="322"/>
      <c r="AJ89" s="322"/>
      <c r="AK89" s="322"/>
      <c r="AL89" s="322"/>
      <c r="AM89" s="322"/>
      <c r="AN89" s="322"/>
      <c r="AO89" s="322"/>
      <c r="AR89" s="185"/>
    </row>
    <row r="90" customFormat="false" ht="18" hidden="false" customHeight="false" outlineLevel="0" collapsed="false">
      <c r="V90" s="319"/>
      <c r="W90" s="319"/>
      <c r="X90" s="319"/>
      <c r="Y90" s="319"/>
      <c r="Z90" s="319"/>
      <c r="AA90" s="319"/>
      <c r="AB90" s="319"/>
      <c r="AE90" s="322"/>
      <c r="AF90" s="322"/>
      <c r="AG90" s="322"/>
      <c r="AH90" s="322"/>
      <c r="AI90" s="322"/>
      <c r="AJ90" s="322"/>
      <c r="AK90" s="322"/>
      <c r="AL90" s="322"/>
      <c r="AM90" s="322"/>
      <c r="AN90" s="322"/>
      <c r="AO90" s="322"/>
      <c r="AR90" s="185"/>
    </row>
    <row r="91" customFormat="false" ht="18" hidden="false" customHeight="false" outlineLevel="0" collapsed="false">
      <c r="V91" s="319"/>
      <c r="W91" s="319"/>
      <c r="X91" s="319"/>
      <c r="Y91" s="319"/>
      <c r="Z91" s="319"/>
      <c r="AA91" s="319"/>
      <c r="AB91" s="319"/>
      <c r="AE91" s="322"/>
      <c r="AF91" s="322"/>
      <c r="AG91" s="322"/>
      <c r="AH91" s="322"/>
      <c r="AI91" s="322"/>
      <c r="AJ91" s="322"/>
      <c r="AK91" s="322"/>
      <c r="AL91" s="322"/>
      <c r="AM91" s="322"/>
      <c r="AN91" s="322"/>
      <c r="AO91" s="322"/>
      <c r="AR91" s="185"/>
    </row>
    <row r="92" customFormat="false" ht="18" hidden="false" customHeight="false" outlineLevel="0" collapsed="false">
      <c r="V92" s="319"/>
      <c r="W92" s="319"/>
      <c r="X92" s="319"/>
      <c r="Y92" s="319"/>
      <c r="Z92" s="319"/>
      <c r="AA92" s="319"/>
      <c r="AB92" s="319"/>
      <c r="AE92" s="322"/>
      <c r="AF92" s="322"/>
      <c r="AG92" s="322"/>
      <c r="AH92" s="322"/>
      <c r="AI92" s="322"/>
      <c r="AJ92" s="322"/>
      <c r="AK92" s="322"/>
      <c r="AL92" s="322"/>
      <c r="AM92" s="322"/>
      <c r="AN92" s="322"/>
      <c r="AO92" s="322"/>
      <c r="AR92" s="185"/>
    </row>
    <row r="93" customFormat="false" ht="18" hidden="false" customHeight="false" outlineLevel="0" collapsed="false">
      <c r="V93" s="319"/>
      <c r="W93" s="319"/>
      <c r="X93" s="319"/>
      <c r="Y93" s="319"/>
      <c r="Z93" s="319"/>
      <c r="AA93" s="319"/>
      <c r="AB93" s="319"/>
      <c r="AE93" s="322"/>
      <c r="AF93" s="322"/>
      <c r="AG93" s="322"/>
      <c r="AH93" s="322"/>
      <c r="AI93" s="322"/>
      <c r="AJ93" s="322"/>
      <c r="AK93" s="322"/>
      <c r="AL93" s="322"/>
      <c r="AM93" s="322"/>
      <c r="AN93" s="322"/>
      <c r="AO93" s="322"/>
      <c r="AR93" s="185"/>
    </row>
    <row r="94" customFormat="false" ht="18" hidden="false" customHeight="false" outlineLevel="0" collapsed="false">
      <c r="V94" s="319"/>
      <c r="W94" s="319"/>
      <c r="X94" s="319"/>
      <c r="Y94" s="319"/>
      <c r="Z94" s="319"/>
      <c r="AA94" s="319"/>
      <c r="AB94" s="319"/>
      <c r="AE94" s="322"/>
      <c r="AF94" s="322"/>
      <c r="AG94" s="322"/>
      <c r="AH94" s="322"/>
      <c r="AI94" s="322"/>
      <c r="AJ94" s="322"/>
      <c r="AK94" s="322"/>
      <c r="AL94" s="322"/>
      <c r="AM94" s="322"/>
      <c r="AN94" s="322"/>
      <c r="AO94" s="322"/>
      <c r="AR94" s="185"/>
    </row>
    <row r="95" customFormat="false" ht="18" hidden="false" customHeight="false" outlineLevel="0" collapsed="false">
      <c r="V95" s="319"/>
      <c r="W95" s="319"/>
      <c r="X95" s="319"/>
      <c r="Y95" s="319"/>
      <c r="Z95" s="319"/>
      <c r="AA95" s="319"/>
      <c r="AB95" s="319"/>
      <c r="AE95" s="322"/>
      <c r="AF95" s="322"/>
      <c r="AG95" s="322"/>
      <c r="AH95" s="322"/>
      <c r="AI95" s="322"/>
      <c r="AJ95" s="322"/>
      <c r="AK95" s="322"/>
      <c r="AL95" s="322"/>
      <c r="AM95" s="322"/>
      <c r="AN95" s="322"/>
      <c r="AO95" s="322"/>
      <c r="AR95" s="185"/>
    </row>
    <row r="96" customFormat="false" ht="18" hidden="false" customHeight="false" outlineLevel="0" collapsed="false">
      <c r="V96" s="319"/>
      <c r="W96" s="319"/>
      <c r="X96" s="319"/>
      <c r="Y96" s="319"/>
      <c r="Z96" s="319"/>
      <c r="AA96" s="319"/>
      <c r="AB96" s="319"/>
      <c r="AE96" s="322"/>
      <c r="AF96" s="322"/>
      <c r="AG96" s="322"/>
      <c r="AH96" s="322"/>
      <c r="AI96" s="322"/>
      <c r="AJ96" s="322"/>
      <c r="AK96" s="322"/>
      <c r="AL96" s="322"/>
      <c r="AM96" s="322"/>
      <c r="AN96" s="322"/>
      <c r="AO96" s="322"/>
      <c r="AR96" s="185"/>
    </row>
    <row r="97" customFormat="false" ht="18" hidden="false" customHeight="false" outlineLevel="0" collapsed="false">
      <c r="V97" s="319"/>
      <c r="W97" s="319"/>
      <c r="X97" s="319"/>
      <c r="Y97" s="319"/>
      <c r="Z97" s="319"/>
      <c r="AA97" s="319"/>
      <c r="AB97" s="319"/>
      <c r="AE97" s="322"/>
      <c r="AF97" s="322"/>
      <c r="AG97" s="322"/>
      <c r="AH97" s="322"/>
      <c r="AI97" s="322"/>
      <c r="AJ97" s="322"/>
      <c r="AK97" s="322"/>
      <c r="AL97" s="322"/>
      <c r="AM97" s="322"/>
      <c r="AN97" s="322"/>
      <c r="AO97" s="322"/>
      <c r="AR97" s="185"/>
    </row>
    <row r="98" customFormat="false" ht="18" hidden="false" customHeight="false" outlineLevel="0" collapsed="false">
      <c r="AE98" s="322"/>
      <c r="AF98" s="322"/>
      <c r="AG98" s="322"/>
      <c r="AH98" s="322"/>
      <c r="AI98" s="322"/>
      <c r="AJ98" s="322"/>
      <c r="AK98" s="322"/>
      <c r="AL98" s="322"/>
      <c r="AM98" s="322"/>
      <c r="AN98" s="322"/>
      <c r="AO98" s="322"/>
      <c r="AR98" s="185"/>
    </row>
    <row r="99" customFormat="false" ht="18" hidden="false" customHeight="false" outlineLevel="0" collapsed="false">
      <c r="AE99" s="322"/>
      <c r="AF99" s="322"/>
      <c r="AG99" s="322"/>
      <c r="AH99" s="322"/>
      <c r="AI99" s="322"/>
      <c r="AJ99" s="322"/>
      <c r="AK99" s="322"/>
      <c r="AL99" s="322"/>
      <c r="AM99" s="322"/>
      <c r="AN99" s="322"/>
      <c r="AO99" s="322"/>
      <c r="AR99" s="185"/>
    </row>
    <row r="100" customFormat="false" ht="18" hidden="false" customHeight="false" outlineLevel="0" collapsed="false">
      <c r="AE100" s="322"/>
      <c r="AF100" s="322"/>
      <c r="AG100" s="322"/>
      <c r="AH100" s="322"/>
      <c r="AI100" s="322"/>
      <c r="AJ100" s="322"/>
      <c r="AK100" s="322"/>
      <c r="AL100" s="322"/>
      <c r="AM100" s="322"/>
      <c r="AN100" s="322"/>
      <c r="AO100" s="322"/>
      <c r="AR100" s="185"/>
    </row>
    <row r="101" customFormat="false" ht="18" hidden="false" customHeight="false" outlineLevel="0" collapsed="false">
      <c r="AE101" s="322"/>
      <c r="AF101" s="322"/>
      <c r="AG101" s="322"/>
      <c r="AH101" s="322"/>
      <c r="AI101" s="322"/>
      <c r="AJ101" s="322"/>
      <c r="AK101" s="322"/>
      <c r="AL101" s="322"/>
      <c r="AM101" s="322"/>
      <c r="AN101" s="322"/>
      <c r="AO101" s="322"/>
      <c r="AR101" s="185"/>
    </row>
    <row r="102" customFormat="false" ht="18" hidden="false" customHeight="false" outlineLevel="0" collapsed="false">
      <c r="AE102" s="322"/>
      <c r="AF102" s="322"/>
      <c r="AG102" s="322"/>
      <c r="AH102" s="322"/>
      <c r="AI102" s="322"/>
      <c r="AJ102" s="322"/>
      <c r="AK102" s="322"/>
      <c r="AL102" s="322"/>
      <c r="AM102" s="322"/>
      <c r="AN102" s="322"/>
      <c r="AO102" s="322"/>
      <c r="AR102" s="185"/>
    </row>
    <row r="103" customFormat="false" ht="18" hidden="false" customHeight="false" outlineLevel="0" collapsed="false">
      <c r="AE103" s="322"/>
      <c r="AF103" s="322"/>
      <c r="AG103" s="322"/>
      <c r="AH103" s="322"/>
      <c r="AI103" s="322"/>
      <c r="AJ103" s="322"/>
      <c r="AK103" s="322"/>
      <c r="AL103" s="322"/>
      <c r="AM103" s="322"/>
      <c r="AN103" s="322"/>
      <c r="AO103" s="322"/>
      <c r="AR103" s="185"/>
    </row>
    <row r="104" customFormat="false" ht="18" hidden="false" customHeight="false" outlineLevel="0" collapsed="false">
      <c r="AE104" s="322"/>
      <c r="AF104" s="322"/>
      <c r="AG104" s="322"/>
      <c r="AH104" s="322"/>
      <c r="AI104" s="322"/>
      <c r="AJ104" s="322"/>
      <c r="AK104" s="322"/>
      <c r="AL104" s="322"/>
      <c r="AM104" s="322"/>
      <c r="AN104" s="322"/>
      <c r="AO104" s="322"/>
      <c r="AR104" s="185"/>
    </row>
    <row r="105" customFormat="false" ht="18" hidden="false" customHeight="false" outlineLevel="0" collapsed="false">
      <c r="AE105" s="322"/>
      <c r="AF105" s="322"/>
      <c r="AG105" s="322"/>
      <c r="AH105" s="322"/>
      <c r="AI105" s="322"/>
      <c r="AJ105" s="322"/>
      <c r="AK105" s="322"/>
      <c r="AL105" s="322"/>
      <c r="AM105" s="322"/>
      <c r="AN105" s="322"/>
      <c r="AO105" s="322"/>
      <c r="AR105" s="185"/>
    </row>
    <row r="106" customFormat="false" ht="18" hidden="false" customHeight="false" outlineLevel="0" collapsed="false">
      <c r="AE106" s="322"/>
      <c r="AF106" s="322"/>
      <c r="AG106" s="322"/>
      <c r="AH106" s="322"/>
      <c r="AI106" s="322"/>
      <c r="AJ106" s="322"/>
      <c r="AK106" s="322"/>
      <c r="AL106" s="322"/>
      <c r="AM106" s="322"/>
      <c r="AN106" s="322"/>
      <c r="AO106" s="322"/>
      <c r="AR106" s="185"/>
    </row>
    <row r="107" customFormat="false" ht="18" hidden="false" customHeight="false" outlineLevel="0" collapsed="false">
      <c r="AE107" s="322"/>
      <c r="AF107" s="322"/>
      <c r="AG107" s="322"/>
      <c r="AH107" s="322"/>
      <c r="AI107" s="322"/>
      <c r="AJ107" s="322"/>
      <c r="AK107" s="322"/>
      <c r="AL107" s="322"/>
      <c r="AM107" s="322"/>
      <c r="AN107" s="322"/>
      <c r="AO107" s="322"/>
      <c r="AR107" s="185"/>
    </row>
    <row r="108" customFormat="false" ht="18" hidden="false" customHeight="false" outlineLevel="0" collapsed="false">
      <c r="AE108" s="322"/>
      <c r="AF108" s="322"/>
      <c r="AG108" s="322"/>
      <c r="AH108" s="322"/>
      <c r="AI108" s="322"/>
      <c r="AJ108" s="322"/>
      <c r="AK108" s="322"/>
      <c r="AL108" s="322"/>
      <c r="AM108" s="322"/>
      <c r="AN108" s="322"/>
      <c r="AO108" s="322"/>
      <c r="AR108" s="185"/>
    </row>
    <row r="109" customFormat="false" ht="18" hidden="false" customHeight="false" outlineLevel="0" collapsed="false">
      <c r="AE109" s="322"/>
      <c r="AF109" s="322"/>
      <c r="AG109" s="322"/>
      <c r="AH109" s="322"/>
      <c r="AI109" s="322"/>
      <c r="AJ109" s="322"/>
      <c r="AK109" s="322"/>
      <c r="AL109" s="322"/>
      <c r="AM109" s="322"/>
      <c r="AN109" s="322"/>
      <c r="AO109" s="322"/>
      <c r="AR109" s="185"/>
    </row>
    <row r="110" customFormat="false" ht="18" hidden="false" customHeight="false" outlineLevel="0" collapsed="false">
      <c r="AE110" s="322"/>
      <c r="AF110" s="322"/>
      <c r="AG110" s="322"/>
      <c r="AH110" s="322"/>
      <c r="AI110" s="322"/>
      <c r="AJ110" s="322"/>
      <c r="AK110" s="322"/>
      <c r="AL110" s="322"/>
      <c r="AM110" s="322"/>
      <c r="AN110" s="322"/>
      <c r="AO110" s="322"/>
      <c r="AR110" s="185"/>
    </row>
    <row r="111" customFormat="false" ht="18" hidden="false" customHeight="false" outlineLevel="0" collapsed="false">
      <c r="AE111" s="322"/>
      <c r="AF111" s="322"/>
      <c r="AG111" s="322"/>
      <c r="AH111" s="322"/>
      <c r="AI111" s="322"/>
      <c r="AJ111" s="322"/>
      <c r="AK111" s="322"/>
      <c r="AL111" s="322"/>
      <c r="AM111" s="322"/>
      <c r="AN111" s="322"/>
      <c r="AO111" s="322"/>
      <c r="AR111" s="185"/>
    </row>
    <row r="112" customFormat="false" ht="18" hidden="false" customHeight="false" outlineLevel="0" collapsed="false">
      <c r="AE112" s="322"/>
      <c r="AF112" s="322"/>
      <c r="AG112" s="322"/>
      <c r="AH112" s="322"/>
      <c r="AI112" s="322"/>
      <c r="AJ112" s="322"/>
      <c r="AK112" s="322"/>
      <c r="AL112" s="322"/>
      <c r="AM112" s="322"/>
      <c r="AN112" s="322"/>
      <c r="AO112" s="322"/>
      <c r="AR112" s="185"/>
    </row>
    <row r="113" customFormat="false" ht="18" hidden="false" customHeight="false" outlineLevel="0" collapsed="false">
      <c r="AE113" s="322"/>
      <c r="AF113" s="322"/>
      <c r="AG113" s="322"/>
      <c r="AH113" s="322"/>
      <c r="AI113" s="322"/>
      <c r="AJ113" s="322"/>
      <c r="AK113" s="322"/>
      <c r="AL113" s="322"/>
      <c r="AM113" s="322"/>
      <c r="AN113" s="322"/>
      <c r="AO113" s="322"/>
      <c r="AR113" s="185"/>
    </row>
    <row r="114" customFormat="false" ht="18" hidden="false" customHeight="false" outlineLevel="0" collapsed="false">
      <c r="AE114" s="322"/>
      <c r="AF114" s="322"/>
      <c r="AG114" s="322"/>
      <c r="AH114" s="322"/>
      <c r="AI114" s="322"/>
      <c r="AJ114" s="322"/>
      <c r="AK114" s="322"/>
      <c r="AL114" s="322"/>
      <c r="AM114" s="322"/>
      <c r="AN114" s="322"/>
      <c r="AO114" s="322"/>
      <c r="AR114" s="185"/>
    </row>
    <row r="115" customFormat="false" ht="18" hidden="false" customHeight="false" outlineLevel="0" collapsed="false">
      <c r="AE115" s="322"/>
      <c r="AF115" s="322"/>
      <c r="AG115" s="322"/>
      <c r="AH115" s="322"/>
      <c r="AI115" s="322"/>
      <c r="AJ115" s="322"/>
      <c r="AK115" s="322"/>
      <c r="AL115" s="322"/>
      <c r="AM115" s="322"/>
      <c r="AN115" s="322"/>
      <c r="AO115" s="322"/>
      <c r="AR115" s="185"/>
    </row>
    <row r="116" customFormat="false" ht="18" hidden="false" customHeight="false" outlineLevel="0" collapsed="false">
      <c r="AE116" s="322"/>
      <c r="AF116" s="322"/>
      <c r="AG116" s="322"/>
      <c r="AH116" s="322"/>
      <c r="AI116" s="322"/>
      <c r="AJ116" s="322"/>
      <c r="AK116" s="322"/>
      <c r="AL116" s="322"/>
      <c r="AM116" s="322"/>
      <c r="AN116" s="322"/>
      <c r="AO116" s="322"/>
      <c r="AR116" s="185"/>
    </row>
    <row r="117" customFormat="false" ht="18" hidden="false" customHeight="false" outlineLevel="0" collapsed="false">
      <c r="AE117" s="322"/>
      <c r="AF117" s="322"/>
      <c r="AG117" s="322"/>
      <c r="AH117" s="322"/>
      <c r="AI117" s="322"/>
      <c r="AJ117" s="322"/>
      <c r="AK117" s="322"/>
      <c r="AL117" s="322"/>
      <c r="AM117" s="322"/>
      <c r="AN117" s="322"/>
      <c r="AO117" s="322"/>
      <c r="AR117" s="185"/>
    </row>
    <row r="118" customFormat="false" ht="18" hidden="false" customHeight="false" outlineLevel="0" collapsed="false">
      <c r="AE118" s="322"/>
      <c r="AF118" s="322"/>
      <c r="AG118" s="322"/>
      <c r="AH118" s="322"/>
      <c r="AI118" s="322"/>
      <c r="AJ118" s="322"/>
      <c r="AK118" s="322"/>
      <c r="AL118" s="322"/>
      <c r="AM118" s="322"/>
      <c r="AN118" s="322"/>
      <c r="AO118" s="322"/>
      <c r="AR118" s="185"/>
    </row>
    <row r="119" customFormat="false" ht="18" hidden="false" customHeight="false" outlineLevel="0" collapsed="false">
      <c r="AE119" s="322"/>
      <c r="AF119" s="322"/>
      <c r="AG119" s="322"/>
      <c r="AH119" s="322"/>
      <c r="AI119" s="322"/>
      <c r="AJ119" s="322"/>
      <c r="AK119" s="322"/>
      <c r="AL119" s="322"/>
      <c r="AM119" s="322"/>
      <c r="AN119" s="322"/>
      <c r="AO119" s="322"/>
      <c r="AR119" s="185"/>
    </row>
    <row r="120" customFormat="false" ht="18" hidden="false" customHeight="false" outlineLevel="0" collapsed="false">
      <c r="AE120" s="322"/>
      <c r="AF120" s="322"/>
      <c r="AG120" s="322"/>
      <c r="AH120" s="322"/>
      <c r="AI120" s="322"/>
      <c r="AJ120" s="322"/>
      <c r="AK120" s="322"/>
      <c r="AL120" s="322"/>
      <c r="AM120" s="322"/>
      <c r="AN120" s="322"/>
      <c r="AO120" s="322"/>
      <c r="AR120" s="185"/>
    </row>
    <row r="121" customFormat="false" ht="18" hidden="false" customHeight="false" outlineLevel="0" collapsed="false">
      <c r="AE121" s="322"/>
      <c r="AF121" s="322"/>
      <c r="AG121" s="322"/>
      <c r="AH121" s="322"/>
      <c r="AI121" s="322"/>
      <c r="AJ121" s="322"/>
      <c r="AK121" s="322"/>
      <c r="AL121" s="322"/>
      <c r="AM121" s="322"/>
      <c r="AN121" s="322"/>
      <c r="AO121" s="322"/>
      <c r="AR121" s="185"/>
    </row>
    <row r="122" customFormat="false" ht="18" hidden="false" customHeight="false" outlineLevel="0" collapsed="false">
      <c r="AE122" s="322"/>
      <c r="AF122" s="322"/>
      <c r="AG122" s="322"/>
      <c r="AH122" s="322"/>
      <c r="AI122" s="322"/>
      <c r="AJ122" s="322"/>
      <c r="AK122" s="322"/>
      <c r="AL122" s="322"/>
      <c r="AM122" s="322"/>
      <c r="AN122" s="322"/>
      <c r="AO122" s="322"/>
      <c r="AR122" s="185"/>
    </row>
    <row r="123" customFormat="false" ht="18" hidden="false" customHeight="false" outlineLevel="0" collapsed="false">
      <c r="AE123" s="322"/>
      <c r="AF123" s="322"/>
      <c r="AG123" s="322"/>
      <c r="AH123" s="322"/>
      <c r="AI123" s="322"/>
      <c r="AJ123" s="322"/>
      <c r="AK123" s="322"/>
      <c r="AL123" s="322"/>
      <c r="AM123" s="322"/>
      <c r="AN123" s="322"/>
      <c r="AO123" s="322"/>
      <c r="AR123" s="185"/>
    </row>
    <row r="124" customFormat="false" ht="18" hidden="false" customHeight="false" outlineLevel="0" collapsed="false">
      <c r="AE124" s="322"/>
      <c r="AF124" s="322"/>
      <c r="AG124" s="322"/>
      <c r="AH124" s="322"/>
      <c r="AI124" s="322"/>
      <c r="AJ124" s="322"/>
      <c r="AK124" s="322"/>
      <c r="AL124" s="322"/>
      <c r="AM124" s="322"/>
      <c r="AN124" s="322"/>
      <c r="AO124" s="322"/>
      <c r="AR124" s="185"/>
    </row>
    <row r="125" customFormat="false" ht="18" hidden="false" customHeight="false" outlineLevel="0" collapsed="false">
      <c r="AE125" s="322"/>
      <c r="AF125" s="322"/>
      <c r="AG125" s="322"/>
      <c r="AH125" s="322"/>
      <c r="AI125" s="322"/>
      <c r="AJ125" s="322"/>
      <c r="AK125" s="322"/>
      <c r="AL125" s="322"/>
      <c r="AM125" s="322"/>
      <c r="AN125" s="322"/>
      <c r="AO125" s="322"/>
      <c r="AR125" s="185"/>
    </row>
    <row r="126" customFormat="false" ht="18" hidden="false" customHeight="false" outlineLevel="0" collapsed="false">
      <c r="AE126" s="322"/>
      <c r="AF126" s="322"/>
      <c r="AG126" s="322"/>
      <c r="AH126" s="322"/>
      <c r="AI126" s="322"/>
      <c r="AJ126" s="322"/>
      <c r="AK126" s="322"/>
      <c r="AL126" s="322"/>
      <c r="AM126" s="322"/>
      <c r="AN126" s="322"/>
      <c r="AO126" s="322"/>
      <c r="AR126" s="185"/>
    </row>
    <row r="127" customFormat="false" ht="18" hidden="false" customHeight="false" outlineLevel="0" collapsed="false">
      <c r="AE127" s="322"/>
      <c r="AF127" s="322"/>
      <c r="AG127" s="322"/>
      <c r="AH127" s="322"/>
      <c r="AI127" s="322"/>
      <c r="AJ127" s="322"/>
      <c r="AK127" s="322"/>
      <c r="AL127" s="322"/>
      <c r="AM127" s="322"/>
      <c r="AN127" s="322"/>
      <c r="AO127" s="322"/>
      <c r="AR127" s="185"/>
    </row>
    <row r="128" customFormat="false" ht="18" hidden="false" customHeight="false" outlineLevel="0" collapsed="false">
      <c r="AE128" s="322"/>
      <c r="AF128" s="322"/>
      <c r="AG128" s="322"/>
      <c r="AH128" s="322"/>
      <c r="AI128" s="322"/>
      <c r="AJ128" s="322"/>
      <c r="AK128" s="322"/>
      <c r="AL128" s="322"/>
      <c r="AM128" s="322"/>
      <c r="AN128" s="322"/>
      <c r="AO128" s="322"/>
      <c r="AR128" s="185"/>
    </row>
    <row r="129" customFormat="false" ht="18" hidden="false" customHeight="false" outlineLevel="0" collapsed="false">
      <c r="AE129" s="322"/>
      <c r="AF129" s="322"/>
      <c r="AG129" s="322"/>
      <c r="AH129" s="322"/>
      <c r="AI129" s="322"/>
      <c r="AJ129" s="322"/>
      <c r="AK129" s="322"/>
      <c r="AL129" s="322"/>
      <c r="AM129" s="322"/>
      <c r="AN129" s="322"/>
      <c r="AO129" s="322"/>
      <c r="AR129" s="185"/>
    </row>
  </sheetData>
  <mergeCells count="6">
    <mergeCell ref="Q5:U5"/>
    <mergeCell ref="AA5:AB5"/>
    <mergeCell ref="AF5:AG5"/>
    <mergeCell ref="AH5:AI5"/>
    <mergeCell ref="E42:K42"/>
    <mergeCell ref="Q42:W42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2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lgillet</cp:lastModifiedBy>
  <cp:lastPrinted>2001-04-27T16:15:32Z</cp:lastPrinted>
  <dcterms:modified xsi:type="dcterms:W3CDTF">2001-05-25T18:33:24Z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