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'MLP''s'!$A$1:$W$61</definedName>
    <definedName function="false" hidden="false" localSheetId="0" name="_xlnm.Print_Titles" vbProcedure="false">'MLP''s'!$A:$C,'MLP''s'!$1:$9</definedName>
    <definedName function="false" hidden="false" name="dividends" vbProcedure="false">'MLP''s'!$W$10:$AT$33</definedName>
    <definedName function="false" hidden="false" name="ene" vbProcedure="false">'MLP''s'!$A$1:$BC$47</definedName>
    <definedName function="false" hidden="false" name="enep" vbProcedure="false">'MLP''s'!$A:$K</definedName>
    <definedName function="false" hidden="false" name="eog" vbProcedure="false">'MLP''s'!$V$1:$BC$44</definedName>
    <definedName function="false" hidden="false" name="eogp" vbProcedure="false">'MLP''s'!$V$1:$BB$47</definedName>
    <definedName function="false" hidden="false" name="Print_Area_MI" vbProcedure="false">'MLP''s'!$A$1:$N$47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<sst xmlns="http://schemas.openxmlformats.org/spreadsheetml/2006/main" count="188" uniqueCount="126">
  <si>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</si>
  <si>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</si>
  <si>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</si>
  <si>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</si>
  <si>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</si>
  <si>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</si>
  <si>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</si>
  <si>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</si>
  <si>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</si>
  <si>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</si>
  <si>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</si>
  <si>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</si>
  <si>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</si>
  <si>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</si>
  <si>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</si>
  <si>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</si>
  <si>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</si>
  <si>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</si>
  <si>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</si>
  <si>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</si>
  <si>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</si>
  <si>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</si>
  <si>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</si>
  <si>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</si>
  <si>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</si>
  <si>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</si>
  <si>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</si>
  <si>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</si>
  <si>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</si>
  <si>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</si>
  <si>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</si>
  <si>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</si>
  <si>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</si>
  <si>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</si>
  <si>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</si>
  <si>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</si>
  <si>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</si>
  <si>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</si>
  <si>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</si>
  <si>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</si>
  <si>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</si>
  <si>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</si>
  <si>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</si>
  <si>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</si>
  <si>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</si>
  <si>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</si>
  <si>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</si>
  <si>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</si>
  <si>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</si>
  <si>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</si>
  <si>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</si>
  <si>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</si>
  <si>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</si>
  <si>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</si>
  <si>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</si>
  <si>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N/A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</si>
  <si>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</si>
  <si>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</si>
  <si>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</si>
  <si>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</si>
  <si>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</si>
  <si>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</si>
  <si>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</si>
  <si>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</si>
  <si>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</si>
  <si>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</si>
  <si>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</si>
  <si>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</si>
  <si>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</si>
  <si>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</si>
  <si>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</si>
  <si>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</si>
  <si>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</si>
  <si>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</si>
  <si>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</si>
  <si>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</si>
  <si>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</si>
  <si>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 Special distribution of $0.28 paid to unitholders of record 12/18/00.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</si>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</sst>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7" min="35" style="9" width="14.99"/>
    <col collapsed="false" customWidth="true" hidden="false" outlineLevel="0" max="38" min="38" style="9" width="10.43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6.44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37001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36994</v>
      </c>
      <c r="AH6" s="59" t="s">
        <v>20</v>
      </c>
      <c r="AI6" s="60" t="n">
        <v>36980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3"/>
      <c r="AH8" s="84"/>
      <c r="AI8" s="83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4"/>
      <c r="AH9" s="89"/>
      <c r="AI9" s="83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38.55</v>
      </c>
      <c r="F10" s="95"/>
      <c r="G10" s="94" t="n">
        <f aca="false">DDE("REUTER","IDN","NBP,DIVIDEND")</f>
        <v>3.05</v>
      </c>
      <c r="H10" s="96"/>
      <c r="I10" s="97" t="n">
        <f aca="false">+G10/E10</f>
        <v>0.0791180285343709</v>
      </c>
      <c r="J10" s="97"/>
      <c r="K10" s="98" t="n">
        <f aca="false">(+I10-E$27)*10000</f>
        <v>211.440285343709</v>
      </c>
      <c r="L10" s="93"/>
      <c r="M10" s="97" t="n">
        <f aca="false">(I10*AA10)+((I10*(1-AA10))*(1-0.3))</f>
        <v>0.0779312581063554</v>
      </c>
      <c r="N10" s="93"/>
      <c r="O10" s="99" t="n">
        <f aca="false">+G10/Z10</f>
        <v>1.12546125461255</v>
      </c>
      <c r="P10" s="100"/>
      <c r="Q10" s="99" t="n">
        <f aca="false">(AF10+$E10-AG10)/AG10</f>
        <v>0.0813464235624123</v>
      </c>
      <c r="R10" s="100"/>
      <c r="S10" s="99" t="n">
        <f aca="false">(AH10+$E10-AI10)/AI10</f>
        <v>0.0447154471544715</v>
      </c>
      <c r="T10" s="96"/>
      <c r="U10" s="101" t="n">
        <f aca="false">(AJ10+$E10-AK10)/AK10</f>
        <v>0.250996015936255</v>
      </c>
      <c r="V10" s="102"/>
      <c r="W10" s="18"/>
      <c r="X10" s="40"/>
      <c r="Y10" s="103" t="n">
        <f aca="false">ROUND(G57,2)</f>
        <v>2.6</v>
      </c>
      <c r="Z10" s="104" t="n">
        <f aca="false">+I57</f>
        <v>2.71</v>
      </c>
      <c r="AA10" s="105" t="n">
        <v>0.95</v>
      </c>
      <c r="AB10" s="106"/>
      <c r="AC10" s="11"/>
      <c r="AD10" s="107" t="n">
        <v>36920</v>
      </c>
      <c r="AE10" s="108" t="n">
        <v>0.7</v>
      </c>
      <c r="AF10" s="109"/>
      <c r="AG10" s="94" t="n">
        <v>35.65</v>
      </c>
      <c r="AH10" s="109"/>
      <c r="AI10" s="94" t="n">
        <v>36.9</v>
      </c>
      <c r="AJ10" s="109" t="n">
        <v>0.7</v>
      </c>
      <c r="AK10" s="108" t="n">
        <v>31.375</v>
      </c>
      <c r="AL10" s="110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1" t="n">
        <f aca="false">0.575+0.575+0.575+0.575</f>
        <v>2.3</v>
      </c>
      <c r="AQ10" s="112" t="n">
        <v>34</v>
      </c>
      <c r="AR10" s="87"/>
      <c r="AS10" s="88"/>
      <c r="AT10" s="88"/>
      <c r="AU10" s="88"/>
      <c r="AV10" s="88"/>
      <c r="AW10" s="14"/>
      <c r="AX10" s="113"/>
      <c r="AY10" s="114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5" t="s">
        <v>42</v>
      </c>
      <c r="B11" s="116"/>
      <c r="C11" s="117" t="s">
        <v>43</v>
      </c>
      <c r="D11" s="116"/>
      <c r="E11" s="118" t="n">
        <f aca="false">DDE("REUTER","IDN","EOT")</f>
        <v>16.86</v>
      </c>
      <c r="F11" s="119"/>
      <c r="G11" s="118" t="n">
        <f aca="false">DDE("REUTER","IDN","EOT,DIVIDEND")</f>
        <v>1.9</v>
      </c>
      <c r="H11" s="120"/>
      <c r="I11" s="121" t="n">
        <f aca="false">+G11/E11</f>
        <v>0.112692763938316</v>
      </c>
      <c r="J11" s="121"/>
      <c r="K11" s="122" t="n">
        <f aca="false">(+I11-E$27)*10000</f>
        <v>547.187639383155</v>
      </c>
      <c r="L11" s="117"/>
      <c r="M11" s="121" t="n">
        <f aca="false">(I11*AA11)+((I11*(1-AA11))*(1-0.3))</f>
        <v>0.111002372479241</v>
      </c>
      <c r="N11" s="117"/>
      <c r="O11" s="123" t="n">
        <f aca="false">+G11/Z11</f>
        <v>2.92307692307692</v>
      </c>
      <c r="P11" s="124"/>
      <c r="Q11" s="123" t="n">
        <f aca="false">(AF11+$E11-AG11)/AG11</f>
        <v>0.0280487804878049</v>
      </c>
      <c r="R11" s="124"/>
      <c r="S11" s="123" t="n">
        <f aca="false">(AH11+$E11-AI11)/AI11</f>
        <v>0.0691185795814838</v>
      </c>
      <c r="T11" s="120"/>
      <c r="U11" s="125" t="n">
        <f aca="false">(AJ11+E11-AK11)/AK11</f>
        <v>0.0586259541984733</v>
      </c>
      <c r="V11" s="102"/>
      <c r="W11" s="18"/>
      <c r="X11" s="40"/>
      <c r="Y11" s="103" t="n">
        <f aca="false">S57</f>
        <v>0.598</v>
      </c>
      <c r="Z11" s="104" t="n">
        <f aca="false">U57</f>
        <v>0.65</v>
      </c>
      <c r="AA11" s="105" t="n">
        <v>0.95</v>
      </c>
      <c r="AB11" s="106"/>
      <c r="AC11" s="22"/>
      <c r="AD11" s="107" t="n">
        <v>36920</v>
      </c>
      <c r="AE11" s="108" t="n">
        <v>0.475</v>
      </c>
      <c r="AF11" s="109"/>
      <c r="AG11" s="118" t="n">
        <v>16.4</v>
      </c>
      <c r="AH11" s="109"/>
      <c r="AI11" s="118" t="n">
        <v>15.77</v>
      </c>
      <c r="AJ11" s="109" t="n">
        <v>0.475</v>
      </c>
      <c r="AK11" s="108" t="n">
        <v>16.375</v>
      </c>
      <c r="AL11" s="110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6" t="n">
        <f aca="false">0.475+0.475+0.475+0.475</f>
        <v>1.9</v>
      </c>
      <c r="AQ11" s="112" t="n">
        <v>17.125</v>
      </c>
      <c r="AR11" s="87"/>
      <c r="AS11" s="88"/>
      <c r="AT11" s="14"/>
      <c r="AU11" s="88"/>
      <c r="AV11" s="88"/>
      <c r="AW11" s="14"/>
      <c r="AX11" s="113"/>
      <c r="AY11" s="114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7"/>
      <c r="F12" s="128"/>
      <c r="G12" s="127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27"/>
      <c r="AH12" s="109"/>
      <c r="AI12" s="127"/>
      <c r="AJ12" s="109"/>
      <c r="AK12" s="108"/>
      <c r="AL12" s="110"/>
      <c r="AM12" s="108"/>
      <c r="AN12" s="109"/>
      <c r="AO12" s="108"/>
      <c r="AP12" s="111"/>
      <c r="AQ12" s="133"/>
      <c r="AR12" s="87"/>
      <c r="AS12" s="88"/>
      <c r="AT12" s="14"/>
      <c r="AU12" s="88"/>
      <c r="AV12" s="88"/>
      <c r="AW12" s="14"/>
      <c r="AX12" s="113"/>
      <c r="AY12" s="11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7" t="n">
        <f aca="false">DDE("REUTER","IDN","APU")</f>
        <v>21.4</v>
      </c>
      <c r="F13" s="128"/>
      <c r="G13" s="127" t="n">
        <f aca="false">DDE("REUTER","IDN","APU,DIVIDEND")</f>
        <v>2.2</v>
      </c>
      <c r="H13" s="13"/>
      <c r="I13" s="67" t="n">
        <f aca="false">+G13/E13</f>
        <v>0.102803738317757</v>
      </c>
      <c r="J13" s="67"/>
      <c r="K13" s="134" t="n">
        <f aca="false">(+I13-E$27)*10000</f>
        <v>448.29738317757</v>
      </c>
      <c r="L13" s="23"/>
      <c r="M13" s="67" t="n">
        <f aca="false">(I13*AA13)+((I13*(1-AA13))*(1-0.3))</f>
        <v>0.0935514018691589</v>
      </c>
      <c r="N13" s="23"/>
      <c r="O13" s="33" t="n">
        <f aca="false">+G13/Y13</f>
        <v>2.22222222222222</v>
      </c>
      <c r="P13" s="130"/>
      <c r="Q13" s="33" t="n">
        <f aca="false">(AF13+$E13-AG13)/AG13</f>
        <v>-0.00372439478584739</v>
      </c>
      <c r="R13" s="130"/>
      <c r="S13" s="33" t="n">
        <f aca="false">(AH13+$E13-AI13)/AI13</f>
        <v>0.0620347394540943</v>
      </c>
      <c r="T13" s="13"/>
      <c r="U13" s="135" t="n">
        <f aca="false">(AJ13+E13-AK13)/AK13</f>
        <v>0.320300751879699</v>
      </c>
      <c r="V13" s="102"/>
      <c r="W13" s="18"/>
      <c r="X13" s="40"/>
      <c r="Y13" s="103" t="n">
        <v>0.99</v>
      </c>
      <c r="Z13" s="104" t="n">
        <v>1.11</v>
      </c>
      <c r="AA13" s="105" t="n">
        <v>0.7</v>
      </c>
      <c r="AB13" s="136"/>
      <c r="AC13" s="11"/>
      <c r="AD13" s="107" t="n">
        <v>36929</v>
      </c>
      <c r="AE13" s="108" t="n">
        <v>0.55</v>
      </c>
      <c r="AF13" s="109"/>
      <c r="AG13" s="127" t="n">
        <v>21.48</v>
      </c>
      <c r="AH13" s="109"/>
      <c r="AI13" s="127" t="n">
        <v>20.15</v>
      </c>
      <c r="AJ13" s="109" t="n">
        <v>0.55</v>
      </c>
      <c r="AK13" s="108" t="n">
        <v>16.625</v>
      </c>
      <c r="AL13" s="110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6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7" t="n">
        <f aca="false">DDE("REUTER","IDN","BPL")</f>
        <v>32.3</v>
      </c>
      <c r="F14" s="128"/>
      <c r="G14" s="127" t="n">
        <f aca="false">DDE("REUTER","IDN","BPL,DIVIDEND")</f>
        <v>2.4</v>
      </c>
      <c r="H14" s="13"/>
      <c r="I14" s="67" t="n">
        <f aca="false">+G14/E14</f>
        <v>0.0743034055727554</v>
      </c>
      <c r="J14" s="67"/>
      <c r="K14" s="134" t="n">
        <f aca="false">(+I14-E$27)*10000</f>
        <v>163.294055727554</v>
      </c>
      <c r="L14" s="23"/>
      <c r="M14" s="67" t="n">
        <f aca="false">(I14*AA14)+((I14*(1-AA14))*(1-0.3))</f>
        <v>0.0687306501547988</v>
      </c>
      <c r="N14" s="23"/>
      <c r="O14" s="33" t="n">
        <f aca="false">+G14/Z14</f>
        <v>0.885608856088561</v>
      </c>
      <c r="P14" s="130"/>
      <c r="Q14" s="33" t="n">
        <f aca="false">(AF14+$E14-AG14)/AG14</f>
        <v>0.00623052959501544</v>
      </c>
      <c r="R14" s="130"/>
      <c r="S14" s="33" t="n">
        <f aca="false">(AH14+$E14-AI14)/AI14</f>
        <v>-0.0392623438429506</v>
      </c>
      <c r="T14" s="13"/>
      <c r="U14" s="135" t="n">
        <f aca="false">(AJ14+E14-AK14)/AK14</f>
        <v>0.139393939393939</v>
      </c>
      <c r="V14" s="102"/>
      <c r="W14" s="18"/>
      <c r="X14" s="40"/>
      <c r="Y14" s="103" t="n">
        <v>2.6</v>
      </c>
      <c r="Z14" s="104" t="n">
        <v>2.71</v>
      </c>
      <c r="AA14" s="105" t="n">
        <v>0.75</v>
      </c>
      <c r="AB14" s="106"/>
      <c r="AC14" s="11"/>
      <c r="AD14" s="107" t="n">
        <v>36924</v>
      </c>
      <c r="AE14" s="108" t="n">
        <v>0.6</v>
      </c>
      <c r="AF14" s="109"/>
      <c r="AG14" s="127" t="n">
        <v>32.1</v>
      </c>
      <c r="AH14" s="109"/>
      <c r="AI14" s="127" t="n">
        <v>33.62</v>
      </c>
      <c r="AJ14" s="109" t="n">
        <v>0.6</v>
      </c>
      <c r="AK14" s="108" t="n">
        <v>28.875</v>
      </c>
      <c r="AL14" s="110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6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3"/>
      <c r="AY14" s="11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7" t="n">
        <f aca="false">DDE("REUTER","IDN","EPN")</f>
        <v>30.48</v>
      </c>
      <c r="F15" s="128"/>
      <c r="G15" s="127" t="n">
        <f aca="false">DDE("REUTER","IDN","EPN,DIVIDEND")</f>
        <v>2.3</v>
      </c>
      <c r="H15" s="13"/>
      <c r="I15" s="67" t="n">
        <f aca="false">+G15/E15</f>
        <v>0.0754593175853018</v>
      </c>
      <c r="J15" s="67"/>
      <c r="K15" s="134" t="n">
        <f aca="false">(+I15-E$27)*10000</f>
        <v>174.853175853018</v>
      </c>
      <c r="L15" s="23"/>
      <c r="M15" s="67" t="n">
        <f aca="false">(I15*AA15)+((I15*(1-AA15))*(1-0.3))</f>
        <v>0.0745538057742782</v>
      </c>
      <c r="N15" s="23"/>
      <c r="O15" s="33" t="n">
        <f aca="false">+G15/Z15</f>
        <v>5.8974358974359</v>
      </c>
      <c r="P15" s="130"/>
      <c r="Q15" s="33" t="n">
        <f aca="false">(AF15+$E15-AG15)/AG15</f>
        <v>0.00263157894736848</v>
      </c>
      <c r="R15" s="130"/>
      <c r="S15" s="33" t="n">
        <f aca="false">(AH15+$E15-AI15)/AI15</f>
        <v>-0.023076923076923</v>
      </c>
      <c r="T15" s="13"/>
      <c r="U15" s="135" t="n">
        <f aca="false">(AJ15+E15-AK15)/AK15</f>
        <v>0.130933940774488</v>
      </c>
      <c r="V15" s="102"/>
      <c r="W15" s="18"/>
      <c r="X15" s="40"/>
      <c r="Y15" s="103" t="n">
        <v>0.15</v>
      </c>
      <c r="Z15" s="104" t="n">
        <v>0.39</v>
      </c>
      <c r="AA15" s="105" t="n">
        <v>0.96</v>
      </c>
      <c r="AB15" s="106"/>
      <c r="AC15" s="11"/>
      <c r="AD15" s="107" t="n">
        <v>36920</v>
      </c>
      <c r="AE15" s="108" t="n">
        <v>0.55</v>
      </c>
      <c r="AF15" s="109"/>
      <c r="AG15" s="127" t="n">
        <v>30.4</v>
      </c>
      <c r="AH15" s="109"/>
      <c r="AI15" s="127" t="n">
        <v>31.2</v>
      </c>
      <c r="AJ15" s="109" t="n">
        <v>0.55</v>
      </c>
      <c r="AK15" s="108" t="n">
        <v>27.4375</v>
      </c>
      <c r="AL15" s="110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6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3"/>
      <c r="AY15" s="11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7" t="n">
        <f aca="false">DDE("REUTER","IDN","FGP")</f>
        <v>17.96</v>
      </c>
      <c r="F16" s="128"/>
      <c r="G16" s="127" t="n">
        <f aca="false">DDE("REUTER","IDN","FGP,DIVIDEND")</f>
        <v>2</v>
      </c>
      <c r="H16" s="13"/>
      <c r="I16" s="67" t="n">
        <f aca="false">+G16/E16</f>
        <v>0.111358574610245</v>
      </c>
      <c r="J16" s="67"/>
      <c r="K16" s="134" t="n">
        <f aca="false">(+I16-E$27)*10000</f>
        <v>533.84574610245</v>
      </c>
      <c r="L16" s="23"/>
      <c r="M16" s="67" t="n">
        <f aca="false">(I16*AA16)+((I16*(1-AA16))*(1-0.3))</f>
        <v>0.110690423162584</v>
      </c>
      <c r="N16" s="23"/>
      <c r="O16" s="33" t="n">
        <f aca="false">+G16/Z16</f>
        <v>2.56410256410256</v>
      </c>
      <c r="P16" s="139"/>
      <c r="Q16" s="33" t="n">
        <f aca="false">(AF16+$E16-AG16)/AG16</f>
        <v>0.0564705882352942</v>
      </c>
      <c r="R16" s="139"/>
      <c r="S16" s="33" t="n">
        <f aca="false">(AH16+$E16-AI16)/AI16</f>
        <v>0.105230769230769</v>
      </c>
      <c r="T16" s="13"/>
      <c r="U16" s="135" t="n">
        <f aca="false">(AJ16+E16-AK16)/AK16</f>
        <v>0.399810426540284</v>
      </c>
      <c r="V16" s="102"/>
      <c r="W16" s="18"/>
      <c r="X16" s="40"/>
      <c r="Y16" s="103" t="n">
        <v>0.8</v>
      </c>
      <c r="Z16" s="104" t="n">
        <v>0.78</v>
      </c>
      <c r="AA16" s="105" t="n">
        <v>0.98</v>
      </c>
      <c r="AB16" s="106"/>
      <c r="AC16" s="11"/>
      <c r="AD16" s="107" t="n">
        <v>36858</v>
      </c>
      <c r="AE16" s="108" t="n">
        <v>0.5</v>
      </c>
      <c r="AF16" s="109"/>
      <c r="AG16" s="127" t="n">
        <v>17</v>
      </c>
      <c r="AH16" s="109"/>
      <c r="AI16" s="127" t="n">
        <v>16.25</v>
      </c>
      <c r="AJ16" s="109" t="n">
        <v>0.5</v>
      </c>
      <c r="AK16" s="108" t="n">
        <v>13.1875</v>
      </c>
      <c r="AL16" s="110" t="n">
        <f aca="false">0.5+0.5+0.5+0.5</f>
        <v>2</v>
      </c>
      <c r="AM16" s="108" t="n">
        <v>12.625</v>
      </c>
      <c r="AN16" s="109" t="n">
        <f aca="false">0.5*4</f>
        <v>2</v>
      </c>
      <c r="AO16" s="108" t="n">
        <v>17.25</v>
      </c>
      <c r="AP16" s="126" t="n">
        <f aca="false">0.5+0.5+0.5+0.5</f>
        <v>2</v>
      </c>
      <c r="AQ16" s="137" t="n">
        <v>22.375</v>
      </c>
      <c r="AR16" s="87"/>
      <c r="AS16" s="88"/>
      <c r="AT16" s="14"/>
      <c r="AU16" s="88"/>
      <c r="AV16" s="88"/>
      <c r="AW16" s="14"/>
      <c r="AX16" s="113"/>
      <c r="AY16" s="11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7" t="n">
        <f aca="false">DDE("REUTER","IDN","GEL.A")</f>
        <v>5.85</v>
      </c>
      <c r="F17" s="128"/>
      <c r="G17" s="127" t="n">
        <f aca="false">DDE("REUTER","IDN","GEL.A,DIVIDEND")</f>
        <v>0.8</v>
      </c>
      <c r="H17" s="13" t="s">
        <v>54</v>
      </c>
      <c r="I17" s="67" t="n">
        <f aca="false">+G17/E17</f>
        <v>0.136752136752137</v>
      </c>
      <c r="J17" s="67"/>
      <c r="K17" s="134" t="n">
        <f aca="false">(+I17-E$27)*10000</f>
        <v>787.781367521368</v>
      </c>
      <c r="L17" s="23"/>
      <c r="M17" s="67" t="n">
        <f aca="false">(I17*AA17)+((I17*(1-AA17))*(1-0.3))</f>
        <v>0.136752136752137</v>
      </c>
      <c r="N17" s="23"/>
      <c r="O17" s="33" t="s">
        <v>55</v>
      </c>
      <c r="P17" s="130"/>
      <c r="Q17" s="33" t="n">
        <f aca="false">(AF17+$E17-AG17)/AG17</f>
        <v>0.0281195079086115</v>
      </c>
      <c r="R17" s="130"/>
      <c r="S17" s="33" t="n">
        <f aca="false">(AH17+$E17-AI17)/AI17</f>
        <v>-0.0250000000000001</v>
      </c>
      <c r="T17" s="13"/>
      <c r="U17" s="135" t="n">
        <f aca="false">(AJ17+E17-AK17)/AK17</f>
        <v>0.668965517241379</v>
      </c>
      <c r="V17" s="102"/>
      <c r="W17" s="18"/>
      <c r="X17" s="40"/>
      <c r="Y17" s="103" t="n">
        <v>0.1</v>
      </c>
      <c r="Z17" s="104" t="n">
        <v>0</v>
      </c>
      <c r="AA17" s="105" t="n">
        <v>1</v>
      </c>
      <c r="AB17" s="106"/>
      <c r="AC17" s="11"/>
      <c r="AD17" s="107" t="n">
        <v>36920</v>
      </c>
      <c r="AE17" s="108" t="n">
        <v>0.2</v>
      </c>
      <c r="AF17" s="109"/>
      <c r="AG17" s="127" t="n">
        <v>5.69</v>
      </c>
      <c r="AH17" s="109"/>
      <c r="AI17" s="127" t="n">
        <v>6</v>
      </c>
      <c r="AJ17" s="109" t="n">
        <v>0.2</v>
      </c>
      <c r="AK17" s="108" t="n">
        <v>3.625</v>
      </c>
      <c r="AL17" s="110" t="n">
        <f aca="false">0.5*4+0.28</f>
        <v>2.28</v>
      </c>
      <c r="AM17" s="108" t="n">
        <v>8.0625</v>
      </c>
      <c r="AN17" s="109" t="n">
        <f aca="false">0.5*4</f>
        <v>2</v>
      </c>
      <c r="AO17" s="108" t="n">
        <v>14.4375</v>
      </c>
      <c r="AP17" s="126" t="n">
        <f aca="false">0.5+0.5+0.5+0.5</f>
        <v>2</v>
      </c>
      <c r="AQ17" s="137" t="n">
        <v>16.375</v>
      </c>
      <c r="AR17" s="87"/>
      <c r="AS17" s="88"/>
      <c r="AT17" s="14"/>
      <c r="AU17" s="88"/>
      <c r="AV17" s="88"/>
      <c r="AW17" s="14"/>
      <c r="AX17" s="113"/>
      <c r="AY17" s="11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7" t="n">
        <f aca="false">DDE("REUTER","IDN","KPP")</f>
        <v>33.08</v>
      </c>
      <c r="F18" s="128"/>
      <c r="G18" s="127" t="n">
        <f aca="false">DDE("REUTER","IDN","KPP,DIVIDEND")</f>
        <v>2.8</v>
      </c>
      <c r="H18" s="13"/>
      <c r="I18" s="67" t="n">
        <f aca="false">+G18/E18</f>
        <v>0.0846432889963724</v>
      </c>
      <c r="J18" s="67"/>
      <c r="K18" s="134" t="n">
        <f aca="false">(+I18-E$27)*10000</f>
        <v>266.692889963724</v>
      </c>
      <c r="L18" s="23"/>
      <c r="M18" s="67" t="n">
        <f aca="false">(I18*AA18)+((I18*(1-AA18))*(1-0.3))</f>
        <v>0.0795646916565901</v>
      </c>
      <c r="N18" s="23"/>
      <c r="O18" s="33" t="n">
        <f aca="false">+G18/Z18</f>
        <v>1.02189781021898</v>
      </c>
      <c r="P18" s="130"/>
      <c r="Q18" s="33" t="n">
        <f aca="false">(AF18+$E18-AG18)/AG18</f>
        <v>-0.00511278195488727</v>
      </c>
      <c r="R18" s="130"/>
      <c r="S18" s="33" t="n">
        <f aca="false">(AH18+$E18-AI18)/AI18</f>
        <v>-0.031615925058548</v>
      </c>
      <c r="T18" s="13"/>
      <c r="U18" s="135" t="n">
        <f aca="false">(AJ18+E18-AK18)/AK18</f>
        <v>0.0735902636916835</v>
      </c>
      <c r="V18" s="102"/>
      <c r="W18" s="18"/>
      <c r="X18" s="40"/>
      <c r="Y18" s="103" t="n">
        <v>2.69</v>
      </c>
      <c r="Z18" s="104" t="n">
        <v>2.74</v>
      </c>
      <c r="AA18" s="105" t="n">
        <v>0.8</v>
      </c>
      <c r="AB18" s="106"/>
      <c r="AC18" s="11"/>
      <c r="AD18" s="107" t="n">
        <v>36888</v>
      </c>
      <c r="AE18" s="108" t="n">
        <v>0.7</v>
      </c>
      <c r="AF18" s="109"/>
      <c r="AG18" s="127" t="n">
        <v>33.25</v>
      </c>
      <c r="AH18" s="109"/>
      <c r="AI18" s="127" t="n">
        <v>34.16</v>
      </c>
      <c r="AJ18" s="109"/>
      <c r="AK18" s="108" t="n">
        <v>30.8125</v>
      </c>
      <c r="AL18" s="110" t="n">
        <f aca="false">0.7*4</f>
        <v>2.8</v>
      </c>
      <c r="AM18" s="108" t="n">
        <v>24.6875</v>
      </c>
      <c r="AN18" s="109" t="n">
        <f aca="false">0.65*2+0.7*2</f>
        <v>2.7</v>
      </c>
      <c r="AO18" s="108" t="n">
        <v>33</v>
      </c>
      <c r="AP18" s="126" t="n">
        <f aca="false">0.65+0.65+0.65+0.65</f>
        <v>2.6</v>
      </c>
      <c r="AQ18" s="137" t="n">
        <v>35.75</v>
      </c>
      <c r="AR18" s="87"/>
      <c r="AS18" s="20"/>
      <c r="AT18" s="20"/>
      <c r="AU18" s="20"/>
      <c r="AV18" s="20"/>
      <c r="AW18" s="14"/>
      <c r="AX18" s="113"/>
      <c r="AY18" s="11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7" t="n">
        <f aca="false">DDE("REUTER","IDN","KMP")</f>
        <v>68</v>
      </c>
      <c r="F19" s="128"/>
      <c r="G19" s="127" t="n">
        <f aca="false">DDE("REUTER","IDN","KMP,DIVIDEND")</f>
        <v>4.2</v>
      </c>
      <c r="H19" s="140"/>
      <c r="I19" s="67" t="n">
        <f aca="false">+G19/E19</f>
        <v>0.0617647058823529</v>
      </c>
      <c r="J19" s="67"/>
      <c r="K19" s="134" t="n">
        <f aca="false">(+I19-E$27)*10000</f>
        <v>37.9070588235295</v>
      </c>
      <c r="L19" s="23"/>
      <c r="M19" s="67" t="n">
        <f aca="false">(I19*AA19)+((I19*(1-AA19))*(1-0.3))</f>
        <v>0.0599117647058824</v>
      </c>
      <c r="N19" s="23"/>
      <c r="O19" s="33" t="n">
        <f aca="false">+G19/Z19</f>
        <v>1.88340807174888</v>
      </c>
      <c r="P19" s="130"/>
      <c r="Q19" s="33" t="n">
        <f aca="false">(AF19+$E19-AG19)/AG19</f>
        <v>0.060842433697348</v>
      </c>
      <c r="R19" s="130"/>
      <c r="S19" s="33" t="n">
        <f aca="false">(AH19+$E19-AI19)/AI19</f>
        <v>0.0776545166402535</v>
      </c>
      <c r="T19" s="13"/>
      <c r="U19" s="135" t="n">
        <f aca="false">(AJ19+E19-AK19)/AK19</f>
        <v>0.22441731409545</v>
      </c>
      <c r="V19" s="102"/>
      <c r="W19" s="18"/>
      <c r="X19" s="40"/>
      <c r="Y19" s="103" t="n">
        <v>1.8</v>
      </c>
      <c r="Z19" s="104" t="n">
        <v>2.23</v>
      </c>
      <c r="AA19" s="105" t="n">
        <v>0.9</v>
      </c>
      <c r="AB19" s="136"/>
      <c r="AC19" s="11"/>
      <c r="AD19" s="107" t="n">
        <v>36920</v>
      </c>
      <c r="AE19" s="108" t="n">
        <v>0.95</v>
      </c>
      <c r="AF19" s="109"/>
      <c r="AG19" s="127" t="n">
        <v>64.1</v>
      </c>
      <c r="AH19" s="109"/>
      <c r="AI19" s="127" t="n">
        <v>63.1</v>
      </c>
      <c r="AJ19" s="109" t="n">
        <v>0.95</v>
      </c>
      <c r="AK19" s="108" t="n">
        <v>56.3125</v>
      </c>
      <c r="AL19" s="110" t="n">
        <f aca="false">0.725+0.775+0.85*2</f>
        <v>3.2</v>
      </c>
      <c r="AM19" s="108" t="n">
        <v>41.4375</v>
      </c>
      <c r="AN19" s="109" t="n">
        <f aca="false">0.65+0.7*2+0.725</f>
        <v>2.775</v>
      </c>
      <c r="AO19" s="108" t="n">
        <v>36.25</v>
      </c>
      <c r="AP19" s="126" t="n">
        <f aca="false">0.5625+0.5625+0.63+0.63</f>
        <v>2.385</v>
      </c>
      <c r="AQ19" s="137" t="n">
        <v>33.875</v>
      </c>
      <c r="AR19" s="87"/>
      <c r="AS19" s="20"/>
      <c r="AT19" s="14"/>
      <c r="AU19" s="14"/>
      <c r="AV19" s="14"/>
      <c r="AW19" s="14"/>
      <c r="AX19" s="14"/>
      <c r="AY19" s="11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7" t="n">
        <f aca="false">DDE("REUTER","IDN","LHP")</f>
        <v>46.25</v>
      </c>
      <c r="F20" s="128"/>
      <c r="G20" s="127" t="n">
        <f aca="false">DDE("REUTER","IDN","LHP,DIVIDEND")</f>
        <v>3.5</v>
      </c>
      <c r="H20" s="13"/>
      <c r="I20" s="67" t="n">
        <f aca="false">+G20/E20</f>
        <v>0.0756756756756757</v>
      </c>
      <c r="J20" s="67"/>
      <c r="K20" s="134" t="n">
        <f aca="false">(+I20-E$27)*10000</f>
        <v>177.016756756757</v>
      </c>
      <c r="L20" s="23"/>
      <c r="M20" s="67" t="n">
        <f aca="false">(I20*AA20)+((I20*(1-AA20))*(1-0.3))</f>
        <v>0.0745405405405406</v>
      </c>
      <c r="N20" s="23"/>
      <c r="O20" s="33" t="n">
        <f aca="false">+G20/Z20</f>
        <v>1.46443514644351</v>
      </c>
      <c r="P20" s="130"/>
      <c r="Q20" s="33" t="n">
        <f aca="false">(AF20+$E20-AG20)/AG20</f>
        <v>-0.000648228176318089</v>
      </c>
      <c r="R20" s="130"/>
      <c r="S20" s="33" t="n">
        <f aca="false">(AH20+$E20-AI20)/AI20</f>
        <v>0.0499432463110103</v>
      </c>
      <c r="T20" s="13"/>
      <c r="U20" s="135" t="n">
        <f aca="false">(AJ20+E20-AK20)/AK20</f>
        <v>0.142424242424242</v>
      </c>
      <c r="V20" s="102"/>
      <c r="W20" s="18"/>
      <c r="X20" s="40"/>
      <c r="Y20" s="103" t="n">
        <v>2.34</v>
      </c>
      <c r="Z20" s="104" t="n">
        <v>2.39</v>
      </c>
      <c r="AA20" s="105" t="n">
        <v>0.95</v>
      </c>
      <c r="AB20" s="106"/>
      <c r="AC20" s="11"/>
      <c r="AD20" s="107" t="n">
        <v>36927</v>
      </c>
      <c r="AE20" s="108" t="n">
        <v>0.875</v>
      </c>
      <c r="AF20" s="109"/>
      <c r="AG20" s="127" t="n">
        <v>46.28</v>
      </c>
      <c r="AH20" s="109"/>
      <c r="AI20" s="127" t="n">
        <v>44.05</v>
      </c>
      <c r="AJ20" s="109" t="n">
        <v>0.875</v>
      </c>
      <c r="AK20" s="108" t="n">
        <v>41.25</v>
      </c>
      <c r="AL20" s="110" t="n">
        <f aca="false">0.875*4</f>
        <v>3.5</v>
      </c>
      <c r="AM20" s="108" t="n">
        <v>34.8125</v>
      </c>
      <c r="AN20" s="109" t="n">
        <f aca="false">0.875*4</f>
        <v>3.5</v>
      </c>
      <c r="AO20" s="108" t="n">
        <v>48.5</v>
      </c>
      <c r="AP20" s="126" t="n">
        <f aca="false">0.78+0.86+0.86+0.86</f>
        <v>3.36</v>
      </c>
      <c r="AQ20" s="137" t="n">
        <v>43.6875</v>
      </c>
      <c r="AR20" s="87"/>
      <c r="AS20" s="88"/>
      <c r="AT20" s="88"/>
      <c r="AU20" s="88"/>
      <c r="AV20" s="88"/>
      <c r="AW20" s="14"/>
      <c r="AX20" s="113"/>
      <c r="AY20" s="11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7" t="n">
        <f aca="false">DDE("REUTER","IDN","PAA")</f>
        <v>23.44</v>
      </c>
      <c r="F21" s="128"/>
      <c r="G21" s="127" t="n">
        <f aca="false">DDE("REUTER","IDN","PAA,DIVIDEND")</f>
        <v>1.85</v>
      </c>
      <c r="H21" s="140"/>
      <c r="I21" s="67" t="n">
        <f aca="false">+G21/E21</f>
        <v>0.0789249146757679</v>
      </c>
      <c r="J21" s="67"/>
      <c r="K21" s="134" t="n">
        <f aca="false">(+I21-E$27)*10000</f>
        <v>209.509146757679</v>
      </c>
      <c r="L21" s="23"/>
      <c r="M21" s="67" t="n">
        <f aca="false">(I21*AA21)+((I21*(1-AA21))*(1-0.3))</f>
        <v>0.0718216723549488</v>
      </c>
      <c r="N21" s="23"/>
      <c r="O21" s="33" t="n">
        <f aca="false">+G21/Z21</f>
        <v>0.994623655913979</v>
      </c>
      <c r="P21" s="130"/>
      <c r="Q21" s="33" t="n">
        <f aca="false">(AF21+$E21-AG21)/AG21</f>
        <v>0.00990952175786301</v>
      </c>
      <c r="R21" s="130"/>
      <c r="S21" s="33" t="n">
        <f aca="false">(AH21+$E21-AI21)/AI21</f>
        <v>0.0511210762331839</v>
      </c>
      <c r="T21" s="13"/>
      <c r="U21" s="135" t="n">
        <f aca="false">(AJ21+E21-AK21)/AK21</f>
        <v>0.249830065359477</v>
      </c>
      <c r="V21" s="102"/>
      <c r="W21" s="18"/>
      <c r="X21" s="40"/>
      <c r="Y21" s="103" t="n">
        <v>1.66</v>
      </c>
      <c r="Z21" s="104" t="n">
        <v>1.86</v>
      </c>
      <c r="AA21" s="105" t="n">
        <v>0.7</v>
      </c>
      <c r="AB21" s="106"/>
      <c r="AC21" s="11"/>
      <c r="AD21" s="107" t="n">
        <v>36922</v>
      </c>
      <c r="AE21" s="108" t="n">
        <v>0.4625</v>
      </c>
      <c r="AF21" s="109"/>
      <c r="AG21" s="127" t="n">
        <v>23.21</v>
      </c>
      <c r="AH21" s="109"/>
      <c r="AI21" s="127" t="n">
        <v>22.3</v>
      </c>
      <c r="AJ21" s="109" t="n">
        <v>0.463</v>
      </c>
      <c r="AK21" s="108" t="n">
        <v>19.125</v>
      </c>
      <c r="AL21" s="110" t="n">
        <f aca="false">0.45*2+0.4625*2</f>
        <v>1.825</v>
      </c>
      <c r="AM21" s="108" t="n">
        <v>13</v>
      </c>
      <c r="AN21" s="109" t="n">
        <f aca="false">0.193+0.45+0.463+0.48125</f>
        <v>1.58725</v>
      </c>
      <c r="AO21" s="108" t="n">
        <v>17.3125</v>
      </c>
      <c r="AP21" s="126" t="s">
        <v>64</v>
      </c>
      <c r="AQ21" s="141" t="s">
        <v>64</v>
      </c>
      <c r="AR21" s="87"/>
      <c r="AS21" s="142"/>
      <c r="AT21" s="88"/>
      <c r="AU21" s="88"/>
      <c r="AV21" s="88"/>
      <c r="AW21" s="14"/>
      <c r="AX21" s="113"/>
      <c r="AY21" s="11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7" t="n">
        <f aca="false">DDE("REUTER","IDN","TCLPZ.O")</f>
        <v>22.45</v>
      </c>
      <c r="F22" s="128"/>
      <c r="G22" s="127" t="n">
        <f aca="false">DDE("REUTER","IDN","TCLPZ.O,DIVIDEND")</f>
        <v>1.9</v>
      </c>
      <c r="H22" s="13"/>
      <c r="I22" s="67" t="n">
        <f aca="false">+G22/E22</f>
        <v>0.0846325167037862</v>
      </c>
      <c r="J22" s="67"/>
      <c r="K22" s="134" t="n">
        <f aca="false">(+I22-E$27)*10000</f>
        <v>266.585167037862</v>
      </c>
      <c r="L22" s="23"/>
      <c r="M22" s="67" t="n">
        <f aca="false">(I22*AA22)+((I22*(1-AA22))*(1-0.3))</f>
        <v>0.0833630289532294</v>
      </c>
      <c r="N22" s="23"/>
      <c r="O22" s="33" t="n">
        <f aca="false">+G22/Z22</f>
        <v>0.913461538461538</v>
      </c>
      <c r="P22" s="130"/>
      <c r="Q22" s="33" t="n">
        <f aca="false">(AF22+$E22-AG22)/AG22</f>
        <v>0.0845410628019324</v>
      </c>
      <c r="R22" s="130"/>
      <c r="S22" s="33" t="n">
        <f aca="false">(AH22+$E22-AI22)/AI22</f>
        <v>0.00898876404494379</v>
      </c>
      <c r="T22" s="13"/>
      <c r="U22" s="135" t="n">
        <f aca="false">(AJ22+E22-AK22)/AK22</f>
        <v>0.190909090909091</v>
      </c>
      <c r="V22" s="102"/>
      <c r="W22" s="18"/>
      <c r="X22" s="40"/>
      <c r="Y22" s="103" t="n">
        <v>2.04</v>
      </c>
      <c r="Z22" s="104" t="n">
        <v>2.08</v>
      </c>
      <c r="AA22" s="105" t="n">
        <v>0.95</v>
      </c>
      <c r="AB22" s="106"/>
      <c r="AC22" s="11"/>
      <c r="AD22" s="107" t="n">
        <v>36920</v>
      </c>
      <c r="AE22" s="108" t="n">
        <v>0.475</v>
      </c>
      <c r="AF22" s="109"/>
      <c r="AG22" s="143" t="n">
        <v>20.7</v>
      </c>
      <c r="AH22" s="109"/>
      <c r="AI22" s="143" t="n">
        <v>22.25</v>
      </c>
      <c r="AJ22" s="109" t="n">
        <v>0.475</v>
      </c>
      <c r="AK22" s="108" t="n">
        <v>19.25</v>
      </c>
      <c r="AL22" s="110" t="n">
        <f aca="false">0.45*4</f>
        <v>1.8</v>
      </c>
      <c r="AM22" s="108" t="n">
        <v>14.25</v>
      </c>
      <c r="AN22" s="109" t="n">
        <f aca="false">0.168+0.45</f>
        <v>0.618</v>
      </c>
      <c r="AO22" s="108" t="s">
        <v>64</v>
      </c>
      <c r="AP22" s="126"/>
      <c r="AQ22" s="141"/>
      <c r="AR22" s="87"/>
      <c r="AS22" s="142"/>
      <c r="AT22" s="88"/>
      <c r="AU22" s="88"/>
      <c r="AV22" s="88"/>
      <c r="AW22" s="14"/>
      <c r="AX22" s="113"/>
      <c r="AY22" s="11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7" t="n">
        <f aca="false">DDE("REUTER","IDN","TPP")</f>
        <v>27.3</v>
      </c>
      <c r="F23" s="128"/>
      <c r="G23" s="127" t="n">
        <f aca="false">DDE("REUTER","IDN","TPP,DIVIDEND")</f>
        <v>2.1</v>
      </c>
      <c r="H23" s="13"/>
      <c r="I23" s="67" t="n">
        <f aca="false">+G23/E23</f>
        <v>0.0769230769230769</v>
      </c>
      <c r="J23" s="67"/>
      <c r="K23" s="134" t="n">
        <f aca="false">(+I23-E$27)*10000</f>
        <v>189.490769230769</v>
      </c>
      <c r="L23" s="23"/>
      <c r="M23" s="67" t="n">
        <f aca="false">(I23*AA23)+((I23*(1-AA23))*(1-0.3))</f>
        <v>0.07</v>
      </c>
      <c r="N23" s="23"/>
      <c r="O23" s="33" t="n">
        <f aca="false">+G23/Z23</f>
        <v>0.967741935483871</v>
      </c>
      <c r="P23" s="130"/>
      <c r="Q23" s="33" t="n">
        <f aca="false">(AF23+$E23-AG23)/AG23</f>
        <v>0.0224719101123596</v>
      </c>
      <c r="R23" s="130"/>
      <c r="S23" s="33" t="n">
        <f aca="false">(AH23+$E23-AI23)/AI23</f>
        <v>0.0419847328244275</v>
      </c>
      <c r="T23" s="13"/>
      <c r="U23" s="135" t="n">
        <f aca="false">(AJ23+E23-AK23)/AK23</f>
        <v>0.132824427480916</v>
      </c>
      <c r="V23" s="102"/>
      <c r="W23" s="18"/>
      <c r="X23" s="40"/>
      <c r="Y23" s="103" t="n">
        <v>2.08</v>
      </c>
      <c r="Z23" s="104" t="n">
        <v>2.17</v>
      </c>
      <c r="AA23" s="105" t="n">
        <v>0.7</v>
      </c>
      <c r="AB23" s="106"/>
      <c r="AC23" s="11"/>
      <c r="AD23" s="107" t="n">
        <v>36920</v>
      </c>
      <c r="AE23" s="108" t="n">
        <v>0.525</v>
      </c>
      <c r="AF23" s="109"/>
      <c r="AG23" s="127" t="n">
        <v>26.7</v>
      </c>
      <c r="AH23" s="109"/>
      <c r="AI23" s="127" t="n">
        <v>26.2</v>
      </c>
      <c r="AJ23" s="109" t="n">
        <v>0.525</v>
      </c>
      <c r="AK23" s="108" t="n">
        <v>24.5625</v>
      </c>
      <c r="AL23" s="110" t="n">
        <f aca="false">0.475+0.5+0.5+0.525</f>
        <v>2</v>
      </c>
      <c r="AM23" s="108" t="n">
        <v>19.3125</v>
      </c>
      <c r="AN23" s="109" t="n">
        <f aca="false">0.45*2+0.475*2</f>
        <v>1.85</v>
      </c>
      <c r="AO23" s="108" t="n">
        <v>24.5625</v>
      </c>
      <c r="AP23" s="126" t="n">
        <f aca="false">(0.85+0.85+0.9)/2+0.45</f>
        <v>1.75</v>
      </c>
      <c r="AQ23" s="137" t="n">
        <f aca="false">52.6875/2</f>
        <v>26.34375</v>
      </c>
      <c r="AR23" s="87"/>
      <c r="AS23" s="20"/>
      <c r="AT23" s="20"/>
      <c r="AU23" s="20"/>
      <c r="AV23" s="20"/>
      <c r="AW23" s="20"/>
      <c r="AX23" s="113"/>
      <c r="AY23" s="11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29"/>
      <c r="L24" s="23"/>
      <c r="M24" s="15"/>
      <c r="N24" s="23"/>
      <c r="O24" s="33"/>
      <c r="P24" s="130"/>
      <c r="Q24" s="33"/>
      <c r="R24" s="130"/>
      <c r="S24" s="33"/>
      <c r="T24" s="13"/>
      <c r="U24" s="12"/>
      <c r="V24" s="18"/>
      <c r="W24" s="18"/>
      <c r="X24" s="40"/>
      <c r="Y24" s="80"/>
      <c r="Z24" s="81"/>
      <c r="AA24" s="144"/>
      <c r="AB24" s="145"/>
      <c r="AC24" s="22"/>
      <c r="AD24" s="29"/>
      <c r="AE24" s="146"/>
      <c r="AF24" s="19"/>
      <c r="AG24" s="14"/>
      <c r="AH24" s="19"/>
      <c r="AI24" s="14"/>
      <c r="AJ24" s="29"/>
      <c r="AK24" s="86"/>
      <c r="AL24" s="147"/>
      <c r="AM24" s="86"/>
      <c r="AN24" s="147"/>
      <c r="AO24" s="86"/>
      <c r="AP24" s="148"/>
      <c r="AQ24" s="149"/>
      <c r="AR24" s="20"/>
      <c r="AS24" s="20"/>
      <c r="AT24" s="20"/>
      <c r="AU24" s="20"/>
      <c r="AV24" s="20"/>
      <c r="AW24" s="20"/>
      <c r="AX24" s="113"/>
      <c r="AY24" s="113"/>
      <c r="AZ24" s="114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0" t="s">
        <v>69</v>
      </c>
      <c r="B25" s="151"/>
      <c r="C25" s="152"/>
      <c r="D25" s="151"/>
      <c r="E25" s="153"/>
      <c r="F25" s="153"/>
      <c r="G25" s="154"/>
      <c r="H25" s="155"/>
      <c r="I25" s="156" t="n">
        <f aca="false">AVERAGEA(I13:I23)</f>
        <v>0.0875673956086571</v>
      </c>
      <c r="J25" s="156"/>
      <c r="K25" s="157" t="n">
        <f aca="false">(+I25-E$27)*10000</f>
        <v>295.933956086571</v>
      </c>
      <c r="L25" s="152"/>
      <c r="M25" s="156" t="n">
        <f aca="false">AVERAGEA(M13:M23)</f>
        <v>0.0839527378112861</v>
      </c>
      <c r="N25" s="152"/>
      <c r="O25" s="158" t="n">
        <f aca="false">AVERAGEA(O13:O23)</f>
        <v>1.71044888164727</v>
      </c>
      <c r="P25" s="159"/>
      <c r="Q25" s="158" t="n">
        <f aca="false">AVERAGEA(Q13:Q23)</f>
        <v>0.0237937934671582</v>
      </c>
      <c r="R25" s="159"/>
      <c r="S25" s="158" t="n">
        <f aca="false">AVERAGEA(S13:S23)</f>
        <v>0.025272968432751</v>
      </c>
      <c r="T25" s="155"/>
      <c r="U25" s="160" t="n">
        <f aca="false">AVERAGEA(U13:U23)</f>
        <v>0.24303636179915</v>
      </c>
      <c r="V25" s="18"/>
      <c r="W25" s="18"/>
      <c r="X25" s="40"/>
      <c r="Y25" s="161"/>
      <c r="Z25" s="162"/>
      <c r="AA25" s="163"/>
      <c r="AB25" s="164"/>
      <c r="AC25" s="165"/>
      <c r="AD25" s="166"/>
      <c r="AE25" s="167"/>
      <c r="AF25" s="168"/>
      <c r="AG25" s="169"/>
      <c r="AH25" s="168"/>
      <c r="AI25" s="169"/>
      <c r="AJ25" s="170"/>
      <c r="AK25" s="167"/>
      <c r="AL25" s="171"/>
      <c r="AM25" s="167"/>
      <c r="AN25" s="171"/>
      <c r="AO25" s="167"/>
      <c r="AP25" s="172"/>
      <c r="AQ25" s="173"/>
      <c r="AR25" s="20"/>
      <c r="AS25" s="20"/>
      <c r="AT25" s="20"/>
      <c r="AU25" s="20"/>
      <c r="AV25" s="20"/>
      <c r="AW25" s="20"/>
      <c r="AX25" s="14"/>
      <c r="AY25" s="14"/>
      <c r="AZ25" s="114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4" t="n">
        <f aca="false">PV(E27/2,(58-((+VALUE($AG$6+7)-VALUE($AT$27))/(365/2))),-$AK$27*100/2,-100,0)</f>
        <v>95.376900423877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0"/>
      <c r="Q26" s="33"/>
      <c r="R26" s="130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4" t="n">
        <v>97.8922200607465</v>
      </c>
      <c r="AH26" s="23"/>
      <c r="AI26" s="174" t="n">
        <v>100.156467010818</v>
      </c>
      <c r="AJ26" s="23"/>
      <c r="AK26" s="174" t="n">
        <f aca="false">PV(AK27/2,60,-$AK$27*100/2,-100,0)</f>
        <v>100</v>
      </c>
      <c r="AL26" s="23" t="n">
        <f aca="false">+AM27*100</f>
        <v>6.482</v>
      </c>
      <c r="AM26" s="174" t="n">
        <f aca="false">PV(AM27/2,60,-$AM$27*100/2,-100,0)</f>
        <v>100</v>
      </c>
      <c r="AN26" s="23" t="n">
        <f aca="false">+AO27*100</f>
        <v>5.1</v>
      </c>
      <c r="AO26" s="174" t="n">
        <v>100</v>
      </c>
      <c r="AP26" s="174"/>
      <c r="AQ26" s="174"/>
      <c r="AR26" s="175" t="s">
        <v>70</v>
      </c>
      <c r="AS26" s="176"/>
      <c r="AT26" s="177"/>
      <c r="AU26" s="14"/>
      <c r="AV26" s="20"/>
      <c r="AW26" s="14"/>
      <c r="AX26" s="14"/>
      <c r="AY26" s="14"/>
      <c r="AZ26" s="14"/>
      <c r="BA26" s="138"/>
      <c r="BB26" s="114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8" t="n">
        <f aca="false">DDE("REUTER","IDN","US30YT=RR,RT YIELD 1")/100</f>
        <v>0.057974</v>
      </c>
      <c r="F27" s="11"/>
      <c r="G27" s="179"/>
      <c r="H27" s="13"/>
      <c r="I27" s="22"/>
      <c r="J27" s="178"/>
      <c r="K27" s="129"/>
      <c r="L27" s="23"/>
      <c r="M27" s="67" t="n">
        <f aca="false">(E27*AA27)+((E27*(1-AA27))*(1-0.3))</f>
        <v>0.0405818</v>
      </c>
      <c r="N27" s="23"/>
      <c r="O27" s="33"/>
      <c r="P27" s="130"/>
      <c r="Q27" s="33" t="n">
        <f aca="false">(AF26+$E26-AG26)/AG26</f>
        <v>-0.0256947859115728</v>
      </c>
      <c r="R27" s="130"/>
      <c r="S27" s="33" t="n">
        <f aca="false">(AH26+$E26-AI26)/AI26</f>
        <v>-0.0477209982499176</v>
      </c>
      <c r="T27" s="13"/>
      <c r="U27" s="135" t="n">
        <f aca="false">(AJ26+E26-AK26)/AK26</f>
        <v>-0.04623099576123</v>
      </c>
      <c r="V27" s="18"/>
      <c r="W27" s="18"/>
      <c r="X27" s="40"/>
      <c r="Y27" s="40"/>
      <c r="Z27" s="40"/>
      <c r="AA27" s="40"/>
      <c r="AB27" s="40"/>
      <c r="AC27" s="20"/>
      <c r="AD27" s="180"/>
      <c r="AE27" s="180"/>
      <c r="AF27" s="180"/>
      <c r="AG27" s="178" t="n">
        <v>0.056109</v>
      </c>
      <c r="AH27" s="181"/>
      <c r="AI27" s="178" t="n">
        <v>0.054491</v>
      </c>
      <c r="AJ27" s="181"/>
      <c r="AK27" s="178" t="n">
        <v>0.054601</v>
      </c>
      <c r="AL27" s="181"/>
      <c r="AM27" s="178" t="n">
        <v>0.06482</v>
      </c>
      <c r="AN27" s="182"/>
      <c r="AO27" s="182" t="n">
        <v>0.051</v>
      </c>
      <c r="AP27" s="180"/>
      <c r="AQ27" s="180"/>
      <c r="AR27" s="183" t="s">
        <v>72</v>
      </c>
      <c r="AS27" s="180"/>
      <c r="AT27" s="184" t="n">
        <v>36525</v>
      </c>
      <c r="AU27" s="14"/>
      <c r="AV27" s="20"/>
      <c r="AW27" s="14"/>
      <c r="AX27" s="14"/>
      <c r="AY27" s="14"/>
      <c r="AZ27" s="14"/>
      <c r="BA27" s="14"/>
      <c r="BB27" s="114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5"/>
      <c r="C28" s="186"/>
      <c r="D28" s="185"/>
      <c r="E28" s="2" t="s">
        <v>26</v>
      </c>
      <c r="F28" s="187"/>
      <c r="G28" s="188"/>
      <c r="H28" s="188"/>
      <c r="I28" s="189"/>
      <c r="J28" s="189"/>
      <c r="K28" s="190"/>
      <c r="L28" s="188"/>
      <c r="M28" s="189"/>
      <c r="N28" s="188"/>
      <c r="O28" s="191"/>
      <c r="P28" s="191"/>
      <c r="Q28" s="192" t="s">
        <v>73</v>
      </c>
      <c r="S28" s="192" t="s">
        <v>73</v>
      </c>
      <c r="U28" s="192" t="s">
        <v>73</v>
      </c>
      <c r="V28" s="193"/>
      <c r="W28" s="194"/>
      <c r="X28" s="194"/>
      <c r="Y28" s="194"/>
      <c r="Z28" s="194"/>
      <c r="AA28" s="194"/>
      <c r="AB28" s="194"/>
      <c r="AC28" s="194"/>
      <c r="AD28" s="194"/>
      <c r="AE28" s="194"/>
      <c r="AF28" s="174"/>
      <c r="AG28" s="9" t="s">
        <v>26</v>
      </c>
      <c r="AM28" s="23"/>
      <c r="AN28" s="23"/>
      <c r="AO28" s="23"/>
      <c r="AU28" s="177"/>
      <c r="AV28" s="195"/>
      <c r="AW28" s="177"/>
      <c r="AX28" s="177"/>
      <c r="AY28" s="177"/>
      <c r="AZ28" s="177"/>
      <c r="BA28" s="177"/>
    </row>
    <row r="29" customFormat="false" ht="19.5" hidden="true" customHeight="true" outlineLevel="0" collapsed="false">
      <c r="A29" s="196" t="s">
        <v>74</v>
      </c>
      <c r="B29" s="185"/>
      <c r="C29" s="186"/>
      <c r="D29" s="185"/>
      <c r="E29" s="187"/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1"/>
      <c r="R29" s="191"/>
      <c r="S29" s="191"/>
      <c r="T29" s="188"/>
      <c r="U29" s="187"/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6"/>
      <c r="AS29" s="176"/>
      <c r="AT29" s="177"/>
      <c r="AU29" s="177"/>
      <c r="AV29" s="195"/>
      <c r="AW29" s="177"/>
      <c r="AX29" s="177"/>
      <c r="AY29" s="177"/>
      <c r="AZ29" s="177"/>
      <c r="BA29" s="177"/>
    </row>
    <row r="30" customFormat="false" ht="19.5" hidden="false" customHeight="true" outlineLevel="0" collapsed="false">
      <c r="A30" s="196"/>
      <c r="B30" s="185"/>
      <c r="C30" s="186"/>
      <c r="D30" s="185"/>
      <c r="E30" s="19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J30" s="198"/>
      <c r="AK30" s="198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26.25" hidden="false" customHeight="false" outlineLevel="0" collapsed="false">
      <c r="A31" s="199" t="s">
        <v>75</v>
      </c>
      <c r="B31" s="200"/>
      <c r="C31" s="201"/>
      <c r="D31" s="200"/>
      <c r="E31" s="127"/>
      <c r="F31" s="202"/>
      <c r="G31" s="203"/>
      <c r="H31" s="203"/>
      <c r="I31" s="204"/>
      <c r="J31" s="204"/>
      <c r="K31" s="205"/>
      <c r="L31" s="203"/>
      <c r="M31" s="204"/>
      <c r="N31" s="203"/>
      <c r="O31" s="206"/>
      <c r="P31" s="206"/>
      <c r="Q31" s="206"/>
      <c r="R31" s="206"/>
      <c r="S31" s="206"/>
      <c r="T31" s="203"/>
      <c r="U31" s="202"/>
      <c r="V31" s="207"/>
      <c r="W31" s="208"/>
      <c r="X31" s="208"/>
      <c r="Y31" s="208"/>
      <c r="Z31" s="208"/>
      <c r="AA31" s="208"/>
      <c r="AB31" s="208"/>
      <c r="AC31" s="208"/>
      <c r="AD31" s="208"/>
      <c r="AE31" s="209"/>
      <c r="AF31" s="174"/>
      <c r="AG31" s="174"/>
      <c r="AH31" s="174"/>
      <c r="AI31" s="210"/>
      <c r="AJ31" s="210"/>
      <c r="AK31" s="210"/>
      <c r="AL31" s="174"/>
      <c r="AM31" s="174"/>
      <c r="AN31" s="174"/>
      <c r="AO31" s="174"/>
      <c r="AP31" s="174"/>
      <c r="AQ31" s="174"/>
      <c r="AR31" s="211"/>
      <c r="AS31" s="211"/>
      <c r="AT31" s="212"/>
      <c r="AU31" s="212"/>
      <c r="AV31" s="213"/>
      <c r="AW31" s="212"/>
      <c r="AX31" s="212"/>
      <c r="AY31" s="212"/>
      <c r="AZ31" s="212"/>
      <c r="BA31" s="212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  <c r="IW31" s="210"/>
    </row>
    <row r="32" customFormat="false" ht="9.75" hidden="false" customHeight="true" outlineLevel="0" collapsed="false">
      <c r="A32" s="10"/>
      <c r="B32" s="200"/>
      <c r="C32" s="201"/>
      <c r="D32" s="200"/>
      <c r="E32" s="174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26.25" hidden="false" customHeight="false" outlineLevel="0" collapsed="false">
      <c r="A33" s="199" t="s">
        <v>76</v>
      </c>
      <c r="B33" s="200"/>
      <c r="C33" s="201"/>
      <c r="D33" s="200"/>
      <c r="E33" s="202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14"/>
      <c r="X33" s="214"/>
      <c r="Y33" s="214"/>
      <c r="Z33" s="214"/>
      <c r="AA33" s="214"/>
      <c r="AB33" s="214"/>
      <c r="AC33" s="214"/>
      <c r="AD33" s="214"/>
      <c r="AE33" s="214"/>
      <c r="AF33" s="208"/>
      <c r="AG33" s="174"/>
      <c r="AH33" s="208"/>
      <c r="AI33" s="208"/>
      <c r="AJ33" s="208"/>
      <c r="AK33" s="208"/>
      <c r="AL33" s="208"/>
      <c r="AM33" s="208"/>
      <c r="AN33" s="208"/>
      <c r="AO33" s="208"/>
      <c r="AP33" s="211"/>
      <c r="AQ33" s="208"/>
      <c r="AR33" s="208"/>
      <c r="AS33" s="215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6.75" hidden="false" customHeight="true" outlineLevel="0" collapsed="false">
      <c r="A34" s="10"/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31.5" hidden="false" customHeight="true" outlineLevel="0" collapsed="false">
      <c r="A35" s="185" t="s">
        <v>77</v>
      </c>
      <c r="B35" s="216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8"/>
      <c r="T35" s="219"/>
      <c r="U35" s="220"/>
      <c r="V35" s="207"/>
      <c r="W35" s="207"/>
      <c r="X35" s="221"/>
      <c r="Y35" s="221"/>
      <c r="Z35" s="221"/>
      <c r="AA35" s="221"/>
      <c r="AB35" s="221"/>
      <c r="AC35" s="200"/>
      <c r="AD35" s="222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23"/>
      <c r="AQ35" s="224"/>
      <c r="AR35" s="225"/>
      <c r="AS35" s="22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/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26.25" hidden="false" customHeight="false" outlineLevel="0" collapsed="false">
      <c r="A37" s="91" t="s">
        <v>78</v>
      </c>
      <c r="B37" s="92"/>
      <c r="C37" s="226" t="s">
        <v>79</v>
      </c>
      <c r="D37" s="92"/>
      <c r="E37" s="94" t="n">
        <f aca="false">DDE("REUTER","IDN","UDL")</f>
        <v>27.85</v>
      </c>
      <c r="F37" s="227"/>
      <c r="G37" s="94" t="n">
        <v>2.4</v>
      </c>
      <c r="H37" s="228"/>
      <c r="I37" s="97" t="n">
        <f aca="false">+G37/E37</f>
        <v>0.0861759425493716</v>
      </c>
      <c r="J37" s="97"/>
      <c r="K37" s="229" t="n">
        <f aca="false">(+I37-E$27)*10000</f>
        <v>282.019425493716</v>
      </c>
      <c r="L37" s="93"/>
      <c r="M37" s="97" t="n">
        <f aca="false">(I37*AA37)+((I37*(1-AA37))*(1-0.3))</f>
        <v>0.0603231597845601</v>
      </c>
      <c r="N37" s="93"/>
      <c r="O37" s="230" t="s">
        <v>55</v>
      </c>
      <c r="P37" s="231"/>
      <c r="Q37" s="230" t="n">
        <f aca="false">(AF37+$E37-AG37)/AG37</f>
        <v>-0.0379965457685664</v>
      </c>
      <c r="R37" s="231"/>
      <c r="S37" s="230" t="n">
        <f aca="false">(AH37+$E37-AI37)/AI37</f>
        <v>0.136734693877551</v>
      </c>
      <c r="T37" s="96"/>
      <c r="U37" s="232" t="e">
        <f aca="false">(AJ37+E37-AK37)/AK37</f>
        <v>#VALUE!</v>
      </c>
      <c r="V37" s="102"/>
      <c r="W37" s="18"/>
      <c r="X37" s="40"/>
      <c r="Y37" s="233" t="s">
        <v>55</v>
      </c>
      <c r="Z37" s="234" t="s">
        <v>55</v>
      </c>
      <c r="AA37" s="235" t="n">
        <v>0</v>
      </c>
      <c r="AB37" s="236"/>
      <c r="AC37" s="43"/>
      <c r="AD37" s="237"/>
      <c r="AE37" s="238"/>
      <c r="AF37" s="239"/>
      <c r="AG37" s="240" t="n">
        <v>28.95</v>
      </c>
      <c r="AH37" s="239"/>
      <c r="AI37" s="240" t="n">
        <v>24.5</v>
      </c>
      <c r="AJ37" s="241" t="s">
        <v>64</v>
      </c>
      <c r="AK37" s="241" t="n">
        <v>24.5</v>
      </c>
      <c r="AL37" s="241" t="s">
        <v>64</v>
      </c>
      <c r="AM37" s="241" t="s">
        <v>64</v>
      </c>
      <c r="AN37" s="241" t="s">
        <v>64</v>
      </c>
      <c r="AO37" s="241" t="s">
        <v>64</v>
      </c>
      <c r="AP37" s="241" t="s">
        <v>64</v>
      </c>
      <c r="AQ37" s="242" t="s">
        <v>64</v>
      </c>
      <c r="AR37" s="87"/>
      <c r="AS37" s="142"/>
      <c r="AT37" s="88"/>
      <c r="AU37" s="88"/>
      <c r="AV37" s="88"/>
      <c r="AW37" s="14"/>
      <c r="AX37" s="113"/>
      <c r="AY37" s="114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27" hidden="false" customHeight="false" outlineLevel="0" collapsed="false">
      <c r="A38" s="243" t="s">
        <v>80</v>
      </c>
      <c r="B38" s="116"/>
      <c r="C38" s="244" t="s">
        <v>81</v>
      </c>
      <c r="D38" s="116"/>
      <c r="E38" s="118" t="n">
        <f aca="false">DDE("REUTER","IDN","WEG")</f>
        <v>31</v>
      </c>
      <c r="F38" s="245"/>
      <c r="G38" s="118" t="n">
        <v>2.1</v>
      </c>
      <c r="H38" s="246"/>
      <c r="I38" s="121" t="n">
        <f aca="false">+G38/E38</f>
        <v>0.067741935483871</v>
      </c>
      <c r="J38" s="121"/>
      <c r="K38" s="122" t="n">
        <f aca="false">(+I38-E$27)*10000</f>
        <v>97.6793548387098</v>
      </c>
      <c r="L38" s="117"/>
      <c r="M38" s="121" t="n">
        <f aca="false">(I38*AA38)+((I38*(1-AA38))*(1-0.3))</f>
        <v>0.0474193548387097</v>
      </c>
      <c r="N38" s="117"/>
      <c r="O38" s="247" t="s">
        <v>55</v>
      </c>
      <c r="P38" s="248"/>
      <c r="Q38" s="247" t="n">
        <f aca="false">(AF38+$E38-AG38)/AG38</f>
        <v>0.0180623973727422</v>
      </c>
      <c r="R38" s="248"/>
      <c r="S38" s="247" t="n">
        <f aca="false">(AH38+$E38-AI38)/AI38</f>
        <v>0.0299003322259136</v>
      </c>
      <c r="T38" s="120"/>
      <c r="U38" s="249" t="e">
        <f aca="false">(AJ38+E38-AK38)/AK38</f>
        <v>#VALUE!</v>
      </c>
      <c r="V38" s="102"/>
      <c r="W38" s="18"/>
      <c r="X38" s="40"/>
      <c r="Y38" s="250" t="s">
        <v>55</v>
      </c>
      <c r="Z38" s="251" t="s">
        <v>55</v>
      </c>
      <c r="AA38" s="252" t="n">
        <v>0</v>
      </c>
      <c r="AB38" s="253"/>
      <c r="AC38" s="165"/>
      <c r="AD38" s="254"/>
      <c r="AE38" s="255"/>
      <c r="AF38" s="256"/>
      <c r="AG38" s="257" t="n">
        <v>30.45</v>
      </c>
      <c r="AH38" s="256"/>
      <c r="AI38" s="257" t="n">
        <v>30.1</v>
      </c>
      <c r="AJ38" s="258" t="s">
        <v>64</v>
      </c>
      <c r="AK38" s="258" t="n">
        <v>21.5</v>
      </c>
      <c r="AL38" s="258" t="s">
        <v>64</v>
      </c>
      <c r="AM38" s="258" t="s">
        <v>64</v>
      </c>
      <c r="AN38" s="258" t="s">
        <v>64</v>
      </c>
      <c r="AO38" s="258" t="s">
        <v>64</v>
      </c>
      <c r="AP38" s="258" t="s">
        <v>64</v>
      </c>
      <c r="AQ38" s="259" t="s">
        <v>64</v>
      </c>
      <c r="AR38" s="87"/>
      <c r="AS38" s="142"/>
      <c r="AT38" s="88"/>
      <c r="AU38" s="88"/>
      <c r="AV38" s="88"/>
      <c r="AW38" s="14"/>
      <c r="AX38" s="113"/>
      <c r="AY38" s="1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8.75" hidden="false" customHeight="true" outlineLevel="0" collapsed="false">
      <c r="A39" s="260" t="s">
        <v>82</v>
      </c>
      <c r="B39" s="11"/>
      <c r="C39" s="35"/>
      <c r="D39" s="11"/>
      <c r="E39" s="127"/>
      <c r="F39" s="128"/>
      <c r="G39" s="127"/>
      <c r="H39" s="140"/>
      <c r="I39" s="67"/>
      <c r="J39" s="67"/>
      <c r="K39" s="134"/>
      <c r="L39" s="23"/>
      <c r="M39" s="67"/>
      <c r="N39" s="23"/>
      <c r="O39" s="33"/>
      <c r="P39" s="130"/>
      <c r="Q39" s="33"/>
      <c r="R39" s="130"/>
      <c r="S39" s="33"/>
      <c r="T39" s="13"/>
      <c r="U39" s="135"/>
      <c r="V39" s="102"/>
      <c r="W39" s="18"/>
      <c r="X39" s="40"/>
      <c r="Y39" s="261"/>
      <c r="Z39" s="261"/>
      <c r="AA39" s="105"/>
      <c r="AB39" s="105"/>
      <c r="AC39" s="11"/>
      <c r="AD39" s="107"/>
      <c r="AE39" s="109"/>
      <c r="AF39" s="109"/>
      <c r="AG39" s="127"/>
      <c r="AH39" s="109"/>
      <c r="AI39" s="127"/>
      <c r="AJ39" s="262"/>
      <c r="AK39" s="262"/>
      <c r="AL39" s="262"/>
      <c r="AM39" s="262"/>
      <c r="AN39" s="262"/>
      <c r="AO39" s="262"/>
      <c r="AP39" s="262"/>
      <c r="AQ39" s="263"/>
      <c r="AR39" s="87"/>
      <c r="AS39" s="142"/>
      <c r="AT39" s="88"/>
      <c r="AU39" s="88"/>
      <c r="AV39" s="88"/>
      <c r="AW39" s="14"/>
      <c r="AX39" s="113"/>
      <c r="AY39" s="1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83</v>
      </c>
      <c r="B40" s="217"/>
      <c r="C40" s="209"/>
      <c r="D40" s="217"/>
      <c r="E40" s="217"/>
      <c r="F40" s="128"/>
      <c r="G40" s="127"/>
      <c r="H40" s="140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27"/>
      <c r="AH40" s="109"/>
      <c r="AI40" s="127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3"/>
      <c r="AY40" s="1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9.5" hidden="false" customHeight="true" outlineLevel="0" collapsed="false">
      <c r="A41" s="210"/>
      <c r="B41" s="210"/>
      <c r="C41" s="210"/>
      <c r="D41" s="210"/>
      <c r="E41" s="210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8"/>
      <c r="T41" s="219"/>
      <c r="U41" s="220"/>
      <c r="V41" s="207"/>
      <c r="W41" s="207"/>
      <c r="X41" s="221"/>
      <c r="Y41" s="221"/>
      <c r="Z41" s="221"/>
      <c r="AA41" s="221"/>
      <c r="AB41" s="221"/>
      <c r="AC41" s="200"/>
      <c r="AD41" s="222"/>
      <c r="AE41" s="213"/>
      <c r="AF41" s="213"/>
      <c r="AG41" s="198" t="s">
        <v>84</v>
      </c>
      <c r="AH41" s="213"/>
      <c r="AI41" s="198" t="s">
        <v>85</v>
      </c>
      <c r="AJ41" s="213"/>
      <c r="AK41" s="213"/>
      <c r="AL41" s="213"/>
      <c r="AM41" s="213"/>
      <c r="AN41" s="213"/>
      <c r="AO41" s="213"/>
      <c r="AP41" s="223"/>
      <c r="AQ41" s="224"/>
      <c r="AR41" s="225"/>
      <c r="AS41" s="225"/>
      <c r="AT41" s="212"/>
      <c r="AU41" s="212"/>
      <c r="AV41" s="213"/>
      <c r="AW41" s="212"/>
      <c r="AX41" s="212"/>
      <c r="AY41" s="212"/>
      <c r="AZ41" s="212"/>
      <c r="BA41" s="212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  <c r="IW41" s="210"/>
    </row>
    <row r="42" customFormat="false" ht="37.5" hidden="false" customHeight="true" outlineLevel="0" collapsed="false">
      <c r="A42" s="264"/>
      <c r="B42" s="265"/>
      <c r="C42" s="266"/>
      <c r="D42" s="265"/>
      <c r="E42" s="267" t="s">
        <v>40</v>
      </c>
      <c r="F42" s="267"/>
      <c r="G42" s="267"/>
      <c r="H42" s="267"/>
      <c r="I42" s="267"/>
      <c r="J42" s="267"/>
      <c r="K42" s="267"/>
      <c r="L42" s="267"/>
      <c r="M42" s="267"/>
      <c r="N42" s="267"/>
      <c r="O42" s="268"/>
      <c r="P42" s="269"/>
      <c r="Q42" s="270" t="s">
        <v>42</v>
      </c>
      <c r="R42" s="270"/>
      <c r="S42" s="270"/>
      <c r="T42" s="270"/>
      <c r="U42" s="270"/>
      <c r="V42" s="270"/>
      <c r="W42" s="270"/>
      <c r="X42" s="271"/>
      <c r="Y42" s="272" t="s">
        <v>86</v>
      </c>
      <c r="Z42" s="40"/>
      <c r="AA42" s="40"/>
      <c r="AB42" s="40"/>
      <c r="AC42" s="11"/>
      <c r="AD42" s="273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74"/>
      <c r="AQ42" s="275"/>
      <c r="AR42" s="276"/>
      <c r="AS42" s="276"/>
      <c r="AT42" s="14"/>
      <c r="AU42" s="14"/>
      <c r="AV42" s="20"/>
      <c r="AW42" s="14"/>
      <c r="AX42" s="14"/>
      <c r="AY42" s="14"/>
      <c r="AZ42" s="14"/>
      <c r="BA42" s="14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77" t="s">
        <v>87</v>
      </c>
      <c r="B43" s="278"/>
      <c r="C43" s="278"/>
      <c r="D43" s="278"/>
      <c r="E43" s="279" t="s">
        <v>88</v>
      </c>
      <c r="F43" s="278"/>
      <c r="G43" s="279" t="s">
        <v>89</v>
      </c>
      <c r="H43" s="280"/>
      <c r="I43" s="279" t="s">
        <v>90</v>
      </c>
      <c r="J43" s="279"/>
      <c r="K43" s="279" t="s">
        <v>91</v>
      </c>
      <c r="L43" s="11"/>
      <c r="M43" s="281"/>
      <c r="N43" s="280"/>
      <c r="O43" s="282"/>
      <c r="P43" s="280"/>
      <c r="Q43" s="283" t="s">
        <v>88</v>
      </c>
      <c r="R43" s="280"/>
      <c r="S43" s="279" t="s">
        <v>89</v>
      </c>
      <c r="T43" s="280"/>
      <c r="U43" s="279" t="s">
        <v>90</v>
      </c>
      <c r="V43" s="18"/>
      <c r="W43" s="284" t="s">
        <v>91</v>
      </c>
      <c r="X43" s="279"/>
      <c r="Y43" s="40"/>
      <c r="Z43" s="40"/>
      <c r="AA43" s="40"/>
      <c r="AB43" s="40"/>
      <c r="AC43" s="11"/>
      <c r="AD43" s="28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86" t="s">
        <v>92</v>
      </c>
      <c r="B44" s="278"/>
      <c r="C44" s="278"/>
      <c r="D44" s="278"/>
      <c r="E44" s="287" t="s">
        <v>93</v>
      </c>
      <c r="F44" s="278"/>
      <c r="G44" s="288" t="n">
        <v>2.62</v>
      </c>
      <c r="H44" s="278"/>
      <c r="I44" s="288" t="n">
        <v>2.67</v>
      </c>
      <c r="J44" s="278"/>
      <c r="K44" s="288" t="n">
        <v>39</v>
      </c>
      <c r="L44" s="11"/>
      <c r="M44" s="281"/>
      <c r="N44" s="278"/>
      <c r="O44" s="288"/>
      <c r="P44" s="278"/>
      <c r="Q44" s="289" t="s">
        <v>94</v>
      </c>
      <c r="R44" s="290"/>
      <c r="S44" s="289"/>
      <c r="T44" s="271"/>
      <c r="U44" s="291"/>
      <c r="V44" s="18"/>
      <c r="W44" s="292"/>
      <c r="X44" s="293"/>
      <c r="Y44" s="40" t="s">
        <v>95</v>
      </c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96</v>
      </c>
      <c r="B45" s="278"/>
      <c r="C45" s="278"/>
      <c r="D45" s="278"/>
      <c r="E45" s="287" t="s">
        <v>93</v>
      </c>
      <c r="F45" s="278"/>
      <c r="G45" s="288" t="n">
        <v>2.65</v>
      </c>
      <c r="H45" s="278"/>
      <c r="I45" s="288" t="n">
        <v>2.75</v>
      </c>
      <c r="J45" s="278"/>
      <c r="K45" s="288" t="n">
        <v>40</v>
      </c>
      <c r="L45" s="11"/>
      <c r="M45" s="281"/>
      <c r="N45" s="278"/>
      <c r="O45" s="288"/>
      <c r="P45" s="278"/>
      <c r="Q45" s="289" t="s">
        <v>97</v>
      </c>
      <c r="R45" s="290"/>
      <c r="S45" s="293"/>
      <c r="T45" s="271"/>
      <c r="U45" s="293"/>
      <c r="V45" s="18"/>
      <c r="W45" s="292"/>
      <c r="X45" s="293"/>
      <c r="Y45" s="40" t="s">
        <v>98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99</v>
      </c>
      <c r="B46" s="278"/>
      <c r="C46" s="278"/>
      <c r="D46" s="278"/>
      <c r="E46" s="287" t="s">
        <v>93</v>
      </c>
      <c r="F46" s="278"/>
      <c r="G46" s="288" t="n">
        <v>2.6</v>
      </c>
      <c r="H46" s="278"/>
      <c r="I46" s="288"/>
      <c r="J46" s="278"/>
      <c r="K46" s="288" t="n">
        <v>34</v>
      </c>
      <c r="L46" s="11"/>
      <c r="M46" s="281"/>
      <c r="N46" s="278"/>
      <c r="O46" s="288"/>
      <c r="P46" s="278"/>
      <c r="Q46" s="289" t="s">
        <v>97</v>
      </c>
      <c r="R46" s="290"/>
      <c r="S46" s="289"/>
      <c r="T46" s="271"/>
      <c r="U46" s="291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93</v>
      </c>
      <c r="F47" s="278"/>
      <c r="G47" s="288" t="n">
        <v>2.7</v>
      </c>
      <c r="H47" s="278"/>
      <c r="I47" s="288" t="n">
        <v>2.8</v>
      </c>
      <c r="J47" s="278"/>
      <c r="K47" s="288" t="n">
        <v>44</v>
      </c>
      <c r="L47" s="11"/>
      <c r="M47" s="281"/>
      <c r="N47" s="278"/>
      <c r="O47" s="288"/>
      <c r="P47" s="278"/>
      <c r="Q47" s="289" t="s">
        <v>102</v>
      </c>
      <c r="R47" s="290"/>
      <c r="S47" s="288" t="n">
        <v>0.6</v>
      </c>
      <c r="T47" s="278"/>
      <c r="U47" s="288" t="n">
        <v>0.65</v>
      </c>
      <c r="V47" s="18"/>
      <c r="W47" s="294" t="n">
        <v>20</v>
      </c>
      <c r="X47" s="288"/>
      <c r="Y47" s="40" t="s">
        <v>103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20"/>
      <c r="AU47" s="20"/>
      <c r="AV47" s="20"/>
      <c r="AW47" s="20"/>
      <c r="AX47" s="20"/>
      <c r="AY47" s="20"/>
      <c r="AZ47" s="20"/>
      <c r="BA47" s="20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104</v>
      </c>
      <c r="B48" s="278"/>
      <c r="C48" s="278"/>
      <c r="D48" s="278"/>
      <c r="E48" s="287" t="s">
        <v>105</v>
      </c>
      <c r="F48" s="278"/>
      <c r="G48" s="288" t="n">
        <v>2.56</v>
      </c>
      <c r="H48" s="278"/>
      <c r="I48" s="288" t="n">
        <v>2.68</v>
      </c>
      <c r="J48" s="278"/>
      <c r="K48" s="288" t="n">
        <v>43</v>
      </c>
      <c r="L48" s="11"/>
      <c r="M48" s="281"/>
      <c r="N48" s="278"/>
      <c r="O48" s="288"/>
      <c r="P48" s="278"/>
      <c r="Q48" s="289"/>
      <c r="R48" s="290"/>
      <c r="S48" s="288"/>
      <c r="T48" s="278"/>
      <c r="U48" s="288"/>
      <c r="V48" s="18"/>
      <c r="W48" s="294"/>
      <c r="X48" s="288"/>
      <c r="Y48" s="40"/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2.6</v>
      </c>
      <c r="H49" s="278"/>
      <c r="I49" s="288"/>
      <c r="J49" s="278"/>
      <c r="K49" s="288" t="n">
        <v>38</v>
      </c>
      <c r="L49" s="11"/>
      <c r="M49" s="281"/>
      <c r="N49" s="278"/>
      <c r="O49" s="288"/>
      <c r="P49" s="278"/>
      <c r="Q49" s="289" t="s">
        <v>97</v>
      </c>
      <c r="R49" s="290"/>
      <c r="S49" s="293"/>
      <c r="T49" s="271"/>
      <c r="U49" s="293"/>
      <c r="V49" s="18"/>
      <c r="W49" s="292"/>
      <c r="X49" s="293"/>
      <c r="Y49" s="40" t="s">
        <v>108</v>
      </c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109</v>
      </c>
      <c r="B50" s="278"/>
      <c r="C50" s="278"/>
      <c r="D50" s="278"/>
      <c r="E50" s="287"/>
      <c r="F50" s="278"/>
      <c r="G50" s="288"/>
      <c r="H50" s="278"/>
      <c r="I50" s="288"/>
      <c r="J50" s="278"/>
      <c r="K50" s="288"/>
      <c r="L50" s="11"/>
      <c r="M50" s="281"/>
      <c r="N50" s="278"/>
      <c r="O50" s="288"/>
      <c r="P50" s="278"/>
      <c r="Q50" s="289" t="s">
        <v>93</v>
      </c>
      <c r="R50" s="290"/>
      <c r="S50" s="295"/>
      <c r="T50" s="296"/>
      <c r="U50" s="295"/>
      <c r="V50" s="18"/>
      <c r="W50" s="297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 t="s">
        <v>93</v>
      </c>
      <c r="F51" s="278"/>
      <c r="G51" s="288" t="n">
        <v>2.57</v>
      </c>
      <c r="H51" s="278"/>
      <c r="I51" s="288" t="n">
        <v>2.68</v>
      </c>
      <c r="J51" s="278"/>
      <c r="K51" s="288" t="n">
        <v>38</v>
      </c>
      <c r="L51" s="11"/>
      <c r="M51" s="281"/>
      <c r="N51" s="278"/>
      <c r="O51" s="288"/>
      <c r="P51" s="278"/>
      <c r="Q51" s="289" t="s">
        <v>112</v>
      </c>
      <c r="R51" s="290"/>
      <c r="S51" s="295" t="n">
        <v>0.59</v>
      </c>
      <c r="T51" s="296"/>
      <c r="U51" s="288" t="n">
        <v>0.65</v>
      </c>
      <c r="V51" s="18"/>
      <c r="W51" s="297" t="n">
        <v>16</v>
      </c>
      <c r="X51" s="293"/>
      <c r="Y51" s="40" t="s">
        <v>113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114</v>
      </c>
      <c r="B52" s="278"/>
      <c r="C52" s="278"/>
      <c r="D52" s="278"/>
      <c r="E52" s="287" t="s">
        <v>115</v>
      </c>
      <c r="F52" s="278"/>
      <c r="G52" s="288" t="n">
        <v>2.6</v>
      </c>
      <c r="H52" s="278"/>
      <c r="I52" s="288" t="n">
        <v>2.76</v>
      </c>
      <c r="J52" s="278"/>
      <c r="K52" s="288" t="n">
        <v>43.48</v>
      </c>
      <c r="L52" s="11"/>
      <c r="M52" s="281"/>
      <c r="N52" s="278"/>
      <c r="O52" s="288"/>
      <c r="P52" s="278"/>
      <c r="Q52" s="289" t="s">
        <v>116</v>
      </c>
      <c r="R52" s="290"/>
      <c r="S52" s="288" t="n">
        <v>0.6</v>
      </c>
      <c r="T52" s="278"/>
      <c r="U52" s="288" t="n">
        <v>0.65</v>
      </c>
      <c r="V52" s="18"/>
      <c r="W52" s="294"/>
      <c r="X52" s="288"/>
      <c r="Y52" s="40" t="s">
        <v>117</v>
      </c>
      <c r="Z52" s="40"/>
      <c r="AA52" s="40"/>
      <c r="AB52" s="40"/>
      <c r="AC52" s="22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118</v>
      </c>
      <c r="B53" s="278"/>
      <c r="C53" s="278"/>
      <c r="D53" s="278"/>
      <c r="E53" s="287" t="s">
        <v>119</v>
      </c>
      <c r="F53" s="278"/>
      <c r="G53" s="288" t="n">
        <v>2.6</v>
      </c>
      <c r="H53" s="278"/>
      <c r="I53" s="288" t="n">
        <v>2.65</v>
      </c>
      <c r="J53" s="278"/>
      <c r="K53" s="288" t="n">
        <v>33</v>
      </c>
      <c r="L53" s="11"/>
      <c r="M53" s="281"/>
      <c r="N53" s="278"/>
      <c r="O53" s="288"/>
      <c r="P53" s="278"/>
      <c r="Q53" s="289" t="s">
        <v>97</v>
      </c>
      <c r="R53" s="290"/>
      <c r="S53" s="293"/>
      <c r="T53" s="271"/>
      <c r="U53" s="293"/>
      <c r="V53" s="18"/>
      <c r="W53" s="292"/>
      <c r="X53" s="293"/>
      <c r="Y53" s="40" t="s">
        <v>120</v>
      </c>
      <c r="Z53" s="40"/>
      <c r="AA53" s="40"/>
      <c r="AB53" s="40"/>
      <c r="AC53" s="11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8" t="s">
        <v>121</v>
      </c>
      <c r="B54" s="278"/>
      <c r="C54" s="278"/>
      <c r="D54" s="278"/>
      <c r="E54" s="287" t="s">
        <v>93</v>
      </c>
      <c r="F54" s="278"/>
      <c r="G54" s="288" t="n">
        <v>2.55</v>
      </c>
      <c r="H54" s="278"/>
      <c r="I54" s="288" t="n">
        <v>2.7</v>
      </c>
      <c r="J54" s="278"/>
      <c r="K54" s="288" t="n">
        <v>45</v>
      </c>
      <c r="L54" s="11"/>
      <c r="M54" s="281"/>
      <c r="N54" s="278"/>
      <c r="O54" s="288"/>
      <c r="P54" s="278"/>
      <c r="Q54" s="289" t="s">
        <v>119</v>
      </c>
      <c r="R54" s="290"/>
      <c r="S54" s="288" t="n">
        <v>0.6</v>
      </c>
      <c r="T54" s="278"/>
      <c r="U54" s="288" t="n">
        <v>0.65</v>
      </c>
      <c r="V54" s="18"/>
      <c r="W54" s="294" t="n">
        <v>17</v>
      </c>
      <c r="X54" s="293"/>
      <c r="Y54" s="40"/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122</v>
      </c>
      <c r="B55" s="278"/>
      <c r="C55" s="278"/>
      <c r="D55" s="278"/>
      <c r="E55" s="287" t="s">
        <v>93</v>
      </c>
      <c r="F55" s="278"/>
      <c r="G55" s="288" t="n">
        <v>2.6</v>
      </c>
      <c r="H55" s="278"/>
      <c r="I55" s="288" t="n">
        <v>2.7</v>
      </c>
      <c r="J55" s="278"/>
      <c r="K55" s="288" t="n">
        <v>43</v>
      </c>
      <c r="L55" s="11"/>
      <c r="M55" s="281"/>
      <c r="N55" s="278"/>
      <c r="O55" s="288"/>
      <c r="P55" s="278"/>
      <c r="Q55" s="289" t="s">
        <v>93</v>
      </c>
      <c r="R55" s="290"/>
      <c r="S55" s="288" t="n">
        <v>0.6</v>
      </c>
      <c r="T55" s="278"/>
      <c r="U55" s="288"/>
      <c r="V55" s="18"/>
      <c r="W55" s="294" t="n">
        <v>19</v>
      </c>
      <c r="X55" s="288"/>
      <c r="Y55" s="40" t="s">
        <v>123</v>
      </c>
      <c r="Z55" s="40"/>
      <c r="AA55" s="40"/>
      <c r="AB55" s="40"/>
      <c r="AC55" s="22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/>
      <c r="B56" s="278"/>
      <c r="C56" s="278"/>
      <c r="D56" s="278"/>
      <c r="E56" s="14"/>
      <c r="F56" s="278"/>
      <c r="G56" s="288"/>
      <c r="H56" s="278"/>
      <c r="I56" s="288"/>
      <c r="J56" s="278"/>
      <c r="K56" s="288"/>
      <c r="L56" s="14"/>
      <c r="M56" s="14"/>
      <c r="N56" s="278"/>
      <c r="O56" s="288"/>
      <c r="P56" s="278"/>
      <c r="Q56" s="14"/>
      <c r="R56" s="290"/>
      <c r="S56" s="287"/>
      <c r="T56" s="278"/>
      <c r="U56" s="14"/>
      <c r="V56" s="14"/>
      <c r="W56" s="299"/>
      <c r="X56" s="278"/>
      <c r="Y56" s="40"/>
      <c r="Z56" s="40"/>
      <c r="AA56" s="40"/>
      <c r="AB56" s="40"/>
      <c r="AC56" s="20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6.1" hidden="false" customHeight="true" outlineLevel="0" collapsed="false">
      <c r="A57" s="298" t="s">
        <v>16</v>
      </c>
      <c r="B57" s="14"/>
      <c r="C57" s="23"/>
      <c r="D57" s="14"/>
      <c r="E57" s="14"/>
      <c r="F57" s="14"/>
      <c r="G57" s="300" t="n">
        <f aca="false">AVERAGEA(G44:G55)</f>
        <v>2.60454545454545</v>
      </c>
      <c r="H57" s="13"/>
      <c r="I57" s="300" t="n">
        <f aca="false">AVERAGEA(I44:I55)</f>
        <v>2.71</v>
      </c>
      <c r="J57" s="15"/>
      <c r="K57" s="300" t="n">
        <f aca="false">AVERAGEA(K44:K55)</f>
        <v>40.0436363636364</v>
      </c>
      <c r="L57" s="14"/>
      <c r="M57" s="14"/>
      <c r="N57" s="13"/>
      <c r="O57" s="14"/>
      <c r="P57" s="13"/>
      <c r="Q57" s="14"/>
      <c r="R57" s="290"/>
      <c r="S57" s="300" t="n">
        <f aca="false">AVERAGEA(S44:S55)</f>
        <v>0.598</v>
      </c>
      <c r="T57" s="37"/>
      <c r="U57" s="300" t="n">
        <f aca="false">AVERAGEA(U44:U55)</f>
        <v>0.65</v>
      </c>
      <c r="V57" s="14"/>
      <c r="W57" s="301" t="n">
        <f aca="false">AVERAGEA(W44:W55)</f>
        <v>18</v>
      </c>
      <c r="X57" s="302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4" hidden="false" customHeight="false" outlineLevel="0" collapsed="false">
      <c r="A58" s="298"/>
      <c r="B58" s="14"/>
      <c r="C58" s="23"/>
      <c r="D58" s="14"/>
      <c r="E58" s="14"/>
      <c r="F58" s="14"/>
      <c r="G58" s="13"/>
      <c r="H58" s="13"/>
      <c r="I58" s="302"/>
      <c r="J58" s="15"/>
      <c r="K58" s="14"/>
      <c r="L58" s="14"/>
      <c r="M58" s="36"/>
      <c r="N58" s="13"/>
      <c r="O58" s="15"/>
      <c r="P58" s="13"/>
      <c r="Q58" s="37"/>
      <c r="R58" s="290"/>
      <c r="S58" s="14"/>
      <c r="T58" s="37"/>
      <c r="U58" s="14"/>
      <c r="V58" s="302"/>
      <c r="W58" s="303"/>
      <c r="X58" s="40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3.25" hidden="false" customHeight="false" outlineLevel="0" collapsed="false">
      <c r="A59" s="304" t="s">
        <v>124</v>
      </c>
      <c r="B59" s="14"/>
      <c r="C59" s="23"/>
      <c r="D59" s="14"/>
      <c r="E59" s="14"/>
      <c r="F59" s="14"/>
      <c r="G59" s="13"/>
      <c r="H59" s="13"/>
      <c r="I59" s="15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7"/>
      <c r="W59" s="303"/>
      <c r="X59" s="40"/>
      <c r="Y59" s="40"/>
      <c r="Z59" s="40"/>
      <c r="AA59" s="40"/>
      <c r="AB59" s="40"/>
      <c r="AC59" s="20"/>
      <c r="AD59" s="22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2"/>
      <c r="AQ59" s="22"/>
      <c r="AR59" s="305"/>
      <c r="AS59" s="22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125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6"/>
      <c r="B61" s="165"/>
      <c r="C61" s="307"/>
      <c r="D61" s="165"/>
      <c r="E61" s="165"/>
      <c r="F61" s="165"/>
      <c r="G61" s="308"/>
      <c r="H61" s="308"/>
      <c r="I61" s="309"/>
      <c r="J61" s="309"/>
      <c r="K61" s="165"/>
      <c r="L61" s="165"/>
      <c r="M61" s="310"/>
      <c r="N61" s="308"/>
      <c r="O61" s="309"/>
      <c r="P61" s="308"/>
      <c r="Q61" s="311"/>
      <c r="R61" s="312"/>
      <c r="S61" s="165"/>
      <c r="T61" s="311"/>
      <c r="U61" s="165"/>
      <c r="V61" s="311"/>
      <c r="W61" s="31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195"/>
      <c r="B62" s="195"/>
      <c r="C62" s="314"/>
      <c r="D62" s="195"/>
      <c r="E62" s="195"/>
      <c r="F62" s="195"/>
      <c r="G62" s="188"/>
      <c r="H62" s="315"/>
      <c r="I62" s="316"/>
      <c r="J62" s="316"/>
      <c r="K62" s="190"/>
      <c r="L62" s="315"/>
      <c r="M62" s="316"/>
      <c r="N62" s="315"/>
      <c r="O62" s="191"/>
      <c r="P62" s="191"/>
      <c r="Q62" s="191"/>
      <c r="R62" s="191"/>
      <c r="S62" s="191"/>
      <c r="T62" s="315"/>
      <c r="U62" s="195"/>
      <c r="AC62" s="195"/>
      <c r="AF62" s="127"/>
      <c r="AR62" s="31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  <c r="FZ62" s="195"/>
      <c r="GA62" s="195"/>
      <c r="GB62" s="195"/>
      <c r="GC62" s="195"/>
      <c r="GD62" s="195"/>
      <c r="GE62" s="195"/>
      <c r="GF62" s="195"/>
      <c r="GG62" s="195"/>
      <c r="GH62" s="195"/>
      <c r="GI62" s="195"/>
      <c r="GJ62" s="195"/>
      <c r="GK62" s="195"/>
      <c r="GL62" s="195"/>
      <c r="GM62" s="195"/>
      <c r="GN62" s="195"/>
      <c r="GO62" s="195"/>
      <c r="GP62" s="195"/>
      <c r="GQ62" s="195"/>
      <c r="GR62" s="195"/>
      <c r="GS62" s="195"/>
      <c r="GT62" s="195"/>
      <c r="GU62" s="195"/>
      <c r="GV62" s="195"/>
      <c r="GW62" s="195"/>
      <c r="GX62" s="195"/>
      <c r="GY62" s="195"/>
      <c r="GZ62" s="195"/>
      <c r="HA62" s="195"/>
      <c r="HB62" s="195"/>
      <c r="HC62" s="195"/>
      <c r="HD62" s="195"/>
      <c r="HE62" s="195"/>
      <c r="HF62" s="195"/>
      <c r="HG62" s="195"/>
      <c r="HH62" s="195"/>
      <c r="HI62" s="195"/>
      <c r="HJ62" s="195"/>
      <c r="HK62" s="195"/>
      <c r="HL62" s="195"/>
      <c r="HM62" s="195"/>
      <c r="HN62" s="195"/>
      <c r="HO62" s="195"/>
      <c r="HP62" s="195"/>
      <c r="HQ62" s="195"/>
      <c r="HR62" s="195"/>
      <c r="HS62" s="195"/>
      <c r="HT62" s="195"/>
      <c r="HU62" s="195"/>
      <c r="HV62" s="195"/>
      <c r="HW62" s="195"/>
      <c r="HX62" s="195"/>
      <c r="HY62" s="195"/>
      <c r="HZ62" s="195"/>
      <c r="IA62" s="195"/>
      <c r="IB62" s="195"/>
      <c r="IC62" s="195"/>
      <c r="ID62" s="195"/>
      <c r="IE62" s="195"/>
      <c r="IF62" s="195"/>
      <c r="IG62" s="195"/>
      <c r="IH62" s="195"/>
      <c r="II62" s="195"/>
      <c r="IJ62" s="195"/>
      <c r="IK62" s="195"/>
      <c r="IL62" s="195"/>
      <c r="IM62" s="195"/>
      <c r="IN62" s="195"/>
      <c r="IO62" s="195"/>
      <c r="IP62" s="195"/>
      <c r="IQ62" s="195"/>
      <c r="IR62" s="195"/>
      <c r="IS62" s="195"/>
      <c r="IT62" s="195"/>
      <c r="IU62" s="195"/>
      <c r="IV62" s="195"/>
      <c r="IW62" s="195"/>
    </row>
    <row r="63" customFormat="false" ht="23.25" hidden="false" customHeight="false" outlineLevel="0" collapsed="false">
      <c r="A63" s="195"/>
      <c r="B63" s="195"/>
      <c r="C63" s="314"/>
      <c r="D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27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195"/>
      <c r="I64" s="316"/>
      <c r="J64" s="316"/>
      <c r="K64" s="317"/>
      <c r="L64" s="195"/>
      <c r="M64" s="316"/>
      <c r="N64" s="195"/>
      <c r="O64" s="318"/>
      <c r="P64" s="318"/>
      <c r="Q64" s="318"/>
      <c r="R64" s="318"/>
      <c r="S64" s="318"/>
      <c r="T64" s="195"/>
      <c r="U64" s="195"/>
      <c r="V64" s="319"/>
      <c r="W64" s="319"/>
      <c r="X64" s="319"/>
      <c r="Y64" s="319"/>
      <c r="Z64" s="319"/>
      <c r="AA64" s="319"/>
      <c r="AB64" s="319"/>
      <c r="AC64" s="195"/>
      <c r="AF64" s="127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7"/>
      <c r="Q65" s="7"/>
      <c r="S65" s="7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27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O66" s="320"/>
      <c r="P66" s="321"/>
      <c r="Q66" s="320"/>
      <c r="R66" s="321"/>
      <c r="S66" s="320"/>
      <c r="V66" s="319"/>
      <c r="W66" s="319"/>
      <c r="X66" s="319"/>
      <c r="Y66" s="319"/>
      <c r="Z66" s="319"/>
      <c r="AA66" s="319"/>
      <c r="AB66" s="319"/>
      <c r="AE66" s="322"/>
      <c r="AF66" s="127"/>
      <c r="AG66" s="322"/>
      <c r="AH66" s="322"/>
      <c r="AI66" s="322"/>
      <c r="AJ66" s="322"/>
      <c r="AK66" s="322"/>
      <c r="AL66" s="322"/>
      <c r="AM66" s="322"/>
      <c r="AN66" s="322"/>
      <c r="AO66" s="322"/>
      <c r="AR66" s="177"/>
      <c r="AT66" s="195"/>
      <c r="AU66" s="195"/>
      <c r="AV66" s="195"/>
      <c r="AX66" s="195"/>
      <c r="AY66" s="195"/>
      <c r="AZ66" s="195"/>
      <c r="BC66" s="323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27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27"/>
      <c r="AG68" s="322"/>
      <c r="AH68" s="322"/>
      <c r="AI68" s="322"/>
      <c r="AJ68" s="322"/>
      <c r="AK68" s="322"/>
      <c r="AL68" s="322"/>
      <c r="AM68" s="322"/>
      <c r="AN68" s="322"/>
      <c r="AO68" s="322"/>
      <c r="AR68" s="185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27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27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27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27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27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18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</sheetData>
  <mergeCells count="6">
    <mergeCell ref="Q5:U5"/>
    <mergeCell ref="AA5:AB5"/>
    <mergeCell ref="AF5:AG5"/>
    <mergeCell ref="AH5:AI5"/>
    <mergeCell ref="E42:K42"/>
    <mergeCell ref="Q42:W42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2001-04-20T18:02:20Z</cp:lastPrinted>
  <dcterms:modified xsi:type="dcterms:W3CDTF">2001-04-20T18:17:06Z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