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9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001" sheetId="1" state="visible" r:id="rId3"/>
    <sheet name="1101" sheetId="2" state="visible" r:id="rId4"/>
    <sheet name="1201" sheetId="3" state="visible" r:id="rId5"/>
    <sheet name="0102" sheetId="4" state="visible" r:id="rId6"/>
    <sheet name="0202" sheetId="5" state="visible" r:id="rId7"/>
    <sheet name="0302" sheetId="6" state="visible" r:id="rId8"/>
    <sheet name="0402" sheetId="7" state="visible" r:id="rId9"/>
    <sheet name="0502" sheetId="8" state="visible" r:id="rId10"/>
    <sheet name="Summary" sheetId="9" state="visible" r:id="rId11"/>
  </sheets>
  <definedNames>
    <definedName function="false" hidden="false" localSheetId="3" name="_xlnm.Print_Area" vbProcedure="false">'0102'!$A$1:$K$30</definedName>
    <definedName function="false" hidden="false" localSheetId="4" name="_xlnm.Print_Area" vbProcedure="false">'0202'!$A$1:$K$53</definedName>
    <definedName function="false" hidden="false" localSheetId="0" name="_xlnm.Print_Area" vbProcedure="false">'1001'!$A$1:$J$28</definedName>
    <definedName function="false" hidden="false" localSheetId="8" name="_xlnm.Print_Area" vbProcedure="false">Summary!$A$1:$G$63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<sst xmlns="http://schemas.openxmlformats.org/spreadsheetml/2006/main" count="578" uniqueCount="160">
  <si>
    <t xml:space="preserve">Mill Run / Somerset Project Operational Report For October 2001</t>
  </si>
  <si>
    <t xml:space="preserve">Executive Summary</t>
  </si>
  <si>
    <t xml:space="preserve">This interim report was generated to comply with the contractual monthly reporting requirement from the Windsystem, Operations, &amp; Maintenance Agreement.</t>
  </si>
  <si>
    <t xml:space="preserve">The description of outages, safety near miss events, accidents, infrastructure work, and maintenance records are not included in this interim report. </t>
  </si>
  <si>
    <t xml:space="preserve">All other required components are provided below.</t>
  </si>
  <si>
    <t xml:space="preserve">Turbine Performance </t>
  </si>
  <si>
    <t xml:space="preserve">Operational Parameters</t>
  </si>
  <si>
    <t xml:space="preserve">Site</t>
  </si>
  <si>
    <t xml:space="preserve">Row</t>
  </si>
  <si>
    <t xml:space="preserve">Pad</t>
  </si>
  <si>
    <t xml:space="preserve">ReportingMonth</t>
  </si>
  <si>
    <t xml:space="preserve">kWhGenerated</t>
  </si>
  <si>
    <t xml:space="preserve">kWhConsumed</t>
  </si>
  <si>
    <t xml:space="preserve">Net kWh Production</t>
  </si>
  <si>
    <t xml:space="preserve">Capacity Factor</t>
  </si>
  <si>
    <r>
      <rPr>
        <b val="true"/>
        <sz val="10"/>
        <rFont val="Arial"/>
        <family val="2"/>
      </rPr>
      <t xml:space="preserve">Availability</t>
    </r>
    <r>
      <rPr>
        <b val="true"/>
        <vertAlign val="superscript"/>
        <sz val="10"/>
        <rFont val="Arial"/>
        <family val="2"/>
      </rPr>
      <t xml:space="preserve">1</t>
    </r>
  </si>
  <si>
    <t xml:space="preserve">Operating Hrs</t>
  </si>
  <si>
    <t xml:space="preserve">Mill Run</t>
  </si>
  <si>
    <t xml:space="preserve">Project, before line loss</t>
  </si>
  <si>
    <t xml:space="preserve">Month</t>
  </si>
  <si>
    <r>
      <rPr>
        <sz val="10"/>
        <rFont val="Arial"/>
        <family val="0"/>
      </rPr>
      <t xml:space="preserve">Assumed Line Loss</t>
    </r>
    <r>
      <rPr>
        <vertAlign val="superscript"/>
        <sz val="10"/>
        <rFont val="Arial"/>
        <family val="2"/>
      </rPr>
      <t xml:space="preserve">2</t>
    </r>
  </si>
  <si>
    <t xml:space="preserve">Not applicable</t>
  </si>
  <si>
    <t xml:space="preserve">Project, after line loss</t>
  </si>
  <si>
    <t xml:space="preserve">Year To Date</t>
  </si>
  <si>
    <t xml:space="preserve">Notes: </t>
  </si>
  <si>
    <t xml:space="preserve">1)  Current month availability is based on reads at turbine controller.</t>
  </si>
  <si>
    <t xml:space="preserve">2)  The line loss is assumed to be 2% until sufficient data is collected to statistically determine the actual line loss.</t>
  </si>
  <si>
    <t xml:space="preserve">Power Outages</t>
  </si>
  <si>
    <t xml:space="preserve">No of WTGs Affected</t>
  </si>
  <si>
    <t xml:space="preserve">Time Off</t>
  </si>
  <si>
    <t xml:space="preserve">Time On</t>
  </si>
  <si>
    <t xml:space="preserve">Cause Of Relay Trip or Major Grid Fluctuation</t>
  </si>
  <si>
    <t xml:space="preserve">WTG hrs Lost</t>
  </si>
  <si>
    <t xml:space="preserve">Grid Availability Loss</t>
  </si>
  <si>
    <t xml:space="preserve">No outages reported.</t>
  </si>
  <si>
    <t xml:space="preserve">Days in Month</t>
  </si>
  <si>
    <t xml:space="preserve">Project Total</t>
  </si>
  <si>
    <t xml:space="preserve">Grid Availability</t>
  </si>
  <si>
    <t xml:space="preserve">Mill Run / Somerset Project Operational Report For November 2001</t>
  </si>
  <si>
    <t xml:space="preserve">Elapsed Hrs</t>
  </si>
  <si>
    <t xml:space="preserve">Overvoltage trip.</t>
  </si>
  <si>
    <t xml:space="preserve">Owner trip.</t>
  </si>
  <si>
    <t xml:space="preserve">Mill Run Project Operational Report For December 2001</t>
  </si>
  <si>
    <t xml:space="preserve">Undervoltage trip due to DVAR.</t>
  </si>
  <si>
    <t xml:space="preserve">Overvoltage trip and utility scheduled line maintenance.</t>
  </si>
  <si>
    <t xml:space="preserve">Overvoltage trip due to DVAR.</t>
  </si>
  <si>
    <t xml:space="preserve">Overcurrent trip.</t>
  </si>
  <si>
    <t xml:space="preserve">Mill Run Project Operational Report For January 2002</t>
  </si>
  <si>
    <t xml:space="preserve">Net</t>
  </si>
  <si>
    <t xml:space="preserve">Net </t>
  </si>
  <si>
    <t xml:space="preserve">Clock </t>
  </si>
  <si>
    <t xml:space="preserve">Robust</t>
  </si>
  <si>
    <t xml:space="preserve">Enron </t>
  </si>
  <si>
    <t xml:space="preserve">Reporting    Month</t>
  </si>
  <si>
    <t xml:space="preserve">Availability w/ constant MH</t>
  </si>
  <si>
    <t xml:space="preserve">Availability w/o MH</t>
  </si>
  <si>
    <t xml:space="preserve">StartDate</t>
  </si>
  <si>
    <t xml:space="preserve">StartProd</t>
  </si>
  <si>
    <t xml:space="preserve">StartCon</t>
  </si>
  <si>
    <t xml:space="preserve">StartOTT</t>
  </si>
  <si>
    <t xml:space="preserve">StartSOTT</t>
  </si>
  <si>
    <t xml:space="preserve">StartDTT</t>
  </si>
  <si>
    <t xml:space="preserve">StartLOTT</t>
  </si>
  <si>
    <t xml:space="preserve">StartWOTT</t>
  </si>
  <si>
    <t xml:space="preserve">StartESTT</t>
  </si>
  <si>
    <t xml:space="preserve">StartMTT</t>
  </si>
  <si>
    <t xml:space="preserve">StartRTT</t>
  </si>
  <si>
    <t xml:space="preserve">StopDate</t>
  </si>
  <si>
    <t xml:space="preserve">StopProd</t>
  </si>
  <si>
    <t xml:space="preserve">StopCon</t>
  </si>
  <si>
    <t xml:space="preserve">StopOTT</t>
  </si>
  <si>
    <t xml:space="preserve">StopSOTT</t>
  </si>
  <si>
    <t xml:space="preserve">StopDTT</t>
  </si>
  <si>
    <t xml:space="preserve">StopLOTT</t>
  </si>
  <si>
    <t xml:space="preserve">StopWOTT</t>
  </si>
  <si>
    <t xml:space="preserve">StopESTT</t>
  </si>
  <si>
    <t xml:space="preserve">StopMTT</t>
  </si>
  <si>
    <t xml:space="preserve">Survey</t>
  </si>
  <si>
    <t xml:space="preserve">St</t>
  </si>
  <si>
    <t xml:space="preserve">DTT</t>
  </si>
  <si>
    <t xml:space="preserve">RTT</t>
  </si>
  <si>
    <t xml:space="preserve">MT</t>
  </si>
  <si>
    <t xml:space="preserve">LOT</t>
  </si>
  <si>
    <t xml:space="preserve">Coverage</t>
  </si>
  <si>
    <t xml:space="preserve">Avail</t>
  </si>
  <si>
    <t xml:space="preserve">DownTime %</t>
  </si>
  <si>
    <t xml:space="preserve">RepairTime %</t>
  </si>
  <si>
    <t xml:space="preserve">MaintTime %</t>
  </si>
  <si>
    <t xml:space="preserve">Avail w/o mh</t>
  </si>
  <si>
    <r>
      <rPr>
        <sz val="10"/>
        <rFont val="Arial"/>
        <family val="0"/>
      </rPr>
      <t xml:space="preserve">7 </t>
    </r>
    <r>
      <rPr>
        <vertAlign val="superscript"/>
        <sz val="10"/>
        <rFont val="Arial"/>
        <family val="2"/>
      </rPr>
      <t xml:space="preserve">3</t>
    </r>
  </si>
  <si>
    <t xml:space="preserve">Turbine 7 had (31-18) days of offline time added in to correct availability.</t>
  </si>
  <si>
    <t xml:space="preserve">1)  Current month availability is based on values in Monthly file (labeled Monyymm where yy is year and mm is month) instead of SCADA screens.</t>
  </si>
  <si>
    <t xml:space="preserve">3)  Turbine 7 was offline from 1/18/02 to 2/1/02 but not set to repair time.  Repair time in availability computation above was increased to correct for offline. </t>
  </si>
  <si>
    <t xml:space="preserve">Hours Where WTG w/No kW in Good Winds</t>
  </si>
  <si>
    <t xml:space="preserve">Mill Run Project Operational Report For February 2002</t>
  </si>
  <si>
    <t xml:space="preserve">The description of safety near miss events, accidents, infrastructure work, and maintenance records are not included in this interim report. </t>
  </si>
  <si>
    <t xml:space="preserve">All other required components are provided below.  The Visupro data recovery was good at all turbines.</t>
  </si>
  <si>
    <t xml:space="preserve">AvailNumer</t>
  </si>
  <si>
    <t xml:space="preserve">Availdenom</t>
  </si>
  <si>
    <r>
      <rPr>
        <sz val="10"/>
        <rFont val="Arial"/>
        <family val="0"/>
      </rPr>
      <t xml:space="preserve">8 </t>
    </r>
    <r>
      <rPr>
        <vertAlign val="superscript"/>
        <sz val="10"/>
        <rFont val="Arial"/>
        <family val="2"/>
      </rPr>
      <t xml:space="preserve">3</t>
    </r>
  </si>
  <si>
    <t xml:space="preserve">Approximately 16 hours of data was not stored in SCADA due to grid outages given in the lower table.  Line outages do not penalize contractual availability.  </t>
  </si>
  <si>
    <t xml:space="preserve">3)  Turbine 8 was corrected for multiple meter resets in mid month.   Data recovery was still high.</t>
  </si>
  <si>
    <t xml:space="preserve">Hours of Avail Loss from Virtual Mode</t>
  </si>
  <si>
    <t xml:space="preserve">Mill Run/Somerset</t>
  </si>
  <si>
    <t xml:space="preserve">Line Outages</t>
  </si>
  <si>
    <r>
      <rPr>
        <sz val="10"/>
        <rFont val="Times New Roman"/>
        <family val="1"/>
      </rPr>
      <t xml:space="preserve">Chargeable to: </t>
    </r>
    <r>
      <rPr>
        <b val="true"/>
        <sz val="10"/>
        <rFont val="Times New Roman"/>
        <family val="1"/>
      </rPr>
      <t xml:space="preserve">A</t>
    </r>
    <r>
      <rPr>
        <sz val="10"/>
        <rFont val="Times New Roman"/>
        <family val="1"/>
      </rPr>
      <t xml:space="preserve">=AEP, </t>
    </r>
    <r>
      <rPr>
        <b val="true"/>
        <sz val="10"/>
        <rFont val="Times New Roman"/>
        <family val="1"/>
      </rPr>
      <t xml:space="preserve">N</t>
    </r>
    <r>
      <rPr>
        <sz val="10"/>
        <rFont val="Times New Roman"/>
        <family val="1"/>
      </rPr>
      <t xml:space="preserve">=Force Majeure, </t>
    </r>
    <r>
      <rPr>
        <b val="true"/>
        <sz val="10"/>
        <rFont val="Times New Roman"/>
        <family val="1"/>
      </rPr>
      <t xml:space="preserve">E</t>
    </r>
    <r>
      <rPr>
        <sz val="10"/>
        <rFont val="Times New Roman"/>
        <family val="1"/>
      </rPr>
      <t xml:space="preserve">=Enron, </t>
    </r>
    <r>
      <rPr>
        <b val="true"/>
        <sz val="10"/>
        <rFont val="Times New Roman"/>
        <family val="1"/>
      </rPr>
      <t xml:space="preserve">T</t>
    </r>
    <r>
      <rPr>
        <sz val="10"/>
        <rFont val="Times New Roman"/>
        <family val="1"/>
      </rPr>
      <t xml:space="preserve">= TXU</t>
    </r>
  </si>
  <si>
    <t xml:space="preserve">Month:</t>
  </si>
  <si>
    <r>
      <rPr>
        <sz val="10"/>
        <rFont val="Times New Roman"/>
        <family val="1"/>
      </rPr>
      <t xml:space="preserve">Reason: </t>
    </r>
    <r>
      <rPr>
        <b val="true"/>
        <sz val="10"/>
        <rFont val="Times New Roman"/>
        <family val="1"/>
      </rPr>
      <t xml:space="preserve">U</t>
    </r>
    <r>
      <rPr>
        <sz val="10"/>
        <rFont val="Times New Roman"/>
        <family val="1"/>
      </rPr>
      <t xml:space="preserve">=unscheduled outage, </t>
    </r>
    <r>
      <rPr>
        <b val="true"/>
        <sz val="10"/>
        <rFont val="Times New Roman"/>
        <family val="1"/>
      </rPr>
      <t xml:space="preserve">S</t>
    </r>
    <r>
      <rPr>
        <sz val="10"/>
        <rFont val="Times New Roman"/>
        <family val="1"/>
      </rPr>
      <t xml:space="preserve">= scheduled outage, </t>
    </r>
    <r>
      <rPr>
        <b val="true"/>
        <sz val="10"/>
        <rFont val="Times New Roman"/>
        <family val="1"/>
      </rPr>
      <t xml:space="preserve">F</t>
    </r>
    <r>
      <rPr>
        <sz val="10"/>
        <rFont val="Times New Roman"/>
        <family val="1"/>
      </rPr>
      <t xml:space="preserve">=fluctuation</t>
    </r>
  </si>
  <si>
    <t xml:space="preserve">Charge</t>
  </si>
  <si>
    <t xml:space="preserve">Date off</t>
  </si>
  <si>
    <t xml:space="preserve">Time off</t>
  </si>
  <si>
    <t xml:space="preserve">Date on </t>
  </si>
  <si>
    <t xml:space="preserve">Time on</t>
  </si>
  <si>
    <t xml:space="preserve">Hrs.</t>
  </si>
  <si>
    <t xml:space="preserve">Reason</t>
  </si>
  <si>
    <t xml:space="preserve">Comments</t>
  </si>
  <si>
    <t xml:space="preserve">1330</t>
  </si>
  <si>
    <t xml:space="preserve">0130</t>
  </si>
  <si>
    <t xml:space="preserve">U</t>
  </si>
  <si>
    <t xml:space="preserve">A Phase fuse blown</t>
  </si>
  <si>
    <t xml:space="preserve">12-Feb.</t>
  </si>
  <si>
    <t xml:space="preserve">C Phase fuse blown</t>
  </si>
  <si>
    <t xml:space="preserve">Mill Run Project Operational Report For March 2002</t>
  </si>
  <si>
    <t xml:space="preserve">All other required components are provided below.  The Visupro data recovery was good at all turbines.  There were no curtailments or order out events.</t>
  </si>
  <si>
    <t xml:space="preserve">Raw</t>
  </si>
  <si>
    <t xml:space="preserve">Corrections</t>
  </si>
  <si>
    <t xml:space="preserve">Data Recovery</t>
  </si>
  <si>
    <t xml:space="preserve">kWhgen</t>
  </si>
  <si>
    <t xml:space="preserve">kWhcons</t>
  </si>
  <si>
    <t xml:space="preserve">Avail,num</t>
  </si>
  <si>
    <t xml:space="preserve">Avail, denom</t>
  </si>
  <si>
    <t xml:space="preserve">3)  Turbine 8 &amp; 9 data were corrected to compensate for large jump in kWh meter readings between 3/1/02 and 3/2/02.</t>
  </si>
  <si>
    <t xml:space="preserve">4)  Turbine availability lowered due to shutting turbines down to limit noise.</t>
  </si>
  <si>
    <t xml:space="preserve">19:00</t>
  </si>
  <si>
    <t xml:space="preserve">9:40</t>
  </si>
  <si>
    <t xml:space="preserve">Severe Ice Storm</t>
  </si>
  <si>
    <t xml:space="preserve">Grid Availability = </t>
  </si>
  <si>
    <t xml:space="preserve">Mill Run Project Operational Report For April 2002</t>
  </si>
  <si>
    <t xml:space="preserve">All other required components are provided below.  The Visupro data recovery was good at all turbines.  There were no utility curtailments or grid outages.</t>
  </si>
  <si>
    <t xml:space="preserve">3)  Turbine 7 is ordered offline each day, from 8 PM to 6 AM next moring, to limit noise emissions. </t>
  </si>
  <si>
    <t xml:space="preserve">Mill Run Project Operational Report For May 2002</t>
  </si>
  <si>
    <t xml:space="preserve">Eanum</t>
  </si>
  <si>
    <t xml:space="preserve">corr</t>
  </si>
  <si>
    <t xml:space="preserve">EA</t>
  </si>
  <si>
    <t xml:space="preserve">Mill Run Project Summary</t>
  </si>
  <si>
    <t xml:space="preserve">Production, kWh </t>
  </si>
  <si>
    <t xml:space="preserve">Monthly Generated kWh, Before Line Loss</t>
  </si>
  <si>
    <t xml:space="preserve">Monthly Assumed (2%) Line Loss</t>
  </si>
  <si>
    <t xml:space="preserve">Monthly Generated kWh, After Line Loss</t>
  </si>
  <si>
    <t xml:space="preserve">Monthly Generated MWh, After Line Loss</t>
  </si>
  <si>
    <r>
      <rPr>
        <sz val="12"/>
        <rFont val="Arial"/>
        <family val="2"/>
      </rPr>
      <t xml:space="preserve">Projected Generated MWh, After Line Loss </t>
    </r>
    <r>
      <rPr>
        <vertAlign val="superscript"/>
        <sz val="12"/>
        <rFont val="Arial"/>
        <family val="2"/>
      </rPr>
      <t xml:space="preserve">1</t>
    </r>
  </si>
  <si>
    <t xml:space="preserve">Not avail</t>
  </si>
  <si>
    <t xml:space="preserve">Production MWh Variance, From Projected</t>
  </si>
  <si>
    <t xml:space="preserve">YTD Generated kWh, After Line Loss</t>
  </si>
  <si>
    <t xml:space="preserve">YTD Generated MWh, After Line Loss</t>
  </si>
  <si>
    <t xml:space="preserve">Availability </t>
  </si>
  <si>
    <t xml:space="preserve">Monthly Contractual Availability</t>
  </si>
  <si>
    <t xml:space="preserve">YTD Contractual Availability</t>
  </si>
  <si>
    <r>
      <rPr>
        <sz val="10"/>
        <rFont val="Arial"/>
        <family val="0"/>
      </rPr>
      <t xml:space="preserve">Projected Contractual Availability </t>
    </r>
    <r>
      <rPr>
        <vertAlign val="superscript"/>
        <sz val="10"/>
        <rFont val="Arial"/>
        <family val="2"/>
      </rPr>
      <t xml:space="preserve">2</t>
    </r>
  </si>
  <si>
    <t xml:space="preserve">The 2002 availability data was lowered  due to Virtual mode corrections.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</si>
</sst>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"/>
    <numFmt numFmtId="166" formatCode="[$-409]mmm\-yy"/>
    <numFmt numFmtId="167" formatCode="0.0%"/>
    <numFmt numFmtId="168" formatCode="[$-409]d\-mmm"/>
    <numFmt numFmtId="169" formatCode="[$-409]m/d/yyyy"/>
    <numFmt numFmtId="170" formatCode="m/d/yy\ h:mm"/>
    <numFmt numFmtId="171" formatCode="#,##0.0"/>
    <numFmt numFmtId="172" formatCode="[$-409]m/d/yyyy\ h:mm"/>
    <numFmt numFmtId="173" formatCode="0.0"/>
    <numFmt numFmtId="174" formatCode="0000"/>
    <numFmt numFmtId="175" formatCode="m/d"/>
    <numFmt numFmtId="176" formatCode="@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name val="Arial"/>
      <family val="2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vertAlign val="superscript"/>
      <sz val="10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  <font>
      <b val="true"/>
      <sz val="12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2"/>
      <name val="Arial"/>
      <family val="2"/>
    </font>
    <font>
      <sz val="12"/>
      <name val="Arial"/>
      <family val="2"/>
    </font>
    <font>
      <vertAlign val="superscript"/>
      <sz val="12"/>
      <name val="Arial"/>
      <family val="2"/>
    </font>
    <font>
      <b val="true"/>
      <sz val="24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FFCC"/>
        <bgColor rgb="FFCCFF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2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13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2400" strike="noStrike" u="none">
                <a:solidFill>
                  <a:srgbClr val="000000"/>
                </a:solidFill>
                <a:uFillTx/>
                <a:latin typeface="Arial"/>
              </a:rPr>
              <a:t>Mill Run Operational Summary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Summary!$A$15</c:f>
              <c:strCache>
                <c:ptCount val="1"/>
                <c:pt idx="0">
                  <c:v>Monthly Contractual Availability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Summary!$B$3:$I$3</c:f>
              <c:strCache>
                <c:ptCount val="7"/>
                <c:pt idx="0">
                  <c:v>Nov-01</c:v>
                </c:pt>
                <c:pt idx="1">
                  <c:v>Dec-01</c:v>
                </c:pt>
                <c:pt idx="2">
                  <c:v>Jan-02</c:v>
                </c:pt>
                <c:pt idx="3">
                  <c:v>Feb-02</c:v>
                </c:pt>
                <c:pt idx="4">
                  <c:v>Mar-02</c:v>
                </c:pt>
                <c:pt idx="5">
                  <c:v>Apr-02</c:v>
                </c:pt>
                <c:pt idx="6">
                  <c:v>May-02</c:v>
                </c:pt>
              </c:strCache>
            </c:strRef>
          </c:cat>
          <c:val>
            <c:numRef>
              <c:f>Summary!$B$15:$I$15</c:f>
              <c:numCache>
                <c:formatCode>0.0%</c:formatCode>
                <c:ptCount val="7"/>
                <c:pt idx="0">
                  <c:v>0.8732</c:v>
                </c:pt>
                <c:pt idx="1">
                  <c:v>0.8589</c:v>
                </c:pt>
                <c:pt idx="2">
                  <c:v>0.917748683153416</c:v>
                </c:pt>
                <c:pt idx="3">
                  <c:v>0.956331241106606</c:v>
                </c:pt>
                <c:pt idx="4">
                  <c:v>0.932905631610994</c:v>
                </c:pt>
                <c:pt idx="5">
                  <c:v>0.955698307783451</c:v>
                </c:pt>
                <c:pt idx="6">
                  <c:v>0.93018378602781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3240734"/>
        <c:axId val="10763628"/>
      </c:lineChart>
      <c:lineChart>
        <c:grouping val="standard"/>
        <c:varyColors val="0"/>
        <c:ser>
          <c:idx val="1"/>
          <c:order val="1"/>
          <c:tx>
            <c:strRef>
              <c:f>Summary!$A$7</c:f>
              <c:strCache>
                <c:ptCount val="1"/>
                <c:pt idx="0">
                  <c:v>Monthly Generated kWh, After Line Loss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triangl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Summary!$B$3:$I$3</c:f>
              <c:strCache>
                <c:ptCount val="7"/>
                <c:pt idx="0">
                  <c:v>Nov-01</c:v>
                </c:pt>
                <c:pt idx="1">
                  <c:v>Dec-01</c:v>
                </c:pt>
                <c:pt idx="2">
                  <c:v>Jan-02</c:v>
                </c:pt>
                <c:pt idx="3">
                  <c:v>Feb-02</c:v>
                </c:pt>
                <c:pt idx="4">
                  <c:v>Mar-02</c:v>
                </c:pt>
                <c:pt idx="5">
                  <c:v>Apr-02</c:v>
                </c:pt>
                <c:pt idx="6">
                  <c:v>May-02</c:v>
                </c:pt>
              </c:strCache>
            </c:strRef>
          </c:cat>
          <c:val>
            <c:numRef>
              <c:f>Summary!$B$7:$I$7</c:f>
              <c:numCache>
                <c:formatCode>#,##0</c:formatCode>
                <c:ptCount val="7"/>
                <c:pt idx="0">
                  <c:v>2803957.38</c:v>
                </c:pt>
                <c:pt idx="1">
                  <c:v>3483438.42</c:v>
                </c:pt>
                <c:pt idx="2">
                  <c:v>4985117.9</c:v>
                </c:pt>
                <c:pt idx="3">
                  <c:v>4311291.46</c:v>
                </c:pt>
                <c:pt idx="4">
                  <c:v>4635830.22</c:v>
                </c:pt>
                <c:pt idx="5">
                  <c:v>3530597</c:v>
                </c:pt>
                <c:pt idx="6">
                  <c:v>3077873.26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5038662"/>
        <c:axId val="42253693"/>
      </c:lineChart>
      <c:catAx>
        <c:axId val="3324073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Production Month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mm\-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763628"/>
        <c:crossesAt val="0"/>
        <c:auto val="1"/>
        <c:lblAlgn val="ctr"/>
        <c:lblOffset val="100"/>
        <c:noMultiLvlLbl val="0"/>
      </c:catAx>
      <c:valAx>
        <c:axId val="10763628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Monthly Availability (Contractual)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%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240734"/>
        <c:crossesAt val="1"/>
        <c:crossBetween val="midCat"/>
      </c:valAx>
      <c:catAx>
        <c:axId val="95038662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253693"/>
        <c:auto val="1"/>
        <c:lblAlgn val="ctr"/>
        <c:lblOffset val="100"/>
        <c:noMultiLvlLbl val="0"/>
      </c:catAx>
      <c:valAx>
        <c:axId val="42253693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Monthly Net Production, 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038662"/>
        <c:crosses val="max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160560</xdr:colOff>
      <xdr:row>19</xdr:row>
      <xdr:rowOff>56880</xdr:rowOff>
    </xdr:from>
    <xdr:to>
      <xdr:col>7</xdr:col>
      <xdr:colOff>765000</xdr:colOff>
      <xdr:row>64</xdr:row>
      <xdr:rowOff>105120</xdr:rowOff>
    </xdr:to>
    <xdr:graphicFrame>
      <xdr:nvGraphicFramePr>
        <xdr:cNvPr id="0" name="Chart 1"/>
        <xdr:cNvGraphicFramePr/>
      </xdr:nvGraphicFramePr>
      <xdr:xfrm>
        <a:off x="160560" y="3790800"/>
        <a:ext cx="8232120" cy="7334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2.99"/>
    <col collapsed="false" customWidth="true" hidden="false" outlineLevel="0" max="3" min="3" style="0" width="13.56"/>
    <col collapsed="false" customWidth="true" hidden="false" outlineLevel="0" max="4" min="4" style="1" width="16.7"/>
    <col collapsed="false" customWidth="true" hidden="false" outlineLevel="0" max="5" min="5" style="0" width="15.13"/>
    <col collapsed="false" customWidth="true" hidden="false" outlineLevel="0" max="6" min="6" style="0" width="15.85"/>
    <col collapsed="false" customWidth="true" hidden="false" outlineLevel="0" max="7" min="7" style="0" width="18.7"/>
    <col collapsed="false" customWidth="true" hidden="false" outlineLevel="0" max="8" min="8" style="0" width="16.42"/>
    <col collapsed="false" customWidth="true" hidden="false" outlineLevel="0" max="9" min="9" style="0" width="17.85"/>
    <col collapsed="false" customWidth="true" hidden="false" outlineLevel="0" max="10" min="10" style="0" width="16.42"/>
  </cols>
  <sheetData>
    <row r="1" customFormat="false" ht="30" hidden="false" customHeight="false" outlineLevel="0" collapsed="false">
      <c r="A1" s="2" t="s">
        <v>0</v>
      </c>
      <c r="J1" s="3"/>
    </row>
    <row r="2" customFormat="false" ht="12.75" hidden="false" customHeight="false" outlineLevel="0" collapsed="false">
      <c r="J2" s="3"/>
    </row>
    <row r="3" customFormat="false" ht="12.75" hidden="false" customHeight="false" outlineLevel="0" collapsed="false">
      <c r="A3" s="0" t="s">
        <v>1</v>
      </c>
      <c r="J3" s="3"/>
    </row>
    <row r="4" customFormat="false" ht="12.75" hidden="false" customHeight="false" outlineLevel="0" collapsed="false">
      <c r="A4" s="0" t="s">
        <v>2</v>
      </c>
      <c r="J4" s="3"/>
    </row>
    <row r="5" customFormat="false" ht="12.75" hidden="false" customHeight="false" outlineLevel="0" collapsed="false">
      <c r="A5" s="0" t="s">
        <v>3</v>
      </c>
      <c r="J5" s="3"/>
    </row>
    <row r="6" customFormat="false" ht="12.75" hidden="false" customHeight="false" outlineLevel="0" collapsed="false">
      <c r="A6" s="0" t="s">
        <v>4</v>
      </c>
      <c r="J6" s="3"/>
    </row>
    <row r="7" customFormat="false" ht="12.75" hidden="false" customHeight="false" outlineLevel="0" collapsed="false">
      <c r="J7" s="3"/>
    </row>
    <row r="8" customFormat="false" ht="18" hidden="false" customHeight="false" outlineLevel="0" collapsed="false">
      <c r="A8" s="4" t="s">
        <v>5</v>
      </c>
      <c r="J8" s="3"/>
    </row>
    <row r="9" customFormat="false" ht="12.75" hidden="false" customHeight="false" outlineLevel="0" collapsed="false">
      <c r="A9" s="5"/>
      <c r="B9" s="5"/>
      <c r="C9" s="5"/>
      <c r="D9" s="6"/>
      <c r="E9" s="7" t="s">
        <v>6</v>
      </c>
      <c r="F9" s="8"/>
      <c r="G9" s="9" t="s">
        <v>6</v>
      </c>
      <c r="H9" s="10"/>
      <c r="I9" s="11"/>
      <c r="J9" s="12"/>
    </row>
    <row r="10" customFormat="false" ht="14.25" hidden="false" customHeight="false" outlineLevel="0" collapsed="false">
      <c r="A10" s="13" t="s">
        <v>7</v>
      </c>
      <c r="B10" s="13" t="s">
        <v>8</v>
      </c>
      <c r="C10" s="13" t="s">
        <v>9</v>
      </c>
      <c r="D10" s="13" t="s">
        <v>10</v>
      </c>
      <c r="E10" s="14" t="s">
        <v>11</v>
      </c>
      <c r="F10" s="15" t="s">
        <v>12</v>
      </c>
      <c r="G10" s="16" t="s">
        <v>13</v>
      </c>
      <c r="H10" s="16" t="s">
        <v>14</v>
      </c>
      <c r="I10" s="17" t="s">
        <v>15</v>
      </c>
      <c r="J10" s="18" t="s">
        <v>16</v>
      </c>
    </row>
    <row r="11" customFormat="false" ht="12.75" hidden="false" customHeight="false" outlineLevel="0" collapsed="false">
      <c r="A11" s="19" t="s">
        <v>17</v>
      </c>
      <c r="B11" s="19" t="n">
        <v>1</v>
      </c>
      <c r="C11" s="19" t="n">
        <v>1</v>
      </c>
      <c r="D11" s="20" t="n">
        <v>37165</v>
      </c>
      <c r="E11" s="21" t="n">
        <v>25770</v>
      </c>
      <c r="F11" s="22" t="n">
        <v>445</v>
      </c>
      <c r="G11" s="21" t="n">
        <f aca="false">E11-F11</f>
        <v>25325</v>
      </c>
      <c r="H11" s="23" t="n">
        <f aca="false">G11/(B$40*24*1500)</f>
        <v>0.0226926523297491</v>
      </c>
      <c r="I11" s="23" t="n">
        <v>0.9309</v>
      </c>
      <c r="J11" s="21" t="n">
        <f aca="false">I11*(744)</f>
        <v>692.5896</v>
      </c>
    </row>
    <row r="12" customFormat="false" ht="12.75" hidden="false" customHeight="false" outlineLevel="0" collapsed="false">
      <c r="A12" s="19" t="s">
        <v>17</v>
      </c>
      <c r="B12" s="19" t="n">
        <v>1</v>
      </c>
      <c r="C12" s="19" t="n">
        <v>2</v>
      </c>
      <c r="D12" s="20" t="n">
        <v>37165</v>
      </c>
      <c r="E12" s="21" t="n">
        <v>48049</v>
      </c>
      <c r="F12" s="22" t="n">
        <v>108</v>
      </c>
      <c r="G12" s="21" t="n">
        <f aca="false">E12-F12</f>
        <v>47941</v>
      </c>
      <c r="H12" s="23" t="n">
        <f aca="false">G12/(B$40*24*1500)</f>
        <v>0.0429578853046595</v>
      </c>
      <c r="I12" s="23" t="n">
        <v>0.8852</v>
      </c>
      <c r="J12" s="21" t="n">
        <f aca="false">I12*(744)</f>
        <v>658.5888</v>
      </c>
    </row>
    <row r="13" customFormat="false" ht="12.75" hidden="false" customHeight="false" outlineLevel="0" collapsed="false">
      <c r="A13" s="19" t="s">
        <v>17</v>
      </c>
      <c r="B13" s="19" t="n">
        <v>1</v>
      </c>
      <c r="C13" s="19" t="n">
        <v>3</v>
      </c>
      <c r="D13" s="20" t="n">
        <v>37165</v>
      </c>
      <c r="E13" s="21" t="n">
        <v>52071</v>
      </c>
      <c r="F13" s="22" t="n">
        <v>12</v>
      </c>
      <c r="G13" s="21" t="n">
        <f aca="false">E13-F13</f>
        <v>52059</v>
      </c>
      <c r="H13" s="23" t="n">
        <f aca="false">G13/(B$40*24*1500)</f>
        <v>0.0466478494623656</v>
      </c>
      <c r="I13" s="23" t="n">
        <v>0.9899</v>
      </c>
      <c r="J13" s="21" t="n">
        <f aca="false">I13*(744)</f>
        <v>736.4856</v>
      </c>
    </row>
    <row r="14" customFormat="false" ht="12.75" hidden="false" customHeight="false" outlineLevel="0" collapsed="false">
      <c r="A14" s="19" t="s">
        <v>17</v>
      </c>
      <c r="B14" s="19" t="n">
        <v>1</v>
      </c>
      <c r="C14" s="19" t="n">
        <v>4</v>
      </c>
      <c r="D14" s="20" t="n">
        <v>37165</v>
      </c>
      <c r="E14" s="21" t="n">
        <v>291751</v>
      </c>
      <c r="F14" s="22" t="n">
        <v>446</v>
      </c>
      <c r="G14" s="21" t="n">
        <f aca="false">E14-F14</f>
        <v>291305</v>
      </c>
      <c r="H14" s="23" t="n">
        <f aca="false">G14/(B$40*24*1500)</f>
        <v>0.261025985663082</v>
      </c>
      <c r="I14" s="23" t="n">
        <v>0.9094</v>
      </c>
      <c r="J14" s="21" t="n">
        <f aca="false">I14*(744)</f>
        <v>676.5936</v>
      </c>
    </row>
    <row r="15" customFormat="false" ht="12.75" hidden="false" customHeight="false" outlineLevel="0" collapsed="false">
      <c r="A15" s="19" t="s">
        <v>17</v>
      </c>
      <c r="B15" s="19" t="n">
        <v>1</v>
      </c>
      <c r="C15" s="19" t="n">
        <v>5</v>
      </c>
      <c r="D15" s="20" t="n">
        <v>37165</v>
      </c>
      <c r="E15" s="21" t="n">
        <v>78927</v>
      </c>
      <c r="F15" s="22" t="n">
        <v>392</v>
      </c>
      <c r="G15" s="21" t="n">
        <f aca="false">E15-F15</f>
        <v>78535</v>
      </c>
      <c r="H15" s="23" t="n">
        <f aca="false">G15/(B$40*24*1500)</f>
        <v>0.0703718637992832</v>
      </c>
      <c r="I15" s="23" t="n">
        <v>0.9889</v>
      </c>
      <c r="J15" s="21" t="n">
        <f aca="false">I15*(744)</f>
        <v>735.7416</v>
      </c>
    </row>
    <row r="16" customFormat="false" ht="12.75" hidden="false" customHeight="false" outlineLevel="0" collapsed="false">
      <c r="A16" s="19" t="s">
        <v>17</v>
      </c>
      <c r="B16" s="19" t="n">
        <v>1</v>
      </c>
      <c r="C16" s="19" t="n">
        <v>6</v>
      </c>
      <c r="D16" s="20" t="n">
        <v>37165</v>
      </c>
      <c r="E16" s="21" t="n">
        <v>221765</v>
      </c>
      <c r="F16" s="22" t="n">
        <v>391</v>
      </c>
      <c r="G16" s="21" t="n">
        <f aca="false">E16-F16</f>
        <v>221374</v>
      </c>
      <c r="H16" s="23" t="n">
        <f aca="false">G16/(B$40*24*1500)</f>
        <v>0.198363799283154</v>
      </c>
      <c r="I16" s="23" t="n">
        <v>0.8955</v>
      </c>
      <c r="J16" s="21" t="n">
        <f aca="false">I16*(744)</f>
        <v>666.252</v>
      </c>
    </row>
    <row r="17" customFormat="false" ht="12.75" hidden="false" customHeight="false" outlineLevel="0" collapsed="false">
      <c r="A17" s="19" t="s">
        <v>17</v>
      </c>
      <c r="B17" s="19" t="n">
        <v>1</v>
      </c>
      <c r="C17" s="19" t="n">
        <v>7</v>
      </c>
      <c r="D17" s="20" t="n">
        <v>37165</v>
      </c>
      <c r="E17" s="21" t="n">
        <v>266099</v>
      </c>
      <c r="F17" s="22" t="n">
        <v>843</v>
      </c>
      <c r="G17" s="21" t="n">
        <f aca="false">E17-F17</f>
        <v>265256</v>
      </c>
      <c r="H17" s="23" t="n">
        <f aca="false">G17/(B$40*24*1500)</f>
        <v>0.23768458781362</v>
      </c>
      <c r="I17" s="23" t="n">
        <v>0.9684</v>
      </c>
      <c r="J17" s="21" t="n">
        <f aca="false">I17*(744)</f>
        <v>720.4896</v>
      </c>
    </row>
    <row r="18" customFormat="false" ht="12.75" hidden="false" customHeight="false" outlineLevel="0" collapsed="false">
      <c r="A18" s="19" t="s">
        <v>17</v>
      </c>
      <c r="B18" s="19" t="n">
        <v>1</v>
      </c>
      <c r="C18" s="19" t="n">
        <v>8</v>
      </c>
      <c r="D18" s="20" t="n">
        <v>37165</v>
      </c>
      <c r="E18" s="21" t="n">
        <v>304810</v>
      </c>
      <c r="F18" s="22" t="n">
        <v>651</v>
      </c>
      <c r="G18" s="21" t="n">
        <f aca="false">E18-F18</f>
        <v>304159</v>
      </c>
      <c r="H18" s="23" t="n">
        <f aca="false">G18/(B$40*24*1500)</f>
        <v>0.272543906810036</v>
      </c>
      <c r="I18" s="23" t="n">
        <v>0.993</v>
      </c>
      <c r="J18" s="21" t="n">
        <f aca="false">I18*(744)</f>
        <v>738.792</v>
      </c>
    </row>
    <row r="19" customFormat="false" ht="12.75" hidden="false" customHeight="false" outlineLevel="0" collapsed="false">
      <c r="A19" s="19" t="s">
        <v>17</v>
      </c>
      <c r="B19" s="19" t="n">
        <v>1</v>
      </c>
      <c r="C19" s="19" t="n">
        <v>9</v>
      </c>
      <c r="D19" s="20" t="n">
        <v>37165</v>
      </c>
      <c r="E19" s="21" t="n">
        <v>58069</v>
      </c>
      <c r="F19" s="22" t="n">
        <v>265</v>
      </c>
      <c r="G19" s="21" t="n">
        <f aca="false">E19-F19</f>
        <v>57804</v>
      </c>
      <c r="H19" s="23" t="n">
        <f aca="false">G19/(B$40*24*1500)</f>
        <v>0.0517956989247312</v>
      </c>
      <c r="I19" s="23" t="n">
        <v>0.9015</v>
      </c>
      <c r="J19" s="21" t="n">
        <f aca="false">I19*(744)</f>
        <v>670.716</v>
      </c>
    </row>
    <row r="20" customFormat="false" ht="12.75" hidden="false" customHeight="false" outlineLevel="0" collapsed="false">
      <c r="A20" s="19" t="s">
        <v>17</v>
      </c>
      <c r="B20" s="19" t="n">
        <v>1</v>
      </c>
      <c r="C20" s="19" t="n">
        <v>10</v>
      </c>
      <c r="D20" s="20" t="n">
        <v>37165</v>
      </c>
      <c r="E20" s="21" t="n">
        <v>16352</v>
      </c>
      <c r="F20" s="22" t="n">
        <v>341</v>
      </c>
      <c r="G20" s="21" t="n">
        <f aca="false">E20-F20</f>
        <v>16011</v>
      </c>
      <c r="H20" s="23" t="n">
        <f aca="false">G20/(B$40*24*1500)</f>
        <v>0.0143467741935484</v>
      </c>
      <c r="I20" s="23" t="n">
        <v>0.5478</v>
      </c>
      <c r="J20" s="21" t="n">
        <f aca="false">I20*(744)</f>
        <v>407.5632</v>
      </c>
    </row>
    <row r="21" customFormat="false" ht="12.75" hidden="false" customHeight="false" outlineLevel="0" collapsed="false">
      <c r="A21" s="24"/>
      <c r="B21" s="25"/>
      <c r="C21" s="26" t="s">
        <v>18</v>
      </c>
      <c r="D21" s="20" t="s">
        <v>19</v>
      </c>
      <c r="E21" s="21" t="n">
        <f aca="false">SUM(E11:E20)</f>
        <v>1363663</v>
      </c>
      <c r="F21" s="21" t="n">
        <f aca="false">SUM(F11:F20)</f>
        <v>3894</v>
      </c>
      <c r="G21" s="21" t="n">
        <f aca="false">SUM(G11:G20)</f>
        <v>1359769</v>
      </c>
      <c r="H21" s="23" t="n">
        <f aca="false">AVERAGE(H11:H20)</f>
        <v>0.121843100358423</v>
      </c>
      <c r="I21" s="23" t="n">
        <f aca="false">AVERAGE(I11:I20)</f>
        <v>0.90105</v>
      </c>
      <c r="J21" s="21" t="n">
        <f aca="false">SUM(J11:J20)</f>
        <v>6703.812</v>
      </c>
    </row>
    <row r="22" customFormat="false" ht="14.25" hidden="false" customHeight="false" outlineLevel="0" collapsed="false">
      <c r="A22" s="24"/>
      <c r="B22" s="25"/>
      <c r="C22" s="26" t="s">
        <v>20</v>
      </c>
      <c r="D22" s="20" t="s">
        <v>19</v>
      </c>
      <c r="E22" s="27" t="n">
        <f aca="false">E21*(0.02)</f>
        <v>27273.26</v>
      </c>
      <c r="F22" s="27" t="n">
        <f aca="false">F21*(0.02)</f>
        <v>77.88</v>
      </c>
      <c r="G22" s="27" t="n">
        <f aca="false">G21*(0.02)</f>
        <v>27195.38</v>
      </c>
      <c r="H22" s="28" t="s">
        <v>21</v>
      </c>
      <c r="I22" s="29" t="s">
        <v>21</v>
      </c>
      <c r="J22" s="28" t="s">
        <v>21</v>
      </c>
    </row>
    <row r="23" customFormat="false" ht="12.75" hidden="false" customHeight="false" outlineLevel="0" collapsed="false">
      <c r="A23" s="24"/>
      <c r="B23" s="25"/>
      <c r="C23" s="26" t="s">
        <v>22</v>
      </c>
      <c r="D23" s="20" t="s">
        <v>19</v>
      </c>
      <c r="E23" s="27" t="n">
        <f aca="false">E21-E22</f>
        <v>1336389.74</v>
      </c>
      <c r="F23" s="27" t="n">
        <f aca="false">F21-F22</f>
        <v>3816.12</v>
      </c>
      <c r="G23" s="27" t="n">
        <f aca="false">G21-G22</f>
        <v>1332573.62</v>
      </c>
      <c r="H23" s="23" t="n">
        <f aca="false">G23/(1500*24*B40*COUNT(H11:H20))</f>
        <v>0.119406238351255</v>
      </c>
      <c r="I23" s="23" t="n">
        <f aca="false">I21</f>
        <v>0.90105</v>
      </c>
      <c r="J23" s="21" t="n">
        <f aca="false">J21</f>
        <v>6703.812</v>
      </c>
    </row>
    <row r="24" customFormat="false" ht="12.75" hidden="false" customHeight="false" outlineLevel="0" collapsed="false">
      <c r="A24" s="24"/>
      <c r="B24" s="25"/>
      <c r="C24" s="26" t="s">
        <v>22</v>
      </c>
      <c r="D24" s="30" t="s">
        <v>23</v>
      </c>
      <c r="E24" s="27" t="n">
        <f aca="false">E23</f>
        <v>1336389.74</v>
      </c>
      <c r="F24" s="27" t="n">
        <f aca="false">F23</f>
        <v>3816.12</v>
      </c>
      <c r="G24" s="27" t="n">
        <f aca="false">G23</f>
        <v>1332573.62</v>
      </c>
      <c r="H24" s="31" t="n">
        <f aca="false">H23</f>
        <v>0.119406238351255</v>
      </c>
      <c r="I24" s="31" t="n">
        <f aca="false">I23</f>
        <v>0.90105</v>
      </c>
      <c r="J24" s="27" t="n">
        <f aca="false">J23</f>
        <v>6703.812</v>
      </c>
    </row>
    <row r="25" customFormat="false" ht="12.75" hidden="false" customHeight="false" outlineLevel="0" collapsed="false">
      <c r="D25" s="32"/>
      <c r="E25" s="3"/>
      <c r="F25" s="3"/>
      <c r="G25" s="3"/>
      <c r="H25" s="3"/>
      <c r="I25" s="33"/>
      <c r="J25" s="3"/>
    </row>
    <row r="26" customFormat="false" ht="12.75" hidden="false" customHeight="false" outlineLevel="0" collapsed="false">
      <c r="A26" s="0" t="s">
        <v>24</v>
      </c>
      <c r="D26" s="32"/>
      <c r="E26" s="3"/>
      <c r="F26" s="3"/>
      <c r="G26" s="3"/>
      <c r="H26" s="3"/>
      <c r="I26" s="33"/>
      <c r="L26" s="3"/>
    </row>
    <row r="27" customFormat="false" ht="12.75" hidden="false" customHeight="false" outlineLevel="0" collapsed="false">
      <c r="A27" s="0" t="s">
        <v>25</v>
      </c>
      <c r="D27" s="32"/>
      <c r="E27" s="3"/>
      <c r="F27" s="3"/>
      <c r="G27" s="3"/>
      <c r="H27" s="3"/>
      <c r="I27" s="33"/>
      <c r="J27" s="3"/>
    </row>
    <row r="28" customFormat="false" ht="12.75" hidden="false" customHeight="false" outlineLevel="0" collapsed="false">
      <c r="A28" s="0" t="s">
        <v>26</v>
      </c>
      <c r="G28" s="3"/>
      <c r="H28" s="3"/>
      <c r="I28" s="33"/>
      <c r="J28" s="3"/>
    </row>
    <row r="29" customFormat="false" ht="12.75" hidden="false" customHeight="false" outlineLevel="0" collapsed="false">
      <c r="G29" s="3"/>
      <c r="H29" s="3"/>
      <c r="I29" s="33"/>
      <c r="J29" s="3"/>
    </row>
    <row r="30" customFormat="false" ht="12.75" hidden="false" customHeight="false" outlineLevel="0" collapsed="false">
      <c r="E30" s="3"/>
      <c r="F30" s="3"/>
      <c r="G30" s="3"/>
      <c r="H30" s="3"/>
      <c r="J30" s="3"/>
    </row>
    <row r="31" customFormat="false" ht="18" hidden="false" customHeight="false" outlineLevel="0" collapsed="false">
      <c r="A31" s="4" t="s">
        <v>27</v>
      </c>
      <c r="G31" s="3"/>
      <c r="H31" s="3"/>
      <c r="J31" s="3"/>
    </row>
    <row r="32" customFormat="false" ht="38.25" hidden="false" customHeight="false" outlineLevel="0" collapsed="false">
      <c r="A32" s="34" t="s">
        <v>28</v>
      </c>
      <c r="B32" s="34" t="s">
        <v>29</v>
      </c>
      <c r="C32" s="34" t="s">
        <v>30</v>
      </c>
      <c r="D32" s="35" t="s">
        <v>31</v>
      </c>
      <c r="E32" s="36"/>
      <c r="F32" s="36"/>
      <c r="G32" s="37"/>
      <c r="H32" s="38" t="s">
        <v>32</v>
      </c>
      <c r="I32" s="39" t="s">
        <v>33</v>
      </c>
      <c r="J32" s="3"/>
    </row>
    <row r="33" customFormat="false" ht="12.75" hidden="false" customHeight="false" outlineLevel="0" collapsed="false">
      <c r="A33" s="19"/>
      <c r="B33" s="19"/>
      <c r="C33" s="19"/>
      <c r="D33" s="40" t="s">
        <v>34</v>
      </c>
      <c r="E33" s="24"/>
      <c r="F33" s="25"/>
      <c r="G33" s="41"/>
      <c r="H33" s="19" t="n">
        <v>0</v>
      </c>
      <c r="I33" s="31" t="n">
        <v>0</v>
      </c>
    </row>
    <row r="34" customFormat="false" ht="12.75" hidden="false" customHeight="false" outlineLevel="0" collapsed="false">
      <c r="A34" s="19"/>
      <c r="B34" s="19"/>
      <c r="C34" s="19"/>
      <c r="D34" s="42"/>
      <c r="E34" s="25"/>
      <c r="F34" s="25"/>
      <c r="G34" s="41"/>
      <c r="H34" s="19"/>
      <c r="I34" s="19"/>
    </row>
    <row r="35" customFormat="false" ht="12.75" hidden="false" customHeight="false" outlineLevel="0" collapsed="false">
      <c r="A35" s="19"/>
      <c r="B35" s="19"/>
      <c r="C35" s="19"/>
      <c r="D35" s="42"/>
      <c r="E35" s="25"/>
      <c r="F35" s="25"/>
      <c r="G35" s="41"/>
      <c r="H35" s="19"/>
      <c r="I35" s="19"/>
    </row>
    <row r="36" customFormat="false" ht="12.75" hidden="false" customHeight="false" outlineLevel="0" collapsed="false">
      <c r="A36" s="19"/>
      <c r="B36" s="19"/>
      <c r="C36" s="19"/>
      <c r="D36" s="42"/>
      <c r="E36" s="25"/>
      <c r="F36" s="25"/>
      <c r="G36" s="41"/>
      <c r="H36" s="19"/>
      <c r="I36" s="19"/>
    </row>
    <row r="37" customFormat="false" ht="12.75" hidden="false" customHeight="false" outlineLevel="0" collapsed="false">
      <c r="A37" s="19"/>
      <c r="B37" s="19"/>
      <c r="C37" s="19"/>
      <c r="D37" s="42"/>
      <c r="E37" s="25"/>
      <c r="F37" s="25"/>
      <c r="G37" s="41"/>
      <c r="H37" s="19"/>
      <c r="I37" s="19"/>
    </row>
    <row r="38" customFormat="false" ht="12.75" hidden="false" customHeight="false" outlineLevel="0" collapsed="false">
      <c r="A38" s="19"/>
      <c r="B38" s="19"/>
      <c r="C38" s="19"/>
      <c r="D38" s="42"/>
      <c r="E38" s="25"/>
      <c r="F38" s="25"/>
      <c r="G38" s="41"/>
      <c r="H38" s="19"/>
      <c r="I38" s="19"/>
    </row>
    <row r="39" customFormat="false" ht="12.75" hidden="false" customHeight="false" outlineLevel="0" collapsed="false">
      <c r="A39" s="19"/>
      <c r="B39" s="19"/>
      <c r="C39" s="19"/>
      <c r="D39" s="42"/>
      <c r="E39" s="25"/>
      <c r="F39" s="25"/>
      <c r="G39" s="41"/>
      <c r="H39" s="19"/>
      <c r="I39" s="19"/>
    </row>
    <row r="40" customFormat="false" ht="25.5" hidden="false" customHeight="false" outlineLevel="0" collapsed="false">
      <c r="A40" s="43" t="s">
        <v>35</v>
      </c>
      <c r="B40" s="43" t="n">
        <v>31</v>
      </c>
      <c r="C40" s="43"/>
      <c r="D40" s="44"/>
      <c r="E40" s="43"/>
      <c r="F40" s="43"/>
      <c r="G40" s="45" t="s">
        <v>36</v>
      </c>
      <c r="H40" s="46" t="n">
        <f aca="false">SUM(H33:H39)</f>
        <v>0</v>
      </c>
      <c r="I40" s="46" t="n">
        <f aca="false">SUM(I33:I39)</f>
        <v>0</v>
      </c>
      <c r="J40" s="43"/>
    </row>
    <row r="41" customFormat="false" ht="12.75" hidden="false" customHeight="false" outlineLevel="0" collapsed="false">
      <c r="H41" s="47" t="s">
        <v>37</v>
      </c>
      <c r="I41" s="31" t="n">
        <f aca="false">1-I40</f>
        <v>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4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1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E24" activeCellId="0" sqref="E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1" style="0" width="12.99"/>
    <col collapsed="false" customWidth="true" hidden="false" outlineLevel="0" max="6" min="4" style="0" width="15.41"/>
    <col collapsed="false" customWidth="true" hidden="false" outlineLevel="0" max="7" min="7" style="0" width="19.28"/>
    <col collapsed="false" customWidth="true" hidden="false" outlineLevel="0" max="10" min="8" style="0" width="15.41"/>
  </cols>
  <sheetData>
    <row r="1" customFormat="false" ht="30" hidden="false" customHeight="false" outlineLevel="0" collapsed="false">
      <c r="A1" s="2" t="s">
        <v>38</v>
      </c>
      <c r="D1" s="1"/>
      <c r="J1" s="3"/>
    </row>
    <row r="2" customFormat="false" ht="12.75" hidden="false" customHeight="false" outlineLevel="0" collapsed="false">
      <c r="D2" s="1"/>
      <c r="J2" s="3"/>
    </row>
    <row r="3" customFormat="false" ht="12.75" hidden="false" customHeight="false" outlineLevel="0" collapsed="false">
      <c r="A3" s="0" t="s">
        <v>1</v>
      </c>
      <c r="D3" s="1"/>
      <c r="J3" s="3"/>
    </row>
    <row r="4" customFormat="false" ht="12.75" hidden="false" customHeight="false" outlineLevel="0" collapsed="false">
      <c r="A4" s="0" t="s">
        <v>2</v>
      </c>
      <c r="D4" s="1"/>
      <c r="J4" s="3"/>
    </row>
    <row r="5" customFormat="false" ht="12.75" hidden="false" customHeight="false" outlineLevel="0" collapsed="false">
      <c r="A5" s="0" t="s">
        <v>3</v>
      </c>
      <c r="D5" s="1"/>
      <c r="J5" s="3"/>
    </row>
    <row r="6" customFormat="false" ht="12.75" hidden="false" customHeight="false" outlineLevel="0" collapsed="false">
      <c r="A6" s="0" t="s">
        <v>4</v>
      </c>
      <c r="D6" s="1"/>
      <c r="J6" s="3"/>
    </row>
    <row r="7" customFormat="false" ht="12.75" hidden="false" customHeight="false" outlineLevel="0" collapsed="false">
      <c r="D7" s="1"/>
      <c r="J7" s="3"/>
    </row>
    <row r="8" customFormat="false" ht="18" hidden="false" customHeight="false" outlineLevel="0" collapsed="false">
      <c r="A8" s="4" t="s">
        <v>5</v>
      </c>
      <c r="D8" s="1"/>
      <c r="J8" s="3"/>
    </row>
    <row r="9" customFormat="false" ht="12.75" hidden="false" customHeight="false" outlineLevel="0" collapsed="false">
      <c r="A9" s="5"/>
      <c r="B9" s="5"/>
      <c r="C9" s="5"/>
      <c r="D9" s="6"/>
      <c r="E9" s="7" t="s">
        <v>6</v>
      </c>
      <c r="F9" s="8"/>
      <c r="G9" s="9" t="s">
        <v>6</v>
      </c>
      <c r="H9" s="10"/>
      <c r="I9" s="11"/>
      <c r="J9" s="12"/>
    </row>
    <row r="10" customFormat="false" ht="14.25" hidden="false" customHeight="false" outlineLevel="0" collapsed="false">
      <c r="A10" s="13" t="s">
        <v>7</v>
      </c>
      <c r="B10" s="13" t="s">
        <v>8</v>
      </c>
      <c r="C10" s="13" t="s">
        <v>9</v>
      </c>
      <c r="D10" s="13" t="s">
        <v>10</v>
      </c>
      <c r="E10" s="14" t="s">
        <v>11</v>
      </c>
      <c r="F10" s="15" t="s">
        <v>12</v>
      </c>
      <c r="G10" s="16" t="s">
        <v>13</v>
      </c>
      <c r="H10" s="16" t="s">
        <v>14</v>
      </c>
      <c r="I10" s="17" t="s">
        <v>15</v>
      </c>
      <c r="J10" s="18" t="s">
        <v>16</v>
      </c>
    </row>
    <row r="11" customFormat="false" ht="12.75" hidden="false" customHeight="false" outlineLevel="0" collapsed="false">
      <c r="A11" s="19" t="s">
        <v>17</v>
      </c>
      <c r="B11" s="19" t="n">
        <v>1</v>
      </c>
      <c r="C11" s="19" t="n">
        <v>1</v>
      </c>
      <c r="D11" s="20" t="n">
        <v>37196</v>
      </c>
      <c r="E11" s="21" t="n">
        <v>327099</v>
      </c>
      <c r="F11" s="22" t="n">
        <v>549</v>
      </c>
      <c r="G11" s="21" t="n">
        <f aca="false">E11-F11</f>
        <v>326550</v>
      </c>
      <c r="H11" s="23" t="n">
        <f aca="false">G11/(B$40*24*1500)</f>
        <v>0.302361111111111</v>
      </c>
      <c r="I11" s="23" t="n">
        <v>0.867</v>
      </c>
      <c r="J11" s="21" t="n">
        <f aca="false">I11*(744)</f>
        <v>645.048</v>
      </c>
    </row>
    <row r="12" customFormat="false" ht="12.75" hidden="false" customHeight="false" outlineLevel="0" collapsed="false">
      <c r="A12" s="19" t="s">
        <v>17</v>
      </c>
      <c r="B12" s="19" t="n">
        <v>1</v>
      </c>
      <c r="C12" s="19" t="n">
        <v>2</v>
      </c>
      <c r="D12" s="20" t="n">
        <v>37196</v>
      </c>
      <c r="E12" s="21" t="n">
        <v>159362</v>
      </c>
      <c r="F12" s="22" t="n">
        <v>1499</v>
      </c>
      <c r="G12" s="21" t="n">
        <f aca="false">E12-F12</f>
        <v>157863</v>
      </c>
      <c r="H12" s="23" t="n">
        <f aca="false">G12/(B$40*24*1500)</f>
        <v>0.146169444444444</v>
      </c>
      <c r="I12" s="23" t="n">
        <v>0.764</v>
      </c>
      <c r="J12" s="21" t="n">
        <f aca="false">I12*(744)</f>
        <v>568.416</v>
      </c>
    </row>
    <row r="13" customFormat="false" ht="12.75" hidden="false" customHeight="false" outlineLevel="0" collapsed="false">
      <c r="A13" s="19" t="s">
        <v>17</v>
      </c>
      <c r="B13" s="19" t="n">
        <v>1</v>
      </c>
      <c r="C13" s="19" t="n">
        <v>3</v>
      </c>
      <c r="D13" s="20" t="n">
        <v>37196</v>
      </c>
      <c r="E13" s="21" t="n">
        <v>334495</v>
      </c>
      <c r="F13" s="22" t="n">
        <v>37</v>
      </c>
      <c r="G13" s="21" t="n">
        <f aca="false">E13-F13</f>
        <v>334458</v>
      </c>
      <c r="H13" s="23" t="n">
        <f aca="false">G13/(B$40*24*1500)</f>
        <v>0.309683333333333</v>
      </c>
      <c r="I13" s="23" t="n">
        <v>0.946</v>
      </c>
      <c r="J13" s="21" t="n">
        <f aca="false">I13*(744)</f>
        <v>703.824</v>
      </c>
    </row>
    <row r="14" customFormat="false" ht="12.75" hidden="false" customHeight="false" outlineLevel="0" collapsed="false">
      <c r="A14" s="19" t="s">
        <v>17</v>
      </c>
      <c r="B14" s="19" t="n">
        <v>1</v>
      </c>
      <c r="C14" s="19" t="n">
        <v>4</v>
      </c>
      <c r="D14" s="20" t="n">
        <v>37196</v>
      </c>
      <c r="E14" s="21" t="n">
        <v>373688</v>
      </c>
      <c r="F14" s="22" t="n">
        <v>222</v>
      </c>
      <c r="G14" s="21" t="n">
        <f aca="false">E14-F14</f>
        <v>373466</v>
      </c>
      <c r="H14" s="23" t="n">
        <f aca="false">G14/(B$40*24*1500)</f>
        <v>0.345801851851852</v>
      </c>
      <c r="I14" s="23" t="n">
        <v>0.928</v>
      </c>
      <c r="J14" s="21" t="n">
        <f aca="false">I14*(744)</f>
        <v>690.432</v>
      </c>
    </row>
    <row r="15" customFormat="false" ht="12.75" hidden="false" customHeight="false" outlineLevel="0" collapsed="false">
      <c r="A15" s="19" t="s">
        <v>17</v>
      </c>
      <c r="B15" s="19" t="n">
        <v>1</v>
      </c>
      <c r="C15" s="19" t="n">
        <v>5</v>
      </c>
      <c r="D15" s="20" t="n">
        <v>37196</v>
      </c>
      <c r="E15" s="21" t="n">
        <v>325038</v>
      </c>
      <c r="F15" s="22" t="n">
        <v>1065</v>
      </c>
      <c r="G15" s="21" t="n">
        <f aca="false">E15-F15</f>
        <v>323973</v>
      </c>
      <c r="H15" s="23" t="n">
        <f aca="false">G15/(B$40*24*1500)</f>
        <v>0.299975</v>
      </c>
      <c r="I15" s="23" t="n">
        <v>0.853</v>
      </c>
      <c r="J15" s="21" t="n">
        <f aca="false">I15*(744)</f>
        <v>634.632</v>
      </c>
    </row>
    <row r="16" customFormat="false" ht="12.75" hidden="false" customHeight="false" outlineLevel="0" collapsed="false">
      <c r="A16" s="19" t="s">
        <v>17</v>
      </c>
      <c r="B16" s="19" t="n">
        <v>1</v>
      </c>
      <c r="C16" s="19" t="n">
        <v>6</v>
      </c>
      <c r="D16" s="20" t="n">
        <v>37196</v>
      </c>
      <c r="E16" s="21" t="n">
        <v>310123</v>
      </c>
      <c r="F16" s="22" t="n">
        <v>722</v>
      </c>
      <c r="G16" s="21" t="n">
        <f aca="false">E16-F16</f>
        <v>309401</v>
      </c>
      <c r="H16" s="23" t="n">
        <f aca="false">G16/(B$40*24*1500)</f>
        <v>0.286482407407407</v>
      </c>
      <c r="I16" s="23" t="n">
        <v>0.913</v>
      </c>
      <c r="J16" s="21" t="n">
        <f aca="false">I16*(744)</f>
        <v>679.272</v>
      </c>
    </row>
    <row r="17" customFormat="false" ht="12.75" hidden="false" customHeight="false" outlineLevel="0" collapsed="false">
      <c r="A17" s="19" t="s">
        <v>17</v>
      </c>
      <c r="B17" s="19" t="n">
        <v>1</v>
      </c>
      <c r="C17" s="19" t="n">
        <v>7</v>
      </c>
      <c r="D17" s="20" t="n">
        <v>37196</v>
      </c>
      <c r="E17" s="21" t="n">
        <v>197404</v>
      </c>
      <c r="F17" s="22" t="n">
        <v>1405</v>
      </c>
      <c r="G17" s="21" t="n">
        <f aca="false">E17-F17</f>
        <v>195999</v>
      </c>
      <c r="H17" s="23" t="n">
        <f aca="false">G17/(B$40*24*1500)</f>
        <v>0.181480555555556</v>
      </c>
      <c r="I17" s="23" t="n">
        <v>0.706</v>
      </c>
      <c r="J17" s="21" t="n">
        <f aca="false">I17*(744)</f>
        <v>525.264</v>
      </c>
    </row>
    <row r="18" customFormat="false" ht="12.75" hidden="false" customHeight="false" outlineLevel="0" collapsed="false">
      <c r="A18" s="19" t="s">
        <v>17</v>
      </c>
      <c r="B18" s="19" t="n">
        <v>1</v>
      </c>
      <c r="C18" s="19" t="n">
        <v>8</v>
      </c>
      <c r="D18" s="20" t="n">
        <v>37196</v>
      </c>
      <c r="E18" s="21" t="n">
        <v>309596</v>
      </c>
      <c r="F18" s="22" t="n">
        <v>808</v>
      </c>
      <c r="G18" s="21" t="n">
        <f aca="false">E18-F18</f>
        <v>308788</v>
      </c>
      <c r="H18" s="23" t="n">
        <f aca="false">G18/(B$40*24*1500)</f>
        <v>0.285914814814815</v>
      </c>
      <c r="I18" s="23" t="n">
        <v>0.996</v>
      </c>
      <c r="J18" s="21" t="n">
        <f aca="false">I18*(744)</f>
        <v>741.024</v>
      </c>
    </row>
    <row r="19" customFormat="false" ht="12.75" hidden="false" customHeight="false" outlineLevel="0" collapsed="false">
      <c r="A19" s="19" t="s">
        <v>17</v>
      </c>
      <c r="B19" s="19" t="n">
        <v>1</v>
      </c>
      <c r="C19" s="19" t="n">
        <v>9</v>
      </c>
      <c r="D19" s="20" t="n">
        <v>37196</v>
      </c>
      <c r="E19" s="21" t="n">
        <v>287294</v>
      </c>
      <c r="F19" s="22" t="n">
        <v>814</v>
      </c>
      <c r="G19" s="21" t="n">
        <f aca="false">E19-F19</f>
        <v>286480</v>
      </c>
      <c r="H19" s="23" t="n">
        <f aca="false">G19/(B$40*24*1500)</f>
        <v>0.265259259259259</v>
      </c>
      <c r="I19" s="23" t="n">
        <v>0.929</v>
      </c>
      <c r="J19" s="21" t="n">
        <f aca="false">I19*(744)</f>
        <v>691.176</v>
      </c>
    </row>
    <row r="20" customFormat="false" ht="12.75" hidden="false" customHeight="false" outlineLevel="0" collapsed="false">
      <c r="A20" s="19" t="s">
        <v>17</v>
      </c>
      <c r="B20" s="19" t="n">
        <v>1</v>
      </c>
      <c r="C20" s="19" t="n">
        <v>10</v>
      </c>
      <c r="D20" s="20" t="n">
        <v>37196</v>
      </c>
      <c r="E20" s="21" t="n">
        <v>237082</v>
      </c>
      <c r="F20" s="22" t="n">
        <v>793</v>
      </c>
      <c r="G20" s="21" t="n">
        <f aca="false">E20-F20</f>
        <v>236289</v>
      </c>
      <c r="H20" s="23" t="n">
        <f aca="false">G20/(B$40*24*1500)</f>
        <v>0.218786111111111</v>
      </c>
      <c r="I20" s="23" t="n">
        <v>0.83</v>
      </c>
      <c r="J20" s="21" t="n">
        <f aca="false">I20*(744)</f>
        <v>617.52</v>
      </c>
    </row>
    <row r="21" customFormat="false" ht="12.75" hidden="false" customHeight="false" outlineLevel="0" collapsed="false">
      <c r="A21" s="24"/>
      <c r="B21" s="25"/>
      <c r="C21" s="26" t="s">
        <v>18</v>
      </c>
      <c r="D21" s="20" t="s">
        <v>19</v>
      </c>
      <c r="E21" s="21" t="n">
        <f aca="false">SUM(E11:E20)</f>
        <v>2861181</v>
      </c>
      <c r="F21" s="21" t="n">
        <f aca="false">SUM(F11:F20)</f>
        <v>7914</v>
      </c>
      <c r="G21" s="21" t="n">
        <f aca="false">SUM(G11:G20)</f>
        <v>2853267</v>
      </c>
      <c r="H21" s="23" t="n">
        <f aca="false">AVERAGE(H11:H20)</f>
        <v>0.264191388888889</v>
      </c>
      <c r="I21" s="23" t="n">
        <f aca="false">AVERAGE(I11:I20)</f>
        <v>0.8732</v>
      </c>
      <c r="J21" s="21" t="n">
        <f aca="false">SUM(J11:J20)</f>
        <v>6496.608</v>
      </c>
    </row>
    <row r="22" customFormat="false" ht="14.25" hidden="false" customHeight="false" outlineLevel="0" collapsed="false">
      <c r="A22" s="24"/>
      <c r="B22" s="25"/>
      <c r="C22" s="26" t="s">
        <v>20</v>
      </c>
      <c r="D22" s="20" t="s">
        <v>19</v>
      </c>
      <c r="E22" s="27" t="n">
        <f aca="false">E21*(0.02)</f>
        <v>57223.62</v>
      </c>
      <c r="F22" s="27" t="n">
        <f aca="false">F21*(0.02)</f>
        <v>158.28</v>
      </c>
      <c r="G22" s="27" t="n">
        <f aca="false">G21*(0.02)</f>
        <v>57065.34</v>
      </c>
      <c r="H22" s="28" t="s">
        <v>21</v>
      </c>
      <c r="I22" s="29" t="s">
        <v>21</v>
      </c>
      <c r="J22" s="28" t="s">
        <v>21</v>
      </c>
    </row>
    <row r="23" customFormat="false" ht="12.75" hidden="false" customHeight="false" outlineLevel="0" collapsed="false">
      <c r="A23" s="24"/>
      <c r="B23" s="25"/>
      <c r="C23" s="26" t="s">
        <v>22</v>
      </c>
      <c r="D23" s="20" t="s">
        <v>19</v>
      </c>
      <c r="E23" s="27" t="n">
        <f aca="false">E21-E22</f>
        <v>2803957.38</v>
      </c>
      <c r="F23" s="27" t="n">
        <f aca="false">F21-F22</f>
        <v>7755.72</v>
      </c>
      <c r="G23" s="27" t="n">
        <f aca="false">G21-G22</f>
        <v>2796201.66</v>
      </c>
      <c r="H23" s="23" t="n">
        <f aca="false">G23/(1500*24*B40*COUNT(H11:H20))</f>
        <v>0.258907561111111</v>
      </c>
      <c r="I23" s="23" t="n">
        <f aca="false">I21</f>
        <v>0.8732</v>
      </c>
      <c r="J23" s="21" t="n">
        <f aca="false">J21</f>
        <v>6496.608</v>
      </c>
    </row>
    <row r="24" customFormat="false" ht="12.75" hidden="false" customHeight="false" outlineLevel="0" collapsed="false">
      <c r="A24" s="24"/>
      <c r="B24" s="25"/>
      <c r="C24" s="26" t="s">
        <v>22</v>
      </c>
      <c r="D24" s="30" t="s">
        <v>23</v>
      </c>
      <c r="E24" s="27" t="n">
        <f aca="false">E23+'1001'!E24</f>
        <v>4140347.12</v>
      </c>
      <c r="F24" s="27" t="n">
        <f aca="false">F23+'1001'!F24</f>
        <v>11571.84</v>
      </c>
      <c r="G24" s="27" t="n">
        <f aca="false">G23+'1001'!G24</f>
        <v>4128775.28</v>
      </c>
      <c r="H24" s="31" t="n">
        <f aca="false">AVERAGE(H23,'1001'!H23)</f>
        <v>0.189156899731183</v>
      </c>
      <c r="I24" s="31" t="n">
        <f aca="false">AVERAGE(I23,'1001'!I23)</f>
        <v>0.887125</v>
      </c>
      <c r="J24" s="27" t="n">
        <f aca="false">J23+'1001'!J24</f>
        <v>13200.42</v>
      </c>
    </row>
    <row r="25" customFormat="false" ht="12.75" hidden="false" customHeight="false" outlineLevel="0" collapsed="false">
      <c r="D25" s="32"/>
      <c r="E25" s="3"/>
      <c r="F25" s="3"/>
      <c r="G25" s="3"/>
      <c r="H25" s="3"/>
      <c r="I25" s="33"/>
      <c r="J25" s="3"/>
    </row>
    <row r="26" customFormat="false" ht="12.75" hidden="false" customHeight="false" outlineLevel="0" collapsed="false">
      <c r="A26" s="0" t="s">
        <v>24</v>
      </c>
      <c r="D26" s="32"/>
      <c r="E26" s="3"/>
      <c r="F26" s="3"/>
      <c r="G26" s="3"/>
      <c r="H26" s="3"/>
      <c r="I26" s="33"/>
    </row>
    <row r="27" customFormat="false" ht="12.75" hidden="false" customHeight="false" outlineLevel="0" collapsed="false">
      <c r="A27" s="0" t="s">
        <v>25</v>
      </c>
      <c r="D27" s="32"/>
      <c r="E27" s="3"/>
      <c r="F27" s="3"/>
      <c r="G27" s="3"/>
      <c r="H27" s="3"/>
      <c r="I27" s="33"/>
      <c r="J27" s="3"/>
    </row>
    <row r="28" customFormat="false" ht="12.75" hidden="false" customHeight="false" outlineLevel="0" collapsed="false">
      <c r="A28" s="0" t="s">
        <v>26</v>
      </c>
      <c r="D28" s="1"/>
      <c r="G28" s="3"/>
      <c r="H28" s="3"/>
      <c r="I28" s="33"/>
      <c r="J28" s="3"/>
    </row>
    <row r="29" customFormat="false" ht="12.75" hidden="false" customHeight="false" outlineLevel="0" collapsed="false">
      <c r="D29" s="1"/>
      <c r="G29" s="3"/>
      <c r="H29" s="3"/>
      <c r="I29" s="33"/>
      <c r="J29" s="3"/>
    </row>
    <row r="30" customFormat="false" ht="12.75" hidden="false" customHeight="false" outlineLevel="0" collapsed="false">
      <c r="D30" s="1"/>
      <c r="E30" s="3"/>
      <c r="F30" s="3"/>
      <c r="G30" s="3"/>
      <c r="H30" s="3"/>
      <c r="J30" s="3"/>
    </row>
    <row r="31" customFormat="false" ht="18" hidden="false" customHeight="false" outlineLevel="0" collapsed="false">
      <c r="A31" s="4" t="s">
        <v>27</v>
      </c>
      <c r="D31" s="1"/>
      <c r="G31" s="3"/>
      <c r="H31" s="3"/>
      <c r="J31" s="3"/>
    </row>
    <row r="32" customFormat="false" ht="25.5" hidden="false" customHeight="false" outlineLevel="0" collapsed="false">
      <c r="A32" s="34" t="s">
        <v>28</v>
      </c>
      <c r="B32" s="34" t="s">
        <v>29</v>
      </c>
      <c r="C32" s="34" t="s">
        <v>30</v>
      </c>
      <c r="D32" s="35" t="s">
        <v>31</v>
      </c>
      <c r="E32" s="36"/>
      <c r="F32" s="36"/>
      <c r="G32" s="38" t="s">
        <v>39</v>
      </c>
      <c r="H32" s="38" t="s">
        <v>32</v>
      </c>
      <c r="I32" s="39" t="s">
        <v>37</v>
      </c>
      <c r="J32" s="3"/>
    </row>
    <row r="33" customFormat="false" ht="12.75" hidden="false" customHeight="false" outlineLevel="0" collapsed="false">
      <c r="A33" s="19" t="n">
        <v>10</v>
      </c>
      <c r="B33" s="48" t="n">
        <v>37203</v>
      </c>
      <c r="C33" s="48" t="n">
        <v>37203</v>
      </c>
      <c r="D33" s="40" t="s">
        <v>40</v>
      </c>
      <c r="E33" s="24"/>
      <c r="F33" s="25"/>
      <c r="G33" s="41" t="n">
        <v>6</v>
      </c>
      <c r="H33" s="19" t="n">
        <f aca="false">G33*A33</f>
        <v>60</v>
      </c>
      <c r="I33" s="31"/>
    </row>
    <row r="34" customFormat="false" ht="12.75" hidden="false" customHeight="false" outlineLevel="0" collapsed="false">
      <c r="A34" s="19" t="n">
        <v>10</v>
      </c>
      <c r="B34" s="48" t="n">
        <v>37221</v>
      </c>
      <c r="C34" s="48" t="n">
        <v>37221</v>
      </c>
      <c r="D34" s="49" t="s">
        <v>40</v>
      </c>
      <c r="E34" s="25"/>
      <c r="F34" s="25"/>
      <c r="G34" s="41" t="n">
        <v>6.5</v>
      </c>
      <c r="H34" s="19" t="n">
        <f aca="false">G34*A34</f>
        <v>65</v>
      </c>
      <c r="I34" s="19"/>
    </row>
    <row r="35" customFormat="false" ht="12.75" hidden="false" customHeight="false" outlineLevel="0" collapsed="false">
      <c r="A35" s="19" t="n">
        <v>10</v>
      </c>
      <c r="B35" s="48" t="n">
        <v>37221</v>
      </c>
      <c r="C35" s="48" t="n">
        <v>37221</v>
      </c>
      <c r="D35" s="49" t="s">
        <v>41</v>
      </c>
      <c r="E35" s="25"/>
      <c r="F35" s="25"/>
      <c r="G35" s="41" t="n">
        <v>0.5</v>
      </c>
      <c r="H35" s="19" t="n">
        <f aca="false">G35*A35</f>
        <v>5</v>
      </c>
      <c r="I35" s="19"/>
    </row>
    <row r="36" customFormat="false" ht="12.75" hidden="false" customHeight="false" outlineLevel="0" collapsed="false">
      <c r="A36" s="19"/>
      <c r="B36" s="19"/>
      <c r="C36" s="19"/>
      <c r="D36" s="42"/>
      <c r="E36" s="25"/>
      <c r="F36" s="25"/>
      <c r="G36" s="41"/>
      <c r="H36" s="19" t="n">
        <f aca="false">G36*A36</f>
        <v>0</v>
      </c>
      <c r="I36" s="19"/>
    </row>
    <row r="37" customFormat="false" ht="12.75" hidden="false" customHeight="false" outlineLevel="0" collapsed="false">
      <c r="A37" s="19"/>
      <c r="B37" s="19"/>
      <c r="C37" s="19"/>
      <c r="D37" s="42"/>
      <c r="E37" s="25"/>
      <c r="F37" s="25"/>
      <c r="G37" s="41"/>
      <c r="H37" s="19" t="n">
        <f aca="false">G37*A37</f>
        <v>0</v>
      </c>
      <c r="I37" s="19"/>
    </row>
    <row r="38" customFormat="false" ht="12.75" hidden="false" customHeight="false" outlineLevel="0" collapsed="false">
      <c r="A38" s="19"/>
      <c r="B38" s="19"/>
      <c r="C38" s="19"/>
      <c r="D38" s="42"/>
      <c r="E38" s="25"/>
      <c r="F38" s="25"/>
      <c r="G38" s="41"/>
      <c r="H38" s="19" t="n">
        <f aca="false">G38*A38</f>
        <v>0</v>
      </c>
      <c r="I38" s="19"/>
    </row>
    <row r="39" customFormat="false" ht="12.75" hidden="false" customHeight="false" outlineLevel="0" collapsed="false">
      <c r="A39" s="19"/>
      <c r="B39" s="19"/>
      <c r="C39" s="19"/>
      <c r="D39" s="42"/>
      <c r="E39" s="25"/>
      <c r="F39" s="25"/>
      <c r="G39" s="41"/>
      <c r="H39" s="19" t="n">
        <f aca="false">G39*A39</f>
        <v>0</v>
      </c>
      <c r="I39" s="19"/>
    </row>
    <row r="40" customFormat="false" ht="12.75" hidden="false" customHeight="false" outlineLevel="0" collapsed="false">
      <c r="A40" s="19" t="s">
        <v>35</v>
      </c>
      <c r="B40" s="19" t="n">
        <v>30</v>
      </c>
      <c r="D40" s="1"/>
      <c r="G40" s="47" t="s">
        <v>36</v>
      </c>
      <c r="H40" s="19" t="n">
        <f aca="false">SUM(H33:H39)</f>
        <v>130</v>
      </c>
      <c r="I40" s="31" t="n">
        <f aca="false">1-(H40/(B40*24*COUNT(C11:C20)))</f>
        <v>0.981944444444444</v>
      </c>
    </row>
    <row r="41" customFormat="false" ht="12.75" hidden="false" customHeight="false" outlineLevel="0" collapsed="false">
      <c r="D41" s="1"/>
      <c r="H41" s="47"/>
      <c r="I41" s="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4" activeCellId="0" sqref="E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1" style="0" width="12.99"/>
    <col collapsed="false" customWidth="true" hidden="false" outlineLevel="0" max="6" min="4" style="0" width="16.7"/>
    <col collapsed="false" customWidth="true" hidden="false" outlineLevel="0" max="7" min="7" style="0" width="18.7"/>
    <col collapsed="false" customWidth="true" hidden="false" outlineLevel="0" max="10" min="8" style="0" width="16.7"/>
  </cols>
  <sheetData>
    <row r="1" customFormat="false" ht="30" hidden="false" customHeight="false" outlineLevel="0" collapsed="false">
      <c r="A1" s="2" t="s">
        <v>42</v>
      </c>
      <c r="D1" s="1"/>
      <c r="J1" s="3"/>
    </row>
    <row r="2" customFormat="false" ht="12.75" hidden="false" customHeight="false" outlineLevel="0" collapsed="false">
      <c r="D2" s="1"/>
      <c r="J2" s="3"/>
    </row>
    <row r="3" customFormat="false" ht="12.75" hidden="false" customHeight="false" outlineLevel="0" collapsed="false">
      <c r="A3" s="0" t="s">
        <v>1</v>
      </c>
      <c r="D3" s="1"/>
      <c r="J3" s="3"/>
    </row>
    <row r="4" customFormat="false" ht="12.75" hidden="false" customHeight="false" outlineLevel="0" collapsed="false">
      <c r="A4" s="0" t="s">
        <v>2</v>
      </c>
      <c r="D4" s="1"/>
      <c r="J4" s="3"/>
    </row>
    <row r="5" customFormat="false" ht="12.75" hidden="false" customHeight="false" outlineLevel="0" collapsed="false">
      <c r="A5" s="0" t="s">
        <v>3</v>
      </c>
      <c r="D5" s="1"/>
      <c r="J5" s="3"/>
    </row>
    <row r="6" customFormat="false" ht="12.75" hidden="false" customHeight="false" outlineLevel="0" collapsed="false">
      <c r="A6" s="0" t="s">
        <v>4</v>
      </c>
      <c r="D6" s="1"/>
      <c r="J6" s="3"/>
    </row>
    <row r="7" customFormat="false" ht="12.75" hidden="false" customHeight="false" outlineLevel="0" collapsed="false">
      <c r="D7" s="1"/>
      <c r="J7" s="3"/>
    </row>
    <row r="8" customFormat="false" ht="18" hidden="false" customHeight="false" outlineLevel="0" collapsed="false">
      <c r="A8" s="4" t="s">
        <v>5</v>
      </c>
      <c r="D8" s="1"/>
      <c r="J8" s="3"/>
    </row>
    <row r="9" customFormat="false" ht="12.75" hidden="false" customHeight="false" outlineLevel="0" collapsed="false">
      <c r="A9" s="5"/>
      <c r="B9" s="5"/>
      <c r="C9" s="5"/>
      <c r="D9" s="6"/>
      <c r="E9" s="7" t="s">
        <v>6</v>
      </c>
      <c r="F9" s="8"/>
      <c r="G9" s="9" t="s">
        <v>6</v>
      </c>
      <c r="H9" s="10"/>
      <c r="I9" s="11"/>
      <c r="J9" s="12"/>
    </row>
    <row r="10" customFormat="false" ht="14.25" hidden="false" customHeight="false" outlineLevel="0" collapsed="false">
      <c r="A10" s="13" t="s">
        <v>7</v>
      </c>
      <c r="B10" s="13" t="s">
        <v>8</v>
      </c>
      <c r="C10" s="13" t="s">
        <v>9</v>
      </c>
      <c r="D10" s="13" t="s">
        <v>10</v>
      </c>
      <c r="E10" s="14" t="s">
        <v>11</v>
      </c>
      <c r="F10" s="15" t="s">
        <v>12</v>
      </c>
      <c r="G10" s="16" t="s">
        <v>13</v>
      </c>
      <c r="H10" s="16" t="s">
        <v>14</v>
      </c>
      <c r="I10" s="17" t="s">
        <v>15</v>
      </c>
      <c r="J10" s="18" t="s">
        <v>16</v>
      </c>
    </row>
    <row r="11" customFormat="false" ht="12.75" hidden="false" customHeight="false" outlineLevel="0" collapsed="false">
      <c r="A11" s="19" t="s">
        <v>17</v>
      </c>
      <c r="B11" s="19" t="n">
        <v>1</v>
      </c>
      <c r="C11" s="19" t="n">
        <v>1</v>
      </c>
      <c r="D11" s="20" t="n">
        <v>37226</v>
      </c>
      <c r="E11" s="21" t="n">
        <v>324439</v>
      </c>
      <c r="F11" s="22" t="n">
        <v>854</v>
      </c>
      <c r="G11" s="21" t="n">
        <f aca="false">E11-F11</f>
        <v>323585</v>
      </c>
      <c r="H11" s="23" t="n">
        <f aca="false">G11/(B$40*24*1500)</f>
        <v>0.289950716845878</v>
      </c>
      <c r="I11" s="23" t="n">
        <v>0.794</v>
      </c>
      <c r="J11" s="21" t="n">
        <f aca="false">I11*(744)</f>
        <v>590.736</v>
      </c>
    </row>
    <row r="12" customFormat="false" ht="12.75" hidden="false" customHeight="false" outlineLevel="0" collapsed="false">
      <c r="A12" s="19" t="s">
        <v>17</v>
      </c>
      <c r="B12" s="19" t="n">
        <v>1</v>
      </c>
      <c r="C12" s="19" t="n">
        <v>2</v>
      </c>
      <c r="D12" s="20" t="n">
        <v>37226</v>
      </c>
      <c r="E12" s="21" t="n">
        <v>136018</v>
      </c>
      <c r="F12" s="22" t="n">
        <v>1112</v>
      </c>
      <c r="G12" s="21" t="n">
        <f aca="false">E12-F12</f>
        <v>134906</v>
      </c>
      <c r="H12" s="23" t="n">
        <f aca="false">G12/(B$40*24*1500)</f>
        <v>0.120883512544803</v>
      </c>
      <c r="I12" s="23" t="n">
        <v>0.955</v>
      </c>
      <c r="J12" s="21" t="n">
        <f aca="false">I12*(744)</f>
        <v>710.52</v>
      </c>
    </row>
    <row r="13" customFormat="false" ht="12.75" hidden="false" customHeight="false" outlineLevel="0" collapsed="false">
      <c r="A13" s="19" t="s">
        <v>17</v>
      </c>
      <c r="B13" s="19" t="n">
        <v>1</v>
      </c>
      <c r="C13" s="19" t="n">
        <v>3</v>
      </c>
      <c r="D13" s="20" t="n">
        <v>37226</v>
      </c>
      <c r="E13" s="21" t="n">
        <v>369856</v>
      </c>
      <c r="F13" s="22" t="n">
        <v>222</v>
      </c>
      <c r="G13" s="21" t="n">
        <f aca="false">E13-F13</f>
        <v>369634</v>
      </c>
      <c r="H13" s="23" t="n">
        <f aca="false">G13/(B$40*24*1500)</f>
        <v>0.331213261648746</v>
      </c>
      <c r="I13" s="23" t="n">
        <v>0.966</v>
      </c>
      <c r="J13" s="21" t="n">
        <f aca="false">I13*(744)</f>
        <v>718.704</v>
      </c>
    </row>
    <row r="14" customFormat="false" ht="12.75" hidden="false" customHeight="false" outlineLevel="0" collapsed="false">
      <c r="A14" s="19" t="s">
        <v>17</v>
      </c>
      <c r="B14" s="19" t="n">
        <v>1</v>
      </c>
      <c r="C14" s="19" t="n">
        <v>4</v>
      </c>
      <c r="D14" s="20" t="n">
        <v>37226</v>
      </c>
      <c r="E14" s="21" t="n">
        <v>459203</v>
      </c>
      <c r="F14" s="22" t="n">
        <v>470</v>
      </c>
      <c r="G14" s="21" t="n">
        <f aca="false">E14-F14</f>
        <v>458733</v>
      </c>
      <c r="H14" s="23" t="n">
        <f aca="false">G14/(B$40*24*1500)</f>
        <v>0.411051075268817</v>
      </c>
      <c r="I14" s="23" t="n">
        <v>0.963</v>
      </c>
      <c r="J14" s="21" t="n">
        <f aca="false">I14*(744)</f>
        <v>716.472</v>
      </c>
    </row>
    <row r="15" customFormat="false" ht="12.75" hidden="false" customHeight="false" outlineLevel="0" collapsed="false">
      <c r="A15" s="19" t="s">
        <v>17</v>
      </c>
      <c r="B15" s="19" t="n">
        <v>1</v>
      </c>
      <c r="C15" s="19" t="n">
        <v>5</v>
      </c>
      <c r="D15" s="20" t="n">
        <v>37226</v>
      </c>
      <c r="E15" s="21" t="n">
        <v>461542</v>
      </c>
      <c r="F15" s="22" t="n">
        <v>819</v>
      </c>
      <c r="G15" s="21" t="n">
        <f aca="false">E15-F15</f>
        <v>460723</v>
      </c>
      <c r="H15" s="23" t="n">
        <f aca="false">G15/(B$40*24*1500)</f>
        <v>0.412834229390681</v>
      </c>
      <c r="I15" s="23" t="n">
        <v>0.928</v>
      </c>
      <c r="J15" s="21" t="n">
        <f aca="false">I15*(744)</f>
        <v>690.432</v>
      </c>
    </row>
    <row r="16" customFormat="false" ht="12.75" hidden="false" customHeight="false" outlineLevel="0" collapsed="false">
      <c r="A16" s="19" t="s">
        <v>17</v>
      </c>
      <c r="B16" s="19" t="n">
        <v>1</v>
      </c>
      <c r="C16" s="19" t="n">
        <v>6</v>
      </c>
      <c r="D16" s="20" t="n">
        <v>37226</v>
      </c>
      <c r="E16" s="21" t="n">
        <v>461014</v>
      </c>
      <c r="F16" s="22" t="n">
        <v>306</v>
      </c>
      <c r="G16" s="21" t="n">
        <f aca="false">E16-F16</f>
        <v>460708</v>
      </c>
      <c r="H16" s="23" t="n">
        <f aca="false">G16/(B$40*24*1500)</f>
        <v>0.412820788530466</v>
      </c>
      <c r="I16" s="23" t="n">
        <v>0.985</v>
      </c>
      <c r="J16" s="21" t="n">
        <f aca="false">I16*(744)</f>
        <v>732.84</v>
      </c>
    </row>
    <row r="17" customFormat="false" ht="12.75" hidden="false" customHeight="false" outlineLevel="0" collapsed="false">
      <c r="A17" s="19" t="s">
        <v>17</v>
      </c>
      <c r="B17" s="19" t="n">
        <v>1</v>
      </c>
      <c r="C17" s="19" t="n">
        <v>7</v>
      </c>
      <c r="D17" s="20" t="n">
        <v>37226</v>
      </c>
      <c r="E17" s="21" t="n">
        <v>129466</v>
      </c>
      <c r="F17" s="22" t="n">
        <v>2419</v>
      </c>
      <c r="G17" s="21" t="n">
        <f aca="false">E17-F17</f>
        <v>127047</v>
      </c>
      <c r="H17" s="23" t="n">
        <f aca="false">G17/(B$40*24*1500)</f>
        <v>0.113841397849462</v>
      </c>
      <c r="I17" s="23" t="n">
        <v>0.466</v>
      </c>
      <c r="J17" s="21" t="n">
        <f aca="false">I17*(744)</f>
        <v>346.704</v>
      </c>
    </row>
    <row r="18" customFormat="false" ht="12.75" hidden="false" customHeight="false" outlineLevel="0" collapsed="false">
      <c r="A18" s="19" t="s">
        <v>17</v>
      </c>
      <c r="B18" s="19" t="n">
        <v>1</v>
      </c>
      <c r="C18" s="19" t="n">
        <v>8</v>
      </c>
      <c r="D18" s="20" t="n">
        <v>37226</v>
      </c>
      <c r="E18" s="21" t="n">
        <v>399723</v>
      </c>
      <c r="F18" s="22" t="n">
        <v>754</v>
      </c>
      <c r="G18" s="21" t="n">
        <f aca="false">E18-F18</f>
        <v>398969</v>
      </c>
      <c r="H18" s="23" t="n">
        <f aca="false">G18/(B$40*24*1500)</f>
        <v>0.357499103942652</v>
      </c>
      <c r="I18" s="23" t="n">
        <v>0.858</v>
      </c>
      <c r="J18" s="21" t="n">
        <f aca="false">I18*(744)</f>
        <v>638.352</v>
      </c>
    </row>
    <row r="19" customFormat="false" ht="12.75" hidden="false" customHeight="false" outlineLevel="0" collapsed="false">
      <c r="A19" s="19" t="s">
        <v>17</v>
      </c>
      <c r="B19" s="19" t="n">
        <v>1</v>
      </c>
      <c r="C19" s="19" t="n">
        <v>9</v>
      </c>
      <c r="D19" s="20" t="n">
        <v>37226</v>
      </c>
      <c r="E19" s="21" t="n">
        <v>491056</v>
      </c>
      <c r="F19" s="22" t="n">
        <v>332</v>
      </c>
      <c r="G19" s="21" t="n">
        <f aca="false">E19-F19</f>
        <v>490724</v>
      </c>
      <c r="H19" s="23" t="n">
        <f aca="false">G19/(B$40*24*1500)</f>
        <v>0.439716845878136</v>
      </c>
      <c r="I19" s="23" t="n">
        <v>0.982</v>
      </c>
      <c r="J19" s="21" t="n">
        <f aca="false">I19*(744)</f>
        <v>730.608</v>
      </c>
    </row>
    <row r="20" customFormat="false" ht="12.75" hidden="false" customHeight="false" outlineLevel="0" collapsed="false">
      <c r="A20" s="19" t="s">
        <v>17</v>
      </c>
      <c r="B20" s="19" t="n">
        <v>1</v>
      </c>
      <c r="C20" s="19" t="n">
        <v>10</v>
      </c>
      <c r="D20" s="20" t="n">
        <v>37226</v>
      </c>
      <c r="E20" s="21" t="n">
        <v>322212</v>
      </c>
      <c r="F20" s="22" t="n">
        <v>1241</v>
      </c>
      <c r="G20" s="21" t="n">
        <f aca="false">E20-F20</f>
        <v>320971</v>
      </c>
      <c r="H20" s="23" t="n">
        <f aca="false">G20/(B$40*24*1500)</f>
        <v>0.287608422939068</v>
      </c>
      <c r="I20" s="23" t="n">
        <v>0.692</v>
      </c>
      <c r="J20" s="21" t="n">
        <f aca="false">I20*(744)</f>
        <v>514.848</v>
      </c>
    </row>
    <row r="21" customFormat="false" ht="12.75" hidden="false" customHeight="false" outlineLevel="0" collapsed="false">
      <c r="A21" s="24"/>
      <c r="B21" s="25"/>
      <c r="C21" s="26" t="s">
        <v>18</v>
      </c>
      <c r="D21" s="20" t="s">
        <v>19</v>
      </c>
      <c r="E21" s="21" t="n">
        <f aca="false">SUM(E11:E20)</f>
        <v>3554529</v>
      </c>
      <c r="F21" s="21" t="n">
        <f aca="false">SUM(F11:F20)</f>
        <v>8529</v>
      </c>
      <c r="G21" s="21" t="n">
        <f aca="false">SUM(G11:G20)</f>
        <v>3546000</v>
      </c>
      <c r="H21" s="23" t="n">
        <f aca="false">AVERAGE(H11:H20)</f>
        <v>0.317741935483871</v>
      </c>
      <c r="I21" s="23" t="n">
        <f aca="false">AVERAGE(I11:I20)</f>
        <v>0.8589</v>
      </c>
      <c r="J21" s="21" t="n">
        <f aca="false">SUM(J11:J20)</f>
        <v>6390.216</v>
      </c>
    </row>
    <row r="22" customFormat="false" ht="14.25" hidden="false" customHeight="false" outlineLevel="0" collapsed="false">
      <c r="A22" s="24"/>
      <c r="B22" s="25"/>
      <c r="C22" s="26" t="s">
        <v>20</v>
      </c>
      <c r="D22" s="20" t="s">
        <v>19</v>
      </c>
      <c r="E22" s="27" t="n">
        <f aca="false">E21*(0.02)</f>
        <v>71090.58</v>
      </c>
      <c r="F22" s="27" t="n">
        <f aca="false">F21*(0.02)</f>
        <v>170.58</v>
      </c>
      <c r="G22" s="27" t="n">
        <f aca="false">G21*(0.02)</f>
        <v>70920</v>
      </c>
      <c r="H22" s="28" t="s">
        <v>21</v>
      </c>
      <c r="I22" s="29" t="s">
        <v>21</v>
      </c>
      <c r="J22" s="28" t="s">
        <v>21</v>
      </c>
    </row>
    <row r="23" customFormat="false" ht="12.75" hidden="false" customHeight="false" outlineLevel="0" collapsed="false">
      <c r="A23" s="24"/>
      <c r="B23" s="25"/>
      <c r="C23" s="26" t="s">
        <v>22</v>
      </c>
      <c r="D23" s="20" t="s">
        <v>19</v>
      </c>
      <c r="E23" s="27" t="n">
        <f aca="false">E21-E22</f>
        <v>3483438.42</v>
      </c>
      <c r="F23" s="27" t="n">
        <f aca="false">F21-F22</f>
        <v>8358.42</v>
      </c>
      <c r="G23" s="27" t="n">
        <f aca="false">G21-G22</f>
        <v>3475080</v>
      </c>
      <c r="H23" s="23" t="n">
        <f aca="false">G23/(1500*24*B40*COUNT(H11:H20))</f>
        <v>0.311387096774194</v>
      </c>
      <c r="I23" s="23" t="n">
        <f aca="false">I21</f>
        <v>0.8589</v>
      </c>
      <c r="J23" s="21" t="n">
        <f aca="false">J21</f>
        <v>6390.216</v>
      </c>
    </row>
    <row r="24" customFormat="false" ht="12.75" hidden="false" customHeight="false" outlineLevel="0" collapsed="false">
      <c r="A24" s="24"/>
      <c r="B24" s="25"/>
      <c r="C24" s="26" t="s">
        <v>22</v>
      </c>
      <c r="D24" s="30" t="s">
        <v>23</v>
      </c>
      <c r="E24" s="27" t="n">
        <f aca="false">E23+'1101'!E24</f>
        <v>7623785.54</v>
      </c>
      <c r="F24" s="27" t="n">
        <f aca="false">F23+'1101'!F24</f>
        <v>19930.26</v>
      </c>
      <c r="G24" s="27" t="n">
        <f aca="false">G23+'1101'!G24</f>
        <v>7603855.28</v>
      </c>
      <c r="H24" s="31" t="n">
        <f aca="false">AVERAGE(H23,'1001'!H23,'1101'!H23)</f>
        <v>0.22990029874552</v>
      </c>
      <c r="I24" s="31" t="n">
        <f aca="false">AVERAGE(I23,'1001'!I23,'1101'!I23)</f>
        <v>0.877716666666667</v>
      </c>
      <c r="J24" s="27" t="n">
        <f aca="false">J23+'1101'!J24</f>
        <v>19590.636</v>
      </c>
    </row>
    <row r="25" customFormat="false" ht="12.75" hidden="false" customHeight="false" outlineLevel="0" collapsed="false">
      <c r="D25" s="32"/>
      <c r="E25" s="3"/>
      <c r="F25" s="3"/>
      <c r="G25" s="3"/>
      <c r="H25" s="3"/>
      <c r="I25" s="33"/>
      <c r="J25" s="3"/>
    </row>
    <row r="26" customFormat="false" ht="12.75" hidden="false" customHeight="false" outlineLevel="0" collapsed="false">
      <c r="A26" s="0" t="s">
        <v>24</v>
      </c>
      <c r="D26" s="32"/>
      <c r="E26" s="3"/>
      <c r="F26" s="3"/>
      <c r="G26" s="3"/>
      <c r="H26" s="3"/>
      <c r="I26" s="33"/>
    </row>
    <row r="27" customFormat="false" ht="12.75" hidden="false" customHeight="false" outlineLevel="0" collapsed="false">
      <c r="A27" s="0" t="s">
        <v>25</v>
      </c>
      <c r="D27" s="32"/>
      <c r="E27" s="3"/>
      <c r="F27" s="3"/>
      <c r="G27" s="3"/>
      <c r="H27" s="3"/>
      <c r="I27" s="33"/>
      <c r="J27" s="3"/>
    </row>
    <row r="28" customFormat="false" ht="12.75" hidden="false" customHeight="false" outlineLevel="0" collapsed="false">
      <c r="A28" s="0" t="s">
        <v>26</v>
      </c>
      <c r="D28" s="1"/>
      <c r="G28" s="3"/>
      <c r="H28" s="3"/>
      <c r="I28" s="33"/>
      <c r="J28" s="3"/>
    </row>
    <row r="29" customFormat="false" ht="12.75" hidden="false" customHeight="false" outlineLevel="0" collapsed="false">
      <c r="D29" s="1"/>
      <c r="G29" s="3"/>
      <c r="H29" s="3"/>
      <c r="I29" s="33"/>
      <c r="J29" s="3"/>
    </row>
    <row r="30" customFormat="false" ht="12.75" hidden="false" customHeight="false" outlineLevel="0" collapsed="false">
      <c r="D30" s="1"/>
      <c r="E30" s="3"/>
      <c r="F30" s="3"/>
      <c r="G30" s="3"/>
      <c r="H30" s="3"/>
      <c r="J30" s="3"/>
    </row>
    <row r="31" customFormat="false" ht="18" hidden="false" customHeight="false" outlineLevel="0" collapsed="false">
      <c r="A31" s="4" t="s">
        <v>27</v>
      </c>
      <c r="D31" s="1"/>
      <c r="G31" s="3"/>
      <c r="H31" s="3"/>
      <c r="J31" s="3"/>
    </row>
    <row r="32" customFormat="false" ht="25.5" hidden="false" customHeight="false" outlineLevel="0" collapsed="false">
      <c r="A32" s="34" t="s">
        <v>28</v>
      </c>
      <c r="B32" s="34" t="s">
        <v>29</v>
      </c>
      <c r="C32" s="34" t="s">
        <v>30</v>
      </c>
      <c r="D32" s="35" t="s">
        <v>31</v>
      </c>
      <c r="E32" s="36"/>
      <c r="F32" s="36"/>
      <c r="G32" s="38" t="s">
        <v>39</v>
      </c>
      <c r="H32" s="38" t="s">
        <v>32</v>
      </c>
      <c r="I32" s="39" t="s">
        <v>37</v>
      </c>
      <c r="J32" s="3"/>
    </row>
    <row r="33" customFormat="false" ht="12.75" hidden="false" customHeight="false" outlineLevel="0" collapsed="false">
      <c r="A33" s="19" t="n">
        <v>10</v>
      </c>
      <c r="B33" s="48" t="n">
        <v>37240</v>
      </c>
      <c r="C33" s="48" t="n">
        <v>37240</v>
      </c>
      <c r="D33" s="40" t="s">
        <v>43</v>
      </c>
      <c r="E33" s="24"/>
      <c r="F33" s="25"/>
      <c r="G33" s="41" t="n">
        <v>5.75</v>
      </c>
      <c r="H33" s="19" t="n">
        <f aca="false">G33*A33</f>
        <v>57.5</v>
      </c>
      <c r="I33" s="31"/>
    </row>
    <row r="34" customFormat="false" ht="12.75" hidden="false" customHeight="false" outlineLevel="0" collapsed="false">
      <c r="A34" s="19" t="n">
        <v>10</v>
      </c>
      <c r="B34" s="48" t="n">
        <v>37243</v>
      </c>
      <c r="C34" s="48" t="n">
        <v>37243</v>
      </c>
      <c r="D34" s="49" t="s">
        <v>44</v>
      </c>
      <c r="E34" s="25"/>
      <c r="F34" s="25"/>
      <c r="G34" s="41" t="n">
        <v>11.25</v>
      </c>
      <c r="H34" s="19" t="n">
        <f aca="false">G34*A34</f>
        <v>112.5</v>
      </c>
      <c r="I34" s="19"/>
    </row>
    <row r="35" customFormat="false" ht="12.75" hidden="false" customHeight="false" outlineLevel="0" collapsed="false">
      <c r="A35" s="19" t="n">
        <v>10</v>
      </c>
      <c r="B35" s="48" t="n">
        <v>37243</v>
      </c>
      <c r="C35" s="48" t="n">
        <v>37243</v>
      </c>
      <c r="D35" s="49" t="s">
        <v>45</v>
      </c>
      <c r="E35" s="25"/>
      <c r="F35" s="25"/>
      <c r="G35" s="41" t="n">
        <v>0.25</v>
      </c>
      <c r="H35" s="19" t="n">
        <f aca="false">G35*A35</f>
        <v>2.5</v>
      </c>
      <c r="I35" s="19"/>
    </row>
    <row r="36" customFormat="false" ht="12.75" hidden="false" customHeight="false" outlineLevel="0" collapsed="false">
      <c r="A36" s="19" t="n">
        <v>10</v>
      </c>
      <c r="B36" s="48" t="n">
        <v>37243</v>
      </c>
      <c r="C36" s="48" t="n">
        <v>37243</v>
      </c>
      <c r="D36" s="42" t="s">
        <v>46</v>
      </c>
      <c r="E36" s="25"/>
      <c r="F36" s="25"/>
      <c r="G36" s="41" t="n">
        <v>3.25</v>
      </c>
      <c r="H36" s="19" t="n">
        <f aca="false">G36*A36</f>
        <v>32.5</v>
      </c>
      <c r="I36" s="19"/>
    </row>
    <row r="37" customFormat="false" ht="12.75" hidden="false" customHeight="false" outlineLevel="0" collapsed="false">
      <c r="A37" s="19" t="n">
        <v>10</v>
      </c>
      <c r="B37" s="48" t="n">
        <v>37243</v>
      </c>
      <c r="C37" s="48" t="n">
        <v>37244</v>
      </c>
      <c r="D37" s="42" t="s">
        <v>46</v>
      </c>
      <c r="E37" s="25"/>
      <c r="F37" s="25"/>
      <c r="G37" s="41" t="n">
        <v>8.5</v>
      </c>
      <c r="H37" s="19" t="n">
        <f aca="false">G37*A37</f>
        <v>85</v>
      </c>
      <c r="I37" s="19"/>
    </row>
    <row r="38" customFormat="false" ht="12.75" hidden="false" customHeight="false" outlineLevel="0" collapsed="false">
      <c r="A38" s="19" t="n">
        <v>10</v>
      </c>
      <c r="B38" s="48" t="n">
        <v>37245</v>
      </c>
      <c r="C38" s="48" t="n">
        <v>37245</v>
      </c>
      <c r="D38" s="42" t="s">
        <v>46</v>
      </c>
      <c r="E38" s="25"/>
      <c r="F38" s="25"/>
      <c r="G38" s="41" t="n">
        <v>2.5</v>
      </c>
      <c r="H38" s="19" t="n">
        <f aca="false">G38*A38</f>
        <v>25</v>
      </c>
      <c r="I38" s="19"/>
    </row>
    <row r="39" customFormat="false" ht="12.75" hidden="false" customHeight="false" outlineLevel="0" collapsed="false">
      <c r="A39" s="19" t="n">
        <v>10</v>
      </c>
      <c r="B39" s="19"/>
      <c r="C39" s="19"/>
      <c r="D39" s="42"/>
      <c r="E39" s="25"/>
      <c r="F39" s="25"/>
      <c r="G39" s="41"/>
      <c r="H39" s="19" t="n">
        <f aca="false">G39*A39</f>
        <v>0</v>
      </c>
      <c r="I39" s="19"/>
    </row>
    <row r="40" customFormat="false" ht="12.75" hidden="false" customHeight="false" outlineLevel="0" collapsed="false">
      <c r="A40" s="19" t="s">
        <v>35</v>
      </c>
      <c r="B40" s="19" t="n">
        <v>31</v>
      </c>
      <c r="D40" s="1"/>
      <c r="G40" s="47" t="s">
        <v>36</v>
      </c>
      <c r="H40" s="19" t="n">
        <f aca="false">SUM(H33:H39)</f>
        <v>315</v>
      </c>
      <c r="I40" s="31" t="n">
        <f aca="false">1-(H40/(B40*24*COUNT(C11:C20)))</f>
        <v>0.957661290322581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41"/>
  <sheetViews>
    <sheetView showFormulas="false" showGridLines="true" showRowColHeaders="true" showZeros="true" rightToLeft="false" tabSelected="false" showOutlineSymbols="true" defaultGridColor="true" view="normal" topLeftCell="C10" colorId="64" zoomScale="100" zoomScaleNormal="100" zoomScalePageLayoutView="100" workbookViewId="0">
      <selection pane="topLeft" activeCell="J12" activeCellId="0" sqref="J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56"/>
    <col collapsed="false" customWidth="true" hidden="false" outlineLevel="0" max="11" min="5" style="0" width="15.7"/>
    <col collapsed="false" customWidth="true" hidden="false" outlineLevel="0" max="13" min="13" style="0" width="14.28"/>
    <col collapsed="false" customWidth="true" hidden="false" outlineLevel="0" max="25" min="25" style="0" width="15.28"/>
    <col collapsed="false" customWidth="true" hidden="false" outlineLevel="0" max="26" min="26" style="0" width="12.99"/>
  </cols>
  <sheetData>
    <row r="1" customFormat="false" ht="30" hidden="false" customHeight="false" outlineLevel="0" collapsed="false">
      <c r="A1" s="2" t="s">
        <v>47</v>
      </c>
      <c r="D1" s="1"/>
      <c r="K1" s="3"/>
    </row>
    <row r="2" customFormat="false" ht="12.75" hidden="false" customHeight="false" outlineLevel="0" collapsed="false">
      <c r="D2" s="1"/>
      <c r="K2" s="3"/>
    </row>
    <row r="3" customFormat="false" ht="12.75" hidden="false" customHeight="false" outlineLevel="0" collapsed="false">
      <c r="A3" s="0" t="s">
        <v>1</v>
      </c>
      <c r="D3" s="1"/>
      <c r="K3" s="3"/>
    </row>
    <row r="4" customFormat="false" ht="12.75" hidden="false" customHeight="false" outlineLevel="0" collapsed="false">
      <c r="A4" s="0" t="s">
        <v>2</v>
      </c>
      <c r="D4" s="1"/>
      <c r="K4" s="3"/>
    </row>
    <row r="5" customFormat="false" ht="12.75" hidden="false" customHeight="false" outlineLevel="0" collapsed="false">
      <c r="A5" s="0" t="s">
        <v>3</v>
      </c>
      <c r="D5" s="1"/>
      <c r="K5" s="3"/>
    </row>
    <row r="6" customFormat="false" ht="12.75" hidden="false" customHeight="false" outlineLevel="0" collapsed="false">
      <c r="A6" s="0" t="s">
        <v>4</v>
      </c>
      <c r="D6" s="1"/>
      <c r="K6" s="3"/>
    </row>
    <row r="7" customFormat="false" ht="12.75" hidden="false" customHeight="false" outlineLevel="0" collapsed="false">
      <c r="D7" s="1"/>
      <c r="K7" s="3"/>
    </row>
    <row r="8" customFormat="false" ht="18" hidden="false" customHeight="false" outlineLevel="0" collapsed="false">
      <c r="A8" s="4" t="s">
        <v>5</v>
      </c>
      <c r="D8" s="1"/>
      <c r="K8" s="3"/>
    </row>
    <row r="9" customFormat="false" ht="25.5" hidden="false" customHeight="false" outlineLevel="0" collapsed="false">
      <c r="A9" s="5"/>
      <c r="B9" s="5"/>
      <c r="C9" s="5"/>
      <c r="D9" s="6"/>
      <c r="E9" s="51" t="s">
        <v>6</v>
      </c>
      <c r="F9" s="52"/>
      <c r="G9" s="53"/>
      <c r="H9" s="54"/>
      <c r="I9" s="55"/>
      <c r="J9" s="55"/>
      <c r="K9" s="12"/>
      <c r="M9" s="56"/>
      <c r="AL9" s="0" t="s">
        <v>48</v>
      </c>
      <c r="AM9" s="0" t="s">
        <v>48</v>
      </c>
      <c r="AN9" s="0" t="s">
        <v>48</v>
      </c>
      <c r="AO9" s="0" t="s">
        <v>49</v>
      </c>
      <c r="AP9" s="0" t="s">
        <v>50</v>
      </c>
      <c r="AQ9" s="0" t="s">
        <v>51</v>
      </c>
      <c r="AR9" s="0" t="s">
        <v>52</v>
      </c>
      <c r="AV9" s="0" t="s">
        <v>51</v>
      </c>
    </row>
    <row r="10" customFormat="false" ht="25.5" hidden="false" customHeight="false" outlineLevel="0" collapsed="false">
      <c r="A10" s="13" t="s">
        <v>7</v>
      </c>
      <c r="B10" s="13" t="s">
        <v>8</v>
      </c>
      <c r="C10" s="13" t="s">
        <v>9</v>
      </c>
      <c r="D10" s="57" t="s">
        <v>53</v>
      </c>
      <c r="E10" s="58" t="s">
        <v>11</v>
      </c>
      <c r="F10" s="59" t="s">
        <v>12</v>
      </c>
      <c r="G10" s="60" t="s">
        <v>13</v>
      </c>
      <c r="H10" s="60" t="s">
        <v>14</v>
      </c>
      <c r="I10" s="61" t="s">
        <v>54</v>
      </c>
      <c r="J10" s="61" t="s">
        <v>55</v>
      </c>
      <c r="K10" s="18" t="s">
        <v>16</v>
      </c>
      <c r="M10" s="56" t="s">
        <v>56</v>
      </c>
      <c r="N10" s="0" t="s">
        <v>57</v>
      </c>
      <c r="O10" s="0" t="s">
        <v>58</v>
      </c>
      <c r="P10" s="0" t="s">
        <v>59</v>
      </c>
      <c r="Q10" s="0" t="s">
        <v>60</v>
      </c>
      <c r="R10" s="0" t="s">
        <v>61</v>
      </c>
      <c r="S10" s="0" t="s">
        <v>62</v>
      </c>
      <c r="T10" s="0" t="s">
        <v>63</v>
      </c>
      <c r="U10" s="0" t="s">
        <v>64</v>
      </c>
      <c r="V10" s="0" t="s">
        <v>65</v>
      </c>
      <c r="W10" s="0" t="s">
        <v>66</v>
      </c>
      <c r="Y10" s="0" t="s">
        <v>67</v>
      </c>
      <c r="Z10" s="0" t="s">
        <v>68</v>
      </c>
      <c r="AA10" s="0" t="s">
        <v>69</v>
      </c>
      <c r="AB10" s="0" t="s">
        <v>70</v>
      </c>
      <c r="AC10" s="0" t="s">
        <v>71</v>
      </c>
      <c r="AD10" s="0" t="s">
        <v>72</v>
      </c>
      <c r="AE10" s="0" t="s">
        <v>73</v>
      </c>
      <c r="AF10" s="0" t="s">
        <v>74</v>
      </c>
      <c r="AG10" s="0" t="s">
        <v>75</v>
      </c>
      <c r="AH10" s="0" t="s">
        <v>76</v>
      </c>
      <c r="AI10" s="0" t="s">
        <v>66</v>
      </c>
      <c r="AJ10" s="0" t="s">
        <v>77</v>
      </c>
      <c r="AK10" s="0" t="s">
        <v>78</v>
      </c>
      <c r="AL10" s="0" t="s">
        <v>79</v>
      </c>
      <c r="AM10" s="0" t="s">
        <v>80</v>
      </c>
      <c r="AN10" s="0" t="s">
        <v>81</v>
      </c>
      <c r="AO10" s="0" t="s">
        <v>82</v>
      </c>
      <c r="AP10" s="0" t="s">
        <v>83</v>
      </c>
      <c r="AQ10" s="0" t="s">
        <v>84</v>
      </c>
      <c r="AR10" s="0" t="s">
        <v>84</v>
      </c>
      <c r="AS10" s="0" t="s">
        <v>85</v>
      </c>
      <c r="AT10" s="0" t="s">
        <v>86</v>
      </c>
      <c r="AU10" s="0" t="s">
        <v>87</v>
      </c>
      <c r="AV10" s="0" t="s">
        <v>88</v>
      </c>
    </row>
    <row r="11" customFormat="false" ht="12.75" hidden="false" customHeight="false" outlineLevel="0" collapsed="false">
      <c r="A11" s="19" t="s">
        <v>17</v>
      </c>
      <c r="B11" s="19" t="n">
        <v>1</v>
      </c>
      <c r="C11" s="19" t="n">
        <v>1</v>
      </c>
      <c r="D11" s="20" t="n">
        <v>37257</v>
      </c>
      <c r="E11" s="21" t="n">
        <f aca="false">Z11-N11</f>
        <v>514300</v>
      </c>
      <c r="F11" s="21" t="n">
        <f aca="false">AA11-O11</f>
        <v>165</v>
      </c>
      <c r="G11" s="27" t="n">
        <f aca="false">E11-F11</f>
        <v>514135</v>
      </c>
      <c r="H11" s="31" t="n">
        <f aca="false">G11/(1500*AJ11)</f>
        <v>0.487747263367727</v>
      </c>
      <c r="I11" s="23" t="n">
        <f aca="false">MIN(AQ11-(I32/AJ11),1)</f>
        <v>0.999643401729408</v>
      </c>
      <c r="J11" s="23" t="n">
        <f aca="false">MIN(AV11-(I32/AJ11),1)</f>
        <v>0.993953362130987</v>
      </c>
      <c r="K11" s="27" t="n">
        <f aca="false">I11*MAX(AK11,AJ11)</f>
        <v>702.483572878147</v>
      </c>
      <c r="M11" s="56" t="n">
        <v>37258.7180555556</v>
      </c>
      <c r="N11" s="0" t="n">
        <v>851801</v>
      </c>
      <c r="O11" s="0" t="n">
        <v>2099</v>
      </c>
      <c r="P11" s="0" t="n">
        <v>4679818</v>
      </c>
      <c r="Q11" s="0" t="n">
        <v>5304166</v>
      </c>
      <c r="R11" s="0" t="n">
        <v>1083331</v>
      </c>
      <c r="S11" s="0" t="n">
        <v>441197</v>
      </c>
      <c r="T11" s="0" t="n">
        <v>200325</v>
      </c>
      <c r="U11" s="0" t="n">
        <v>0</v>
      </c>
      <c r="V11" s="0" t="n">
        <v>38191</v>
      </c>
      <c r="W11" s="0" t="n">
        <v>113360</v>
      </c>
      <c r="Y11" s="56" t="n">
        <v>37287.9986458333</v>
      </c>
      <c r="Z11" s="62" t="n">
        <v>1366101</v>
      </c>
      <c r="AA11" s="0" t="n">
        <v>2264</v>
      </c>
      <c r="AB11" s="0" t="n">
        <v>7086392</v>
      </c>
      <c r="AC11" s="0" t="n">
        <v>7786323</v>
      </c>
      <c r="AD11" s="0" t="n">
        <v>1098628</v>
      </c>
      <c r="AE11" s="0" t="n">
        <v>467683</v>
      </c>
      <c r="AF11" s="0" t="n">
        <v>206197</v>
      </c>
      <c r="AG11" s="0" t="n">
        <v>0</v>
      </c>
      <c r="AH11" s="0" t="n">
        <v>38191</v>
      </c>
      <c r="AI11" s="0" t="n">
        <v>113360</v>
      </c>
      <c r="AJ11" s="0" t="n">
        <f aca="false">(Y11-M11)*24</f>
        <v>702.734166666667</v>
      </c>
      <c r="AK11" s="0" t="n">
        <f aca="false">(SUM(AC11:AI11)-SUM(Q11:W11))/3600</f>
        <v>702.725555555556</v>
      </c>
      <c r="AL11" s="0" t="n">
        <f aca="false">AD11-R11</f>
        <v>15297</v>
      </c>
      <c r="AM11" s="0" t="n">
        <f aca="false">AI11-W11</f>
        <v>0</v>
      </c>
      <c r="AN11" s="0" t="n">
        <f aca="false">AH11-V11</f>
        <v>0</v>
      </c>
      <c r="AO11" s="0" t="n">
        <f aca="false">(AE11-S11)/3600</f>
        <v>7.35722222222222</v>
      </c>
      <c r="AP11" s="0" t="n">
        <f aca="false">AK11/AJ11</f>
        <v>0.999987746275164</v>
      </c>
      <c r="AQ11" s="0" t="n">
        <f aca="false">(AJ11*3600-AL11-AM11-AN11-AO11)/((AJ11-4)*3600-AO11)</f>
        <v>0.999643401729408</v>
      </c>
      <c r="AR11" s="0" t="n">
        <f aca="false">(AK11*3600-AL11-AM11-AN11)/((AK11-4)*3600)</f>
        <v>0.999643398377681</v>
      </c>
      <c r="AS11" s="33" t="n">
        <f aca="false">AL11/($AJ11*3600)</f>
        <v>0.00604662028434176</v>
      </c>
      <c r="AT11" s="33" t="n">
        <f aca="false">AM11/($AJ11*3600)</f>
        <v>0</v>
      </c>
      <c r="AU11" s="33" t="n">
        <f aca="false">AN11/($AJ11*3600)</f>
        <v>0</v>
      </c>
      <c r="AV11" s="0" t="n">
        <f aca="false">(AJ11*3600-AL11-AM11-AN11-AO11)/((AJ11)*3600-AO11)</f>
        <v>0.993953362130987</v>
      </c>
    </row>
    <row r="12" customFormat="false" ht="12.75" hidden="false" customHeight="false" outlineLevel="0" collapsed="false">
      <c r="A12" s="19" t="s">
        <v>17</v>
      </c>
      <c r="B12" s="19" t="n">
        <v>1</v>
      </c>
      <c r="C12" s="19" t="n">
        <v>2</v>
      </c>
      <c r="D12" s="20" t="n">
        <v>37257</v>
      </c>
      <c r="E12" s="21" t="n">
        <f aca="false">Z12-N12</f>
        <v>499214</v>
      </c>
      <c r="F12" s="21" t="n">
        <f aca="false">AA12-O12</f>
        <v>468</v>
      </c>
      <c r="G12" s="27" t="n">
        <f aca="false">E12-F12</f>
        <v>498746</v>
      </c>
      <c r="H12" s="31" t="n">
        <f aca="false">G12/(1500*AJ12)</f>
        <v>0.465020215138647</v>
      </c>
      <c r="I12" s="23" t="n">
        <f aca="false">MIN(AQ12-(I33/AJ12),1)</f>
        <v>0.923278307658058</v>
      </c>
      <c r="J12" s="23" t="n">
        <f aca="false">MIN(AV12-(I33/AJ12),1)</f>
        <v>0.918003684078442</v>
      </c>
      <c r="K12" s="27" t="n">
        <f aca="false">I12*MAX(AK12,AJ12)</f>
        <v>660.160916744485</v>
      </c>
      <c r="M12" s="56" t="n">
        <v>37257.207962963</v>
      </c>
      <c r="N12" s="0" t="n">
        <v>453811</v>
      </c>
      <c r="O12" s="0" t="n">
        <v>2718</v>
      </c>
      <c r="P12" s="0" t="n">
        <v>2424508</v>
      </c>
      <c r="Q12" s="0" t="n">
        <v>3820855</v>
      </c>
      <c r="R12" s="0" t="n">
        <v>523533</v>
      </c>
      <c r="S12" s="0" t="n">
        <v>156525</v>
      </c>
      <c r="T12" s="0" t="n">
        <v>357804</v>
      </c>
      <c r="U12" s="0" t="n">
        <v>0</v>
      </c>
      <c r="V12" s="0" t="n">
        <v>271376</v>
      </c>
      <c r="W12" s="0" t="n">
        <v>182167</v>
      </c>
      <c r="Y12" s="63" t="n">
        <v>37287.0003356482</v>
      </c>
      <c r="Z12" s="0" t="n">
        <v>953025</v>
      </c>
      <c r="AA12" s="0" t="n">
        <v>3186</v>
      </c>
      <c r="AB12" s="0" t="n">
        <v>4636456</v>
      </c>
      <c r="AC12" s="0" t="n">
        <v>6191796</v>
      </c>
      <c r="AD12" s="0" t="n">
        <v>683097</v>
      </c>
      <c r="AE12" s="0" t="n">
        <v>186457</v>
      </c>
      <c r="AF12" s="0" t="n">
        <v>370334</v>
      </c>
      <c r="AG12" s="0" t="n">
        <v>0</v>
      </c>
      <c r="AH12" s="0" t="n">
        <v>272475</v>
      </c>
      <c r="AI12" s="0" t="n">
        <v>182167</v>
      </c>
      <c r="AJ12" s="0" t="n">
        <f aca="false">(Y12-M12)*24</f>
        <v>715.016944444444</v>
      </c>
      <c r="AK12" s="0" t="n">
        <f aca="false">(SUM(AC12:AI12)-SUM(Q12:W12))/3600</f>
        <v>715.018333333333</v>
      </c>
      <c r="AL12" s="0" t="n">
        <f aca="false">AD12-R12</f>
        <v>159564</v>
      </c>
      <c r="AM12" s="0" t="n">
        <f aca="false">AI12-W12</f>
        <v>0</v>
      </c>
      <c r="AN12" s="0" t="n">
        <f aca="false">AH12-V12</f>
        <v>1099</v>
      </c>
      <c r="AO12" s="0" t="n">
        <f aca="false">(AE12-S12)/3600</f>
        <v>8.31444444444444</v>
      </c>
      <c r="AP12" s="0" t="n">
        <f aca="false">AK12/AJ12</f>
        <v>1.00000194245591</v>
      </c>
      <c r="AQ12" s="0" t="n">
        <f aca="false">(AJ12*3600-AL12-AM12-AN12-AO12)/((AJ12-4)*3600-AO12)</f>
        <v>0.942858263222436</v>
      </c>
      <c r="AR12" s="0" t="n">
        <f aca="false">(AK12*3600-AL12-AM12-AN12)/((AK12-4)*3600)</f>
        <v>0.942858560452809</v>
      </c>
      <c r="AS12" s="33" t="n">
        <f aca="false">AL12/($AL12*3600)</f>
        <v>0.000277777777777778</v>
      </c>
      <c r="AT12" s="33" t="n">
        <f aca="false">AM12/($AL12*3600)</f>
        <v>0</v>
      </c>
      <c r="AU12" s="33" t="n">
        <f aca="false">AN12/($AL12*3600)</f>
        <v>1.91319957996652E-006</v>
      </c>
      <c r="AV12" s="0" t="n">
        <f aca="false">(AJ12*3600-AL12-AM12-AN12-AO12)/((AJ12)*3600-AO12)</f>
        <v>0.937583639642821</v>
      </c>
    </row>
    <row r="13" customFormat="false" ht="12.75" hidden="false" customHeight="false" outlineLevel="0" collapsed="false">
      <c r="A13" s="19" t="s">
        <v>17</v>
      </c>
      <c r="B13" s="19" t="n">
        <v>1</v>
      </c>
      <c r="C13" s="19" t="n">
        <v>3</v>
      </c>
      <c r="D13" s="20" t="n">
        <v>37257</v>
      </c>
      <c r="E13" s="21" t="n">
        <f aca="false">Z13-N13</f>
        <v>541974</v>
      </c>
      <c r="F13" s="21" t="n">
        <f aca="false">AA13-O13</f>
        <v>247</v>
      </c>
      <c r="G13" s="27" t="n">
        <f aca="false">E13-F13</f>
        <v>541727</v>
      </c>
      <c r="H13" s="31" t="n">
        <f aca="false">G13/(1500*AJ13)</f>
        <v>0.489375081161346</v>
      </c>
      <c r="I13" s="23" t="n">
        <f aca="false">MIN(AQ13-(I34/AJ13),1)</f>
        <v>0.989136727917963</v>
      </c>
      <c r="J13" s="23" t="n">
        <f aca="false">MIN(AV13-(I34/AJ13),1)</f>
        <v>0.98375339355844</v>
      </c>
      <c r="K13" s="27" t="n">
        <f aca="false">I13*MAX(AK13,AJ13)</f>
        <v>729.969716713751</v>
      </c>
      <c r="M13" s="63" t="n">
        <v>37257.2513888889</v>
      </c>
      <c r="N13" s="0" t="n">
        <v>796030</v>
      </c>
      <c r="O13" s="0" t="n">
        <v>541</v>
      </c>
      <c r="P13" s="0" t="n">
        <v>4408203</v>
      </c>
      <c r="Q13" s="0" t="n">
        <v>4657694</v>
      </c>
      <c r="R13" s="0" t="n">
        <v>217860</v>
      </c>
      <c r="S13" s="0" t="n">
        <v>146478</v>
      </c>
      <c r="T13" s="0" t="n">
        <v>168282</v>
      </c>
      <c r="U13" s="0" t="n">
        <v>0</v>
      </c>
      <c r="V13" s="0" t="n">
        <v>21683</v>
      </c>
      <c r="W13" s="0" t="n">
        <v>6908</v>
      </c>
      <c r="Y13" s="63" t="n">
        <v>37288.0007523148</v>
      </c>
      <c r="Z13" s="0" t="n">
        <v>1338004</v>
      </c>
      <c r="AA13" s="0" t="n">
        <v>788</v>
      </c>
      <c r="AB13" s="0" t="n">
        <v>6876004</v>
      </c>
      <c r="AC13" s="0" t="n">
        <v>7245188</v>
      </c>
      <c r="AD13" s="0" t="n">
        <v>250177</v>
      </c>
      <c r="AE13" s="0" t="n">
        <v>173203</v>
      </c>
      <c r="AF13" s="0" t="n">
        <v>178452</v>
      </c>
      <c r="AG13" s="0" t="n">
        <v>0</v>
      </c>
      <c r="AH13" s="0" t="n">
        <v>21729</v>
      </c>
      <c r="AI13" s="0" t="n">
        <v>6908</v>
      </c>
      <c r="AJ13" s="0" t="n">
        <f aca="false">(Y13-M13)*24</f>
        <v>737.984722222222</v>
      </c>
      <c r="AK13" s="0" t="n">
        <f aca="false">(SUM(AC13:AI13)-SUM(Q13:W13))/3600</f>
        <v>737.986666666667</v>
      </c>
      <c r="AL13" s="0" t="n">
        <f aca="false">AD13-R13</f>
        <v>32317</v>
      </c>
      <c r="AM13" s="0" t="n">
        <f aca="false">AI13-W13</f>
        <v>0</v>
      </c>
      <c r="AN13" s="0" t="n">
        <f aca="false">AH13-V13</f>
        <v>46</v>
      </c>
      <c r="AO13" s="0" t="n">
        <f aca="false">(AE13-S13)/3600</f>
        <v>7.42361111111111</v>
      </c>
      <c r="AP13" s="0" t="n">
        <f aca="false">AK13/AJ13</f>
        <v>1.00000263480311</v>
      </c>
      <c r="AQ13" s="0" t="n">
        <f aca="false">(AJ13*3600-AL13-AM13-AN13-AO13)/((AJ13-4)*3600-AO13)</f>
        <v>0.993201852722941</v>
      </c>
      <c r="AR13" s="0" t="n">
        <f aca="false">(AK13*3600-AL13-AM13-AN13)/((AK13-4)*3600)</f>
        <v>0.993201889831484</v>
      </c>
      <c r="AS13" s="33" t="n">
        <f aca="false">AL13/($AL13*3600)</f>
        <v>0.000277777777777778</v>
      </c>
      <c r="AT13" s="33" t="n">
        <f aca="false">AM13/($AL13*3600)</f>
        <v>0</v>
      </c>
      <c r="AU13" s="33" t="n">
        <f aca="false">AN13/($AL13*3600)</f>
        <v>3.95388735890639E-007</v>
      </c>
      <c r="AV13" s="0" t="n">
        <f aca="false">(AJ13*3600-AL13-AM13-AN13-AO13)/((AJ13)*3600-AO13)</f>
        <v>0.987818518363418</v>
      </c>
    </row>
    <row r="14" customFormat="false" ht="12.75" hidden="false" customHeight="false" outlineLevel="0" collapsed="false">
      <c r="A14" s="19" t="s">
        <v>17</v>
      </c>
      <c r="B14" s="19" t="n">
        <v>1</v>
      </c>
      <c r="C14" s="19" t="n">
        <v>4</v>
      </c>
      <c r="D14" s="20" t="n">
        <v>37257</v>
      </c>
      <c r="E14" s="21" t="n">
        <f aca="false">Z14-N14</f>
        <v>571546</v>
      </c>
      <c r="F14" s="21" t="n">
        <f aca="false">AA14-O14</f>
        <v>363</v>
      </c>
      <c r="G14" s="27" t="n">
        <f aca="false">E14-F14</f>
        <v>571183</v>
      </c>
      <c r="H14" s="31" t="n">
        <f aca="false">G14/(1500*AJ14)</f>
        <v>0.515263008534223</v>
      </c>
      <c r="I14" s="23" t="n">
        <f aca="false">MIN(AQ14-(I35/AJ14),1)</f>
        <v>0.978528808065797</v>
      </c>
      <c r="J14" s="23" t="n">
        <f aca="false">MIN(AV14-(I35/AJ14),1)</f>
        <v>0.973217772166271</v>
      </c>
      <c r="K14" s="27" t="n">
        <f aca="false">I14*MAX(AK14,AJ14)</f>
        <v>723.151816109669</v>
      </c>
      <c r="M14" s="63" t="n">
        <v>37257.207974537</v>
      </c>
      <c r="N14" s="0" t="n">
        <v>1067894</v>
      </c>
      <c r="O14" s="0" t="n">
        <v>1384</v>
      </c>
      <c r="P14" s="0" t="n">
        <v>5478406</v>
      </c>
      <c r="Q14" s="0" t="n">
        <v>5905236</v>
      </c>
      <c r="R14" s="0" t="n">
        <v>468359</v>
      </c>
      <c r="S14" s="0" t="n">
        <v>326203</v>
      </c>
      <c r="T14" s="0" t="n">
        <v>297048</v>
      </c>
      <c r="U14" s="0" t="n">
        <v>0</v>
      </c>
      <c r="V14" s="0" t="n">
        <v>14833</v>
      </c>
      <c r="W14" s="0" t="n">
        <v>4082</v>
      </c>
      <c r="Y14" s="63" t="n">
        <v>37288.0003935185</v>
      </c>
      <c r="Z14" s="0" t="n">
        <v>1639440</v>
      </c>
      <c r="AA14" s="0" t="n">
        <v>1747</v>
      </c>
      <c r="AB14" s="0" t="n">
        <v>7898070</v>
      </c>
      <c r="AC14" s="0" t="n">
        <v>8457747</v>
      </c>
      <c r="AD14" s="0" t="n">
        <v>508921</v>
      </c>
      <c r="AE14" s="0" t="n">
        <v>353084</v>
      </c>
      <c r="AF14" s="0" t="n">
        <v>314073</v>
      </c>
      <c r="AG14" s="0" t="n">
        <v>0</v>
      </c>
      <c r="AH14" s="0" t="n">
        <v>34956</v>
      </c>
      <c r="AI14" s="0" t="n">
        <v>7450</v>
      </c>
      <c r="AJ14" s="0" t="n">
        <f aca="false">(Y14-M14)*24</f>
        <v>739.018055555556</v>
      </c>
      <c r="AK14" s="0" t="n">
        <f aca="false">(SUM(AC14:AI14)-SUM(Q14:W14))/3600</f>
        <v>739.019444444444</v>
      </c>
      <c r="AL14" s="0" t="n">
        <f aca="false">AD14-R14</f>
        <v>40562</v>
      </c>
      <c r="AM14" s="0" t="n">
        <f aca="false">AI14-W14</f>
        <v>3368</v>
      </c>
      <c r="AN14" s="0" t="n">
        <f aca="false">AH14-V14</f>
        <v>20123</v>
      </c>
      <c r="AO14" s="0" t="n">
        <f aca="false">(AE14-S14)/3600</f>
        <v>7.46694444444445</v>
      </c>
      <c r="AP14" s="0" t="n">
        <f aca="false">AK14/AJ14</f>
        <v>1.00000187937071</v>
      </c>
      <c r="AQ14" s="0" t="n">
        <f aca="false">(AJ14*3600-AL14-AM14-AN14-AO14)/((AJ14-4)*3600-AO14)</f>
        <v>0.981235101890372</v>
      </c>
      <c r="AR14" s="0" t="n">
        <f aca="false">(AK14*3600-AL14-AM14-AN14)/((AK14-4)*3600)</f>
        <v>0.981235190301088</v>
      </c>
      <c r="AS14" s="33" t="n">
        <f aca="false">AL14/($AL14*3600)</f>
        <v>0.000277777777777778</v>
      </c>
      <c r="AT14" s="33" t="n">
        <f aca="false">AM14/($AL14*3600)</f>
        <v>2.30648280547201E-005</v>
      </c>
      <c r="AU14" s="33" t="n">
        <f aca="false">AN14/($AL14*3600)</f>
        <v>0.000137806869045467</v>
      </c>
      <c r="AV14" s="0" t="n">
        <f aca="false">(AJ14*3600-AL14-AM14-AN14-AO14)/((AJ14)*3600-AO14)</f>
        <v>0.975924065990847</v>
      </c>
    </row>
    <row r="15" customFormat="false" ht="12.75" hidden="false" customHeight="false" outlineLevel="0" collapsed="false">
      <c r="A15" s="19" t="s">
        <v>17</v>
      </c>
      <c r="B15" s="19" t="n">
        <v>1</v>
      </c>
      <c r="C15" s="19" t="n">
        <v>5</v>
      </c>
      <c r="D15" s="20" t="n">
        <v>37257</v>
      </c>
      <c r="E15" s="21" t="n">
        <f aca="false">Z15-N15</f>
        <v>574172</v>
      </c>
      <c r="F15" s="21" t="n">
        <f aca="false">AA15-O15</f>
        <v>418</v>
      </c>
      <c r="G15" s="27" t="n">
        <f aca="false">E15-F15</f>
        <v>573754</v>
      </c>
      <c r="H15" s="31" t="n">
        <f aca="false">G15/(1500*AJ15)</f>
        <v>0.517607983662196</v>
      </c>
      <c r="I15" s="23" t="n">
        <f aca="false">MIN(AQ15-(I36/AJ15),1)</f>
        <v>0.992910417676576</v>
      </c>
      <c r="J15" s="23" t="n">
        <f aca="false">MIN(AV15-(I36/AJ15),1)</f>
        <v>0.987523712952338</v>
      </c>
      <c r="K15" s="27" t="n">
        <f aca="false">I15*MAX(AK15,AJ15)</f>
        <v>733.744801772927</v>
      </c>
      <c r="M15" s="63" t="n">
        <v>37257.2097800926</v>
      </c>
      <c r="N15" s="0" t="n">
        <v>814098</v>
      </c>
      <c r="O15" s="0" t="n">
        <v>2263</v>
      </c>
      <c r="P15" s="0" t="n">
        <v>4278683</v>
      </c>
      <c r="Q15" s="0" t="n">
        <v>4861612</v>
      </c>
      <c r="R15" s="0" t="n">
        <v>601703</v>
      </c>
      <c r="S15" s="0" t="n">
        <v>165825</v>
      </c>
      <c r="T15" s="0" t="n">
        <v>159085</v>
      </c>
      <c r="U15" s="0" t="n">
        <v>0</v>
      </c>
      <c r="V15" s="0" t="n">
        <v>41383</v>
      </c>
      <c r="W15" s="0" t="n">
        <v>1</v>
      </c>
      <c r="Y15" s="63" t="n">
        <v>37288.0006712963</v>
      </c>
      <c r="Z15" s="0" t="n">
        <v>1388270</v>
      </c>
      <c r="AA15" s="0" t="n">
        <v>2681</v>
      </c>
      <c r="AB15" s="0" t="n">
        <v>6778664</v>
      </c>
      <c r="AC15" s="0" t="n">
        <v>7458393</v>
      </c>
      <c r="AD15" s="0" t="n">
        <v>628770</v>
      </c>
      <c r="AE15" s="0" t="n">
        <v>193351</v>
      </c>
      <c r="AF15" s="0" t="n">
        <v>167929</v>
      </c>
      <c r="AG15" s="0" t="n">
        <v>0</v>
      </c>
      <c r="AH15" s="0" t="n">
        <v>41507</v>
      </c>
      <c r="AI15" s="0" t="n">
        <v>1</v>
      </c>
      <c r="AJ15" s="0" t="n">
        <f aca="false">(Y15-M15)*24</f>
        <v>738.981388888889</v>
      </c>
      <c r="AK15" s="0" t="n">
        <f aca="false">(SUM(AC15:AI15)-SUM(Q15:W15))/3600</f>
        <v>738.983888888889</v>
      </c>
      <c r="AL15" s="0" t="n">
        <f aca="false">AD15-R15</f>
        <v>27067</v>
      </c>
      <c r="AM15" s="0" t="n">
        <f aca="false">AI15-W15</f>
        <v>0</v>
      </c>
      <c r="AN15" s="0" t="n">
        <f aca="false">AH15-V15</f>
        <v>124</v>
      </c>
      <c r="AO15" s="0" t="n">
        <f aca="false">(AE15-S15)/3600</f>
        <v>7.64611111111111</v>
      </c>
      <c r="AP15" s="0" t="n">
        <f aca="false">AK15/AJ15</f>
        <v>1.00000338303513</v>
      </c>
      <c r="AQ15" s="0" t="n">
        <f aca="false">(AJ15*3600-AL15-AM15-AN15-AO15)/((AJ15-4)*3600-AO15)</f>
        <v>0.995165774430787</v>
      </c>
      <c r="AR15" s="0" t="n">
        <f aca="false">(AK15*3600-AL15-AM15-AN15)/((AK15-4)*3600)</f>
        <v>0.995165804843795</v>
      </c>
      <c r="AS15" s="33" t="n">
        <f aca="false">AL15/($AL15*3600)</f>
        <v>0.000277777777777778</v>
      </c>
      <c r="AT15" s="33" t="n">
        <f aca="false">AM15/($AL15*3600)</f>
        <v>0</v>
      </c>
      <c r="AU15" s="33" t="n">
        <f aca="false">AN15/($AL15*3600)</f>
        <v>1.27256232476612E-006</v>
      </c>
      <c r="AV15" s="0" t="n">
        <f aca="false">(AJ15*3600-AL15-AM15-AN15-AO15)/((AJ15)*3600-AO15)</f>
        <v>0.989779069706549</v>
      </c>
    </row>
    <row r="16" customFormat="false" ht="12.75" hidden="false" customHeight="false" outlineLevel="0" collapsed="false">
      <c r="A16" s="19" t="s">
        <v>17</v>
      </c>
      <c r="B16" s="19" t="n">
        <v>1</v>
      </c>
      <c r="C16" s="19" t="n">
        <v>6</v>
      </c>
      <c r="D16" s="20" t="n">
        <v>37257</v>
      </c>
      <c r="E16" s="21" t="n">
        <f aca="false">Z16-N16</f>
        <v>539907</v>
      </c>
      <c r="F16" s="21" t="n">
        <f aca="false">AA16-O16</f>
        <v>281</v>
      </c>
      <c r="G16" s="27" t="n">
        <f aca="false">E16-F16</f>
        <v>539626</v>
      </c>
      <c r="H16" s="31" t="n">
        <f aca="false">G16/(1500*AJ16)</f>
        <v>0.486791112460905</v>
      </c>
      <c r="I16" s="23" t="n">
        <f aca="false">MIN(AQ16-(I37/AJ16),1)</f>
        <v>0.978719550456214</v>
      </c>
      <c r="J16" s="23" t="n">
        <f aca="false">MIN(AV16-(I37/AJ16),1)</f>
        <v>0.973416069758852</v>
      </c>
      <c r="K16" s="27" t="n">
        <f aca="false">I16*MAX(AK16,AJ16)</f>
        <v>723.299575108612</v>
      </c>
      <c r="M16" s="63" t="n">
        <v>37257.2076157407</v>
      </c>
      <c r="N16" s="0" t="n">
        <v>943419</v>
      </c>
      <c r="O16" s="0" t="n">
        <v>1397</v>
      </c>
      <c r="P16" s="0" t="n">
        <v>5337018</v>
      </c>
      <c r="Q16" s="0" t="n">
        <v>5883387</v>
      </c>
      <c r="R16" s="0" t="n">
        <v>464346</v>
      </c>
      <c r="S16" s="0" t="n">
        <v>310490</v>
      </c>
      <c r="T16" s="0" t="n">
        <v>192953</v>
      </c>
      <c r="U16" s="0" t="n">
        <v>0</v>
      </c>
      <c r="V16" s="0" t="n">
        <v>83270</v>
      </c>
      <c r="W16" s="0" t="n">
        <v>16488</v>
      </c>
      <c r="Y16" s="63" t="n">
        <v>37288.0003125</v>
      </c>
      <c r="Z16" s="0" t="n">
        <v>1483326</v>
      </c>
      <c r="AA16" s="0" t="n">
        <v>1678</v>
      </c>
      <c r="AB16" s="0" t="n">
        <v>7789418</v>
      </c>
      <c r="AC16" s="0" t="n">
        <v>8434009</v>
      </c>
      <c r="AD16" s="0" t="n">
        <v>532072</v>
      </c>
      <c r="AE16" s="0" t="n">
        <v>346408</v>
      </c>
      <c r="AF16" s="0" t="n">
        <v>199182</v>
      </c>
      <c r="AG16" s="0" t="n">
        <v>0</v>
      </c>
      <c r="AH16" s="0" t="n">
        <v>83270</v>
      </c>
      <c r="AI16" s="0" t="n">
        <v>16488</v>
      </c>
      <c r="AJ16" s="0" t="n">
        <f aca="false">(Y16-M16)*24</f>
        <v>739.024722222222</v>
      </c>
      <c r="AK16" s="0" t="n">
        <f aca="false">(SUM(AC16:AI16)-SUM(Q16:W16))/3600</f>
        <v>739.026388888889</v>
      </c>
      <c r="AL16" s="0" t="n">
        <f aca="false">AD16-R16</f>
        <v>67726</v>
      </c>
      <c r="AM16" s="0" t="n">
        <f aca="false">AI16-W16</f>
        <v>0</v>
      </c>
      <c r="AN16" s="0" t="n">
        <f aca="false">AH16-V16</f>
        <v>0</v>
      </c>
      <c r="AO16" s="0" t="n">
        <f aca="false">(AE16-S16)/3600</f>
        <v>9.97722222222222</v>
      </c>
      <c r="AP16" s="0" t="n">
        <f aca="false">AK16/AJ16</f>
        <v>1.00000225522451</v>
      </c>
      <c r="AQ16" s="0" t="n">
        <f aca="false">(AJ16*3600-AL16-AM16-AN16-AO16)/((AJ16-4)*3600-AO16)</f>
        <v>0.979847162710953</v>
      </c>
      <c r="AR16" s="0" t="n">
        <f aca="false">(AK16*3600-AL16-AM16-AN16)/((AK16-4)*3600)</f>
        <v>0.979847284394551</v>
      </c>
      <c r="AS16" s="33" t="n">
        <f aca="false">AL16/($AL16*3600)</f>
        <v>0.000277777777777778</v>
      </c>
      <c r="AT16" s="33" t="n">
        <f aca="false">AM16/($AL16*3600)</f>
        <v>0</v>
      </c>
      <c r="AU16" s="33" t="n">
        <f aca="false">AN16/($AL16*3600)</f>
        <v>0</v>
      </c>
      <c r="AV16" s="0" t="n">
        <f aca="false">(AJ16*3600-AL16-AM16-AN16-AO16)/((AJ16)*3600-AO16)</f>
        <v>0.974543682013592</v>
      </c>
    </row>
    <row r="17" customFormat="false" ht="14.25" hidden="false" customHeight="false" outlineLevel="0" collapsed="false">
      <c r="A17" s="19" t="s">
        <v>17</v>
      </c>
      <c r="B17" s="19" t="n">
        <v>1</v>
      </c>
      <c r="C17" s="64" t="s">
        <v>89</v>
      </c>
      <c r="D17" s="20" t="n">
        <v>37257</v>
      </c>
      <c r="E17" s="21" t="n">
        <f aca="false">Z17-N17</f>
        <v>163125</v>
      </c>
      <c r="F17" s="21" t="n">
        <f aca="false">AA17-O17</f>
        <v>3033</v>
      </c>
      <c r="G17" s="27" t="n">
        <f aca="false">E17-F17</f>
        <v>160092</v>
      </c>
      <c r="H17" s="31" t="n">
        <f aca="false">G17/(1500*AJ17)</f>
        <v>0.139395537915384</v>
      </c>
      <c r="I17" s="23" t="n">
        <f aca="false">MIN(AQ17-(I38/AJ17),1)</f>
        <v>0.500782938622047</v>
      </c>
      <c r="J17" s="23" t="n">
        <f aca="false">MIN(AV17-(I38/AJ17),1)</f>
        <v>0.497602579163522</v>
      </c>
      <c r="K17" s="27" t="n">
        <f aca="false">I17*MAX(AK17,AJ17)</f>
        <v>383.423761424111</v>
      </c>
      <c r="M17" s="63" t="n">
        <v>37257.0003819445</v>
      </c>
      <c r="N17" s="0" t="n">
        <v>535599</v>
      </c>
      <c r="O17" s="0" t="n">
        <v>5245</v>
      </c>
      <c r="P17" s="0" t="n">
        <v>2948441</v>
      </c>
      <c r="Q17" s="0" t="n">
        <v>3798783</v>
      </c>
      <c r="R17" s="0" t="n">
        <v>2411154</v>
      </c>
      <c r="S17" s="0" t="n">
        <v>793953</v>
      </c>
      <c r="T17" s="0" t="n">
        <v>150098</v>
      </c>
      <c r="U17" s="0" t="n">
        <v>0</v>
      </c>
      <c r="V17" s="0" t="n">
        <v>43398</v>
      </c>
      <c r="W17" s="0" t="n">
        <v>1564</v>
      </c>
      <c r="Y17" s="63" t="n">
        <v>37288.9024074074</v>
      </c>
      <c r="Z17" s="0" t="n">
        <v>698724</v>
      </c>
      <c r="AA17" s="0" t="n">
        <v>8278</v>
      </c>
      <c r="AB17" s="0" t="n">
        <v>3753459</v>
      </c>
      <c r="AC17" s="0" t="n">
        <v>5981466</v>
      </c>
      <c r="AD17" s="0" t="n">
        <v>2629003</v>
      </c>
      <c r="AE17" s="0" t="n">
        <v>908909</v>
      </c>
      <c r="AF17" s="0" t="n">
        <v>191260</v>
      </c>
      <c r="AG17" s="0" t="n">
        <v>0</v>
      </c>
      <c r="AH17" s="0" t="n">
        <v>78870</v>
      </c>
      <c r="AI17" s="0" t="n">
        <v>79406</v>
      </c>
      <c r="AJ17" s="0" t="n">
        <f aca="false">(Y17-M17)*24</f>
        <v>765.648611111111</v>
      </c>
      <c r="AK17" s="0" t="n">
        <f aca="false">(SUM(AC17:AI17)-SUM(Q17:W17))/3600</f>
        <v>741.656666666667</v>
      </c>
      <c r="AL17" s="0" t="n">
        <f aca="false">AD17-R17</f>
        <v>217849</v>
      </c>
      <c r="AM17" s="65" t="n">
        <f aca="false">(AI17-W17)+(210)*3600</f>
        <v>833842</v>
      </c>
      <c r="AN17" s="0" t="n">
        <f aca="false">AH17-V17</f>
        <v>35472</v>
      </c>
      <c r="AO17" s="0" t="n">
        <f aca="false">(AE17-S17)/3600</f>
        <v>31.9322222222222</v>
      </c>
      <c r="AP17" s="0" t="n">
        <f aca="false">AK17/AJ17</f>
        <v>0.968664549120481</v>
      </c>
      <c r="AQ17" s="0" t="n">
        <f aca="false">(AJ17*3600-AL17-AM17-AN17-AO17)/((AJ17-4)*3600-AO17)</f>
        <v>0.608752398067289</v>
      </c>
      <c r="AR17" s="0" t="n">
        <f aca="false">(AK17*3600-AL17-AM17-AN17)/((AK17-4)*3600)</f>
        <v>0.596031954040648</v>
      </c>
      <c r="AS17" s="33" t="n">
        <f aca="false">AL17/($AL17*3600)</f>
        <v>0.000277777777777778</v>
      </c>
      <c r="AT17" s="33" t="n">
        <f aca="false">AM17/($AL17*3600)</f>
        <v>0.00106322626120743</v>
      </c>
      <c r="AU17" s="33" t="n">
        <f aca="false">AN17/($AL17*3600)</f>
        <v>4.52301058684379E-005</v>
      </c>
      <c r="AV17" s="0" t="n">
        <f aca="false">(AJ17*3600-AL17-AM17-AN17-AO17)/((AJ17)*3600-AO17)</f>
        <v>0.605572038608764</v>
      </c>
    </row>
    <row r="18" customFormat="false" ht="12.75" hidden="false" customHeight="false" outlineLevel="0" collapsed="false">
      <c r="A18" s="19" t="s">
        <v>17</v>
      </c>
      <c r="B18" s="19" t="n">
        <v>1</v>
      </c>
      <c r="C18" s="19" t="n">
        <v>8</v>
      </c>
      <c r="D18" s="20" t="n">
        <v>37257</v>
      </c>
      <c r="E18" s="21" t="n">
        <f aca="false">Z18-N18</f>
        <v>593380</v>
      </c>
      <c r="F18" s="21" t="n">
        <f aca="false">AA18-O18</f>
        <v>338</v>
      </c>
      <c r="G18" s="27" t="n">
        <f aca="false">E18-F18</f>
        <v>593042</v>
      </c>
      <c r="H18" s="31" t="n">
        <f aca="false">G18/(1500*AJ18)</f>
        <v>0.534988000082693</v>
      </c>
      <c r="I18" s="23" t="n">
        <f aca="false">MIN(AQ18-(I39/AJ18),1)</f>
        <v>0.963961827961378</v>
      </c>
      <c r="J18" s="23" t="n">
        <f aca="false">MIN(AV18-(I39/AJ18),1)</f>
        <v>0.958744226845702</v>
      </c>
      <c r="K18" s="27" t="n">
        <f aca="false">I18*MAX(AK18,AJ18)</f>
        <v>712.378233783261</v>
      </c>
      <c r="M18" s="63" t="n">
        <v>37257.207974537</v>
      </c>
      <c r="N18" s="0" t="n">
        <v>994065</v>
      </c>
      <c r="O18" s="0" t="n">
        <v>2263</v>
      </c>
      <c r="P18" s="0" t="n">
        <v>5056500</v>
      </c>
      <c r="Q18" s="0" t="n">
        <v>5447766</v>
      </c>
      <c r="R18" s="0" t="n">
        <v>647344</v>
      </c>
      <c r="S18" s="0" t="n">
        <v>359891</v>
      </c>
      <c r="T18" s="0" t="n">
        <v>248404</v>
      </c>
      <c r="U18" s="0" t="n">
        <v>0</v>
      </c>
      <c r="V18" s="0" t="n">
        <v>418875</v>
      </c>
      <c r="W18" s="0" t="n">
        <v>10109</v>
      </c>
      <c r="Y18" s="63" t="n">
        <v>37288.0000462963</v>
      </c>
      <c r="Z18" s="0" t="n">
        <v>1587445</v>
      </c>
      <c r="AA18" s="0" t="n">
        <v>2601</v>
      </c>
      <c r="AB18" s="0" t="n">
        <v>7486999</v>
      </c>
      <c r="AC18" s="0" t="n">
        <v>7962011</v>
      </c>
      <c r="AD18" s="0" t="n">
        <v>757102</v>
      </c>
      <c r="AE18" s="0" t="n">
        <v>386318</v>
      </c>
      <c r="AF18" s="0" t="n">
        <v>258413</v>
      </c>
      <c r="AG18" s="0" t="n">
        <v>0</v>
      </c>
      <c r="AH18" s="0" t="n">
        <v>418875</v>
      </c>
      <c r="AI18" s="0" t="n">
        <v>10109</v>
      </c>
      <c r="AJ18" s="0" t="n">
        <f aca="false">(Y18-M18)*24</f>
        <v>739.009722222222</v>
      </c>
      <c r="AK18" s="0" t="n">
        <f aca="false">(SUM(AC18:AI18)-SUM(Q18:W18))/3600</f>
        <v>739.010833333333</v>
      </c>
      <c r="AL18" s="0" t="n">
        <f aca="false">AD18-R18</f>
        <v>109758</v>
      </c>
      <c r="AM18" s="0" t="n">
        <f aca="false">AI18-W18</f>
        <v>0</v>
      </c>
      <c r="AN18" s="0" t="n">
        <f aca="false">AH18-V18</f>
        <v>0</v>
      </c>
      <c r="AO18" s="0" t="n">
        <f aca="false">(AE18-S18)/3600</f>
        <v>7.34083333333333</v>
      </c>
      <c r="AP18" s="0" t="n">
        <f aca="false">AK18/AJ18</f>
        <v>1.00000150351352</v>
      </c>
      <c r="AQ18" s="0" t="n">
        <f aca="false">(AJ18*3600-AL18-AM18-AN18-AO18)/((AJ18-4)*3600-AO18)</f>
        <v>0.963961827961378</v>
      </c>
      <c r="AR18" s="0" t="n">
        <f aca="false">(AK18*3600-AL18-AM18-AN18)/((AK18-4)*3600)</f>
        <v>0.96396198241976</v>
      </c>
      <c r="AS18" s="33" t="n">
        <f aca="false">AL18/($AL18*3600)</f>
        <v>0.000277777777777778</v>
      </c>
      <c r="AT18" s="33" t="n">
        <f aca="false">AM18/($AL18*3600)</f>
        <v>0</v>
      </c>
      <c r="AU18" s="33" t="n">
        <f aca="false">AN18/($AL18*3600)</f>
        <v>0</v>
      </c>
      <c r="AV18" s="0" t="n">
        <f aca="false">(AJ18*3600-AL18-AM18-AN18-AO18)/((AJ18)*3600-AO18)</f>
        <v>0.958744226845702</v>
      </c>
    </row>
    <row r="19" customFormat="false" ht="12.75" hidden="false" customHeight="false" outlineLevel="0" collapsed="false">
      <c r="A19" s="19" t="s">
        <v>17</v>
      </c>
      <c r="B19" s="19" t="n">
        <v>1</v>
      </c>
      <c r="C19" s="19" t="n">
        <v>9</v>
      </c>
      <c r="D19" s="20" t="n">
        <v>37257</v>
      </c>
      <c r="E19" s="21" t="n">
        <f aca="false">Z19-N19</f>
        <v>572519</v>
      </c>
      <c r="F19" s="21" t="n">
        <f aca="false">AA19-O19</f>
        <v>315</v>
      </c>
      <c r="G19" s="27" t="n">
        <f aca="false">E19-F19</f>
        <v>572204</v>
      </c>
      <c r="H19" s="31" t="n">
        <f aca="false">G19/(1500*AJ19)</f>
        <v>0.516231589868507</v>
      </c>
      <c r="I19" s="23" t="n">
        <f aca="false">MIN(AQ19-(I40/AJ19),1)</f>
        <v>0.979931307702445</v>
      </c>
      <c r="J19" s="23" t="n">
        <f aca="false">MIN(AV19-(I40/AJ19),1)</f>
        <v>0.974626840475867</v>
      </c>
      <c r="K19" s="27" t="n">
        <f aca="false">I19*MAX(AK19,AJ19)</f>
        <v>724.121056436145</v>
      </c>
      <c r="M19" s="63" t="n">
        <v>37257.2108564815</v>
      </c>
      <c r="N19" s="0" t="n">
        <v>796439</v>
      </c>
      <c r="O19" s="0" t="n">
        <v>1423</v>
      </c>
      <c r="P19" s="0" t="n">
        <v>4286211</v>
      </c>
      <c r="Q19" s="0" t="n">
        <v>4895858</v>
      </c>
      <c r="R19" s="0" t="n">
        <v>245396</v>
      </c>
      <c r="S19" s="0" t="n">
        <v>166056</v>
      </c>
      <c r="T19" s="0" t="n">
        <v>197896</v>
      </c>
      <c r="U19" s="0" t="n">
        <v>0</v>
      </c>
      <c r="V19" s="0" t="n">
        <v>21863</v>
      </c>
      <c r="W19" s="0" t="n">
        <v>29415</v>
      </c>
      <c r="Y19" s="63" t="n">
        <v>37288.0004398148</v>
      </c>
      <c r="Z19" s="0" t="n">
        <v>1368958</v>
      </c>
      <c r="AA19" s="0" t="n">
        <v>1738</v>
      </c>
      <c r="AB19" s="0" t="n">
        <v>6769795</v>
      </c>
      <c r="AC19" s="0" t="n">
        <v>7455863</v>
      </c>
      <c r="AD19" s="0" t="n">
        <v>311677</v>
      </c>
      <c r="AE19" s="0" t="n">
        <v>192507</v>
      </c>
      <c r="AF19" s="0" t="n">
        <v>204165</v>
      </c>
      <c r="AG19" s="0" t="n">
        <v>0</v>
      </c>
      <c r="AH19" s="0" t="n">
        <v>21863</v>
      </c>
      <c r="AI19" s="0" t="n">
        <v>30632</v>
      </c>
      <c r="AJ19" s="0" t="n">
        <f aca="false">(Y19-M19)*24</f>
        <v>738.95</v>
      </c>
      <c r="AK19" s="0" t="n">
        <f aca="false">(SUM(AC19:AI19)-SUM(Q19:W19))/3600</f>
        <v>738.950833333333</v>
      </c>
      <c r="AL19" s="0" t="n">
        <f aca="false">AD19-R19</f>
        <v>66281</v>
      </c>
      <c r="AM19" s="0" t="n">
        <f aca="false">AI19-W19</f>
        <v>1217</v>
      </c>
      <c r="AN19" s="0" t="n">
        <f aca="false">AH19-V19</f>
        <v>0</v>
      </c>
      <c r="AO19" s="0" t="n">
        <f aca="false">(AE19-S19)/3600</f>
        <v>7.3475</v>
      </c>
      <c r="AP19" s="0" t="n">
        <f aca="false">AK19/AJ19</f>
        <v>1.00000112772628</v>
      </c>
      <c r="AQ19" s="0" t="n">
        <f aca="false">(AJ19*3600-AL19-AM19-AN19-AO19)/((AJ19-4)*3600-AO19)</f>
        <v>0.979931307702445</v>
      </c>
      <c r="AR19" s="0" t="n">
        <f aca="false">(AK19*3600-AL19-AM19-AN19)/((AK19-4)*3600)</f>
        <v>0.979931386188721</v>
      </c>
      <c r="AS19" s="33" t="n">
        <f aca="false">AL19/($AL19*3600)</f>
        <v>0.000277777777777778</v>
      </c>
      <c r="AT19" s="33" t="n">
        <f aca="false">AM19/($AL19*3600)</f>
        <v>5.1003387932523E-006</v>
      </c>
      <c r="AU19" s="33" t="n">
        <f aca="false">AN19/($AL19*3600)</f>
        <v>0</v>
      </c>
      <c r="AV19" s="0" t="n">
        <f aca="false">(AJ19*3600-AL19-AM19-AN19-AO19)/((AJ19)*3600-AO19)</f>
        <v>0.974626840475867</v>
      </c>
    </row>
    <row r="20" customFormat="false" ht="12.75" hidden="false" customHeight="false" outlineLevel="0" collapsed="false">
      <c r="A20" s="19" t="s">
        <v>17</v>
      </c>
      <c r="B20" s="19" t="n">
        <v>1</v>
      </c>
      <c r="C20" s="19" t="n">
        <v>10</v>
      </c>
      <c r="D20" s="20" t="n">
        <v>37257</v>
      </c>
      <c r="E20" s="21" t="n">
        <f aca="false">Z20-N20</f>
        <v>516718</v>
      </c>
      <c r="F20" s="21" t="n">
        <f aca="false">AA20-O20</f>
        <v>589</v>
      </c>
      <c r="G20" s="27" t="n">
        <f aca="false">E20-F20</f>
        <v>516129</v>
      </c>
      <c r="H20" s="31" t="n">
        <f aca="false">G20/(1500*AJ20)</f>
        <v>0.488839533066559</v>
      </c>
      <c r="I20" s="23" t="n">
        <f aca="false">MIN(AQ20-(I41/AJ20),1)</f>
        <v>0.870593543744277</v>
      </c>
      <c r="J20" s="23" t="n">
        <f aca="false">MIN(AV20-(I41/AJ20),1)</f>
        <v>0.865534470308633</v>
      </c>
      <c r="K20" s="27" t="n">
        <f aca="false">I20*MAX(AK20,AJ20)</f>
        <v>612.80039668538</v>
      </c>
      <c r="M20" s="63" t="n">
        <v>37257.20625</v>
      </c>
      <c r="N20" s="0" t="n">
        <v>562191</v>
      </c>
      <c r="O20" s="0" t="n">
        <v>2254</v>
      </c>
      <c r="P20" s="0" t="n">
        <v>3032645</v>
      </c>
      <c r="Q20" s="0" t="n">
        <v>3605747</v>
      </c>
      <c r="R20" s="0" t="n">
        <v>1238375</v>
      </c>
      <c r="S20" s="0" t="n">
        <v>167105</v>
      </c>
      <c r="T20" s="0" t="n">
        <v>158332</v>
      </c>
      <c r="U20" s="0" t="n">
        <v>0</v>
      </c>
      <c r="V20" s="0" t="n">
        <v>209795</v>
      </c>
      <c r="W20" s="0" t="n">
        <v>15069</v>
      </c>
      <c r="Y20" s="63" t="n">
        <v>37286.5347222222</v>
      </c>
      <c r="Z20" s="0" t="n">
        <v>1078909</v>
      </c>
      <c r="AA20" s="0" t="n">
        <v>2843</v>
      </c>
      <c r="AB20" s="0" t="n">
        <v>5091019</v>
      </c>
      <c r="AC20" s="0" t="n">
        <v>5804738</v>
      </c>
      <c r="AD20" s="0" t="n">
        <v>1528630</v>
      </c>
      <c r="AE20" s="0" t="n">
        <v>197298</v>
      </c>
      <c r="AF20" s="0" t="n">
        <v>172213</v>
      </c>
      <c r="AG20" s="0" t="n">
        <v>0</v>
      </c>
      <c r="AH20" s="0" t="n">
        <v>210472</v>
      </c>
      <c r="AI20" s="0" t="n">
        <v>15069</v>
      </c>
      <c r="AJ20" s="0" t="n">
        <f aca="false">(Y20-M20)*24</f>
        <v>703.883333333333</v>
      </c>
      <c r="AK20" s="0" t="n">
        <f aca="false">(SUM(AC20:AI20)-SUM(Q20:W20))/3600</f>
        <v>703.888055555556</v>
      </c>
      <c r="AL20" s="0" t="n">
        <f aca="false">AD20-R20</f>
        <v>290255</v>
      </c>
      <c r="AM20" s="0" t="n">
        <f aca="false">AI20-W20</f>
        <v>0</v>
      </c>
      <c r="AN20" s="0" t="n">
        <f aca="false">AH20-V20</f>
        <v>677</v>
      </c>
      <c r="AO20" s="0" t="n">
        <f aca="false">(AE20-S20)/3600</f>
        <v>8.38694444444444</v>
      </c>
      <c r="AP20" s="0" t="n">
        <f aca="false">AK20/AJ20</f>
        <v>1.0000067088138</v>
      </c>
      <c r="AQ20" s="0" t="n">
        <f aca="false">(AJ20*3600-AL20-AM20-AN20-AO20)/((AJ20-4)*3600-AO20)</f>
        <v>0.890246421825398</v>
      </c>
      <c r="AR20" s="0" t="n">
        <f aca="false">(AK20*3600-AL20-AM20-AN20)/((AK20-4)*3600)</f>
        <v>0.890247527680022</v>
      </c>
      <c r="AS20" s="33" t="n">
        <f aca="false">AL20/($AJ20*3600)</f>
        <v>0.11454510296056</v>
      </c>
      <c r="AT20" s="33" t="n">
        <f aca="false">AM20/($AJ20*3600)</f>
        <v>0</v>
      </c>
      <c r="AU20" s="33" t="n">
        <f aca="false">AN20/($AJ20*3600)</f>
        <v>0.000267168643793558</v>
      </c>
      <c r="AV20" s="0" t="n">
        <f aca="false">(AJ20*3600-AL20-AM20-AN20-AO20)/((AJ20)*3600-AO20)</f>
        <v>0.885187348389754</v>
      </c>
    </row>
    <row r="21" customFormat="false" ht="12.75" hidden="false" customHeight="false" outlineLevel="0" collapsed="false">
      <c r="A21" s="24"/>
      <c r="B21" s="25"/>
      <c r="C21" s="26" t="s">
        <v>18</v>
      </c>
      <c r="D21" s="20" t="n">
        <v>37257</v>
      </c>
      <c r="E21" s="21" t="n">
        <f aca="false">SUM(E11:E20)</f>
        <v>5086855</v>
      </c>
      <c r="F21" s="21" t="n">
        <f aca="false">SUM(F11:F20)</f>
        <v>6217</v>
      </c>
      <c r="G21" s="21" t="n">
        <f aca="false">SUM(G11:G20)</f>
        <v>5080638</v>
      </c>
      <c r="H21" s="23" t="n">
        <f aca="false">AVERAGE(H11:H20)</f>
        <v>0.464125932525819</v>
      </c>
      <c r="I21" s="23" t="n">
        <f aca="false">AVERAGE(I11:I20)</f>
        <v>0.917748683153416</v>
      </c>
      <c r="J21" s="66" t="n">
        <f aca="false">AVERAGE(J11:J20)</f>
        <v>0.912637611143905</v>
      </c>
      <c r="K21" s="21" t="n">
        <f aca="false">SUM(K11:K20)</f>
        <v>6705.53384765649</v>
      </c>
      <c r="AJ21" s="0" t="n">
        <f aca="false">SUM(AJ11:AJ20)</f>
        <v>7320.25166666667</v>
      </c>
    </row>
    <row r="22" customFormat="false" ht="14.25" hidden="false" customHeight="false" outlineLevel="0" collapsed="false">
      <c r="A22" s="24"/>
      <c r="B22" s="25"/>
      <c r="C22" s="26" t="s">
        <v>20</v>
      </c>
      <c r="D22" s="20" t="n">
        <v>37257</v>
      </c>
      <c r="E22" s="27" t="n">
        <f aca="false">E21*(0.02)</f>
        <v>101737.1</v>
      </c>
      <c r="F22" s="27" t="n">
        <f aca="false">F21*(0.02)</f>
        <v>124.34</v>
      </c>
      <c r="G22" s="27" t="n">
        <f aca="false">G21*(0.02)</f>
        <v>101612.76</v>
      </c>
      <c r="H22" s="28" t="s">
        <v>21</v>
      </c>
      <c r="I22" s="29" t="s">
        <v>21</v>
      </c>
      <c r="J22" s="28" t="s">
        <v>21</v>
      </c>
      <c r="K22" s="28" t="s">
        <v>21</v>
      </c>
      <c r="AM22" s="0" t="s">
        <v>90</v>
      </c>
    </row>
    <row r="23" customFormat="false" ht="12.75" hidden="false" customHeight="false" outlineLevel="0" collapsed="false">
      <c r="A23" s="24"/>
      <c r="B23" s="25"/>
      <c r="C23" s="26" t="s">
        <v>22</v>
      </c>
      <c r="D23" s="20" t="n">
        <v>37257</v>
      </c>
      <c r="E23" s="27" t="n">
        <f aca="false">E21-E22</f>
        <v>4985117.9</v>
      </c>
      <c r="F23" s="27" t="n">
        <f aca="false">F21-F22</f>
        <v>6092.66</v>
      </c>
      <c r="G23" s="27" t="n">
        <f aca="false">G21-G22</f>
        <v>4979025.24</v>
      </c>
      <c r="H23" s="23" t="n">
        <f aca="false">H21</f>
        <v>0.464125932525819</v>
      </c>
      <c r="I23" s="23" t="n">
        <f aca="false">I21</f>
        <v>0.917748683153416</v>
      </c>
      <c r="J23" s="23" t="n">
        <f aca="false">J21</f>
        <v>0.912637611143905</v>
      </c>
      <c r="K23" s="21" t="n">
        <f aca="false">K21</f>
        <v>6705.53384765649</v>
      </c>
    </row>
    <row r="24" customFormat="false" ht="12.75" hidden="false" customHeight="false" outlineLevel="0" collapsed="false">
      <c r="A24" s="24"/>
      <c r="B24" s="25"/>
      <c r="C24" s="26" t="s">
        <v>22</v>
      </c>
      <c r="D24" s="30" t="s">
        <v>23</v>
      </c>
      <c r="E24" s="27" t="n">
        <f aca="false">E23</f>
        <v>4985117.9</v>
      </c>
      <c r="F24" s="27" t="n">
        <f aca="false">F23</f>
        <v>6092.66</v>
      </c>
      <c r="G24" s="27" t="n">
        <f aca="false">G23</f>
        <v>4979025.24</v>
      </c>
      <c r="H24" s="31" t="n">
        <f aca="false">H23</f>
        <v>0.464125932525819</v>
      </c>
      <c r="I24" s="31" t="n">
        <f aca="false">I23</f>
        <v>0.917748683153416</v>
      </c>
      <c r="J24" s="31" t="n">
        <f aca="false">J23</f>
        <v>0.912637611143905</v>
      </c>
      <c r="K24" s="27" t="n">
        <f aca="false">K23+'1101'!J24</f>
        <v>19905.9538476565</v>
      </c>
    </row>
    <row r="25" customFormat="false" ht="12.75" hidden="false" customHeight="false" outlineLevel="0" collapsed="false">
      <c r="D25" s="32"/>
      <c r="E25" s="3"/>
      <c r="F25" s="3"/>
      <c r="G25" s="3"/>
      <c r="H25" s="3"/>
      <c r="I25" s="33"/>
      <c r="J25" s="33"/>
      <c r="K25" s="3"/>
    </row>
    <row r="26" customFormat="false" ht="12.75" hidden="false" customHeight="false" outlineLevel="0" collapsed="false">
      <c r="A26" s="0" t="s">
        <v>24</v>
      </c>
      <c r="D26" s="32"/>
      <c r="E26" s="3"/>
      <c r="F26" s="3"/>
      <c r="G26" s="3"/>
      <c r="H26" s="3"/>
      <c r="I26" s="33"/>
      <c r="J26" s="33"/>
    </row>
    <row r="27" customFormat="false" ht="12.75" hidden="false" customHeight="false" outlineLevel="0" collapsed="false">
      <c r="A27" s="0" t="s">
        <v>91</v>
      </c>
      <c r="D27" s="32"/>
      <c r="E27" s="3"/>
      <c r="F27" s="3"/>
      <c r="G27" s="3"/>
      <c r="H27" s="3"/>
      <c r="I27" s="33"/>
      <c r="J27" s="33"/>
      <c r="K27" s="3"/>
    </row>
    <row r="28" customFormat="false" ht="12.75" hidden="false" customHeight="false" outlineLevel="0" collapsed="false">
      <c r="A28" s="0" t="s">
        <v>26</v>
      </c>
      <c r="D28" s="1"/>
      <c r="G28" s="3"/>
      <c r="H28" s="3"/>
      <c r="I28" s="33"/>
      <c r="J28" s="33"/>
      <c r="K28" s="3"/>
    </row>
    <row r="29" customFormat="false" ht="12.75" hidden="false" customHeight="false" outlineLevel="0" collapsed="false">
      <c r="A29" s="0" t="s">
        <v>92</v>
      </c>
      <c r="D29" s="1"/>
      <c r="G29" s="3"/>
      <c r="H29" s="3"/>
      <c r="I29" s="33"/>
      <c r="J29" s="33"/>
      <c r="K29" s="3"/>
    </row>
    <row r="31" customFormat="false" ht="12.75" hidden="false" customHeight="false" outlineLevel="0" collapsed="false">
      <c r="H31" s="24" t="s">
        <v>93</v>
      </c>
      <c r="I31" s="41"/>
    </row>
    <row r="32" customFormat="false" ht="12.75" hidden="false" customHeight="false" outlineLevel="0" collapsed="false">
      <c r="H32" s="19" t="n">
        <v>1</v>
      </c>
      <c r="I32" s="67" t="n">
        <f aca="false">MAX(0,2/6-1.5)</f>
        <v>0</v>
      </c>
    </row>
    <row r="33" customFormat="false" ht="12.75" hidden="false" customHeight="false" outlineLevel="0" collapsed="false">
      <c r="H33" s="19" t="n">
        <v>2</v>
      </c>
      <c r="I33" s="67" t="n">
        <f aca="false">MAX(0,93/6-1.5)</f>
        <v>14</v>
      </c>
    </row>
    <row r="34" customFormat="false" ht="12.75" hidden="false" customHeight="false" outlineLevel="0" collapsed="false">
      <c r="H34" s="19" t="n">
        <v>3</v>
      </c>
      <c r="I34" s="67" t="n">
        <f aca="false">MAX(0,27/6-1.5)</f>
        <v>3</v>
      </c>
    </row>
    <row r="35" customFormat="false" ht="12.75" hidden="false" customHeight="false" outlineLevel="0" collapsed="false">
      <c r="H35" s="19" t="n">
        <v>4</v>
      </c>
      <c r="I35" s="67" t="n">
        <f aca="false">MAX(0,21/6-1.5)</f>
        <v>2</v>
      </c>
    </row>
    <row r="36" customFormat="false" ht="12.75" hidden="false" customHeight="false" outlineLevel="0" collapsed="false">
      <c r="H36" s="19" t="n">
        <v>5</v>
      </c>
      <c r="I36" s="67" t="n">
        <f aca="false">MAX(0,19/6-1.5)</f>
        <v>1.66666666666667</v>
      </c>
    </row>
    <row r="37" customFormat="false" ht="12.75" hidden="false" customHeight="false" outlineLevel="0" collapsed="false">
      <c r="H37" s="19" t="n">
        <v>6</v>
      </c>
      <c r="I37" s="67" t="n">
        <f aca="false">MAX(0,14/6-1.5)</f>
        <v>0.833333333333334</v>
      </c>
    </row>
    <row r="38" customFormat="false" ht="12.75" hidden="false" customHeight="false" outlineLevel="0" collapsed="false">
      <c r="H38" s="64" t="n">
        <v>7</v>
      </c>
      <c r="I38" s="67" t="n">
        <f aca="false">MAX(0,505/6-1.5)</f>
        <v>82.6666666666667</v>
      </c>
    </row>
    <row r="39" customFormat="false" ht="12.75" hidden="false" customHeight="false" outlineLevel="0" collapsed="false">
      <c r="H39" s="19" t="n">
        <v>8</v>
      </c>
      <c r="I39" s="67" t="n">
        <f aca="false">MAX(0,9/6-1.5)</f>
        <v>0</v>
      </c>
    </row>
    <row r="40" customFormat="false" ht="12.75" hidden="false" customHeight="false" outlineLevel="0" collapsed="false">
      <c r="H40" s="19" t="n">
        <v>9</v>
      </c>
      <c r="I40" s="67" t="n">
        <f aca="false">MAX(0,9/6-1.5)</f>
        <v>0</v>
      </c>
    </row>
    <row r="41" customFormat="false" ht="12.75" hidden="false" customHeight="false" outlineLevel="0" collapsed="false">
      <c r="H41" s="19" t="n">
        <v>10</v>
      </c>
      <c r="I41" s="67" t="n">
        <f aca="false">MAX(0,92/6-1.5)</f>
        <v>13.8333333333333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53"/>
  <sheetViews>
    <sheetView showFormulas="false" showGridLines="true" showRowColHeaders="true" showZeros="true" rightToLeft="false" tabSelected="false" showOutlineSymbols="true" defaultGridColor="true" view="normal" topLeftCell="F9" colorId="64" zoomScale="100" zoomScaleNormal="100" zoomScalePageLayoutView="100" workbookViewId="0">
      <selection pane="topLeft" activeCell="I42" activeCellId="0" sqref="I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  <col collapsed="false" customWidth="true" hidden="false" outlineLevel="0" max="11" min="5" style="0" width="15.7"/>
    <col collapsed="false" customWidth="false" hidden="true" outlineLevel="0" max="14" min="13" style="0" width="9.06"/>
  </cols>
  <sheetData>
    <row r="1" customFormat="false" ht="30" hidden="false" customHeight="false" outlineLevel="0" collapsed="false">
      <c r="A1" s="2" t="s">
        <v>94</v>
      </c>
      <c r="D1" s="1"/>
      <c r="K1" s="3"/>
    </row>
    <row r="2" customFormat="false" ht="12.75" hidden="false" customHeight="false" outlineLevel="0" collapsed="false">
      <c r="D2" s="1"/>
      <c r="K2" s="3"/>
    </row>
    <row r="3" customFormat="false" ht="12.75" hidden="false" customHeight="false" outlineLevel="0" collapsed="false">
      <c r="A3" s="0" t="s">
        <v>1</v>
      </c>
      <c r="D3" s="1"/>
      <c r="K3" s="3"/>
    </row>
    <row r="4" customFormat="false" ht="12.75" hidden="false" customHeight="false" outlineLevel="0" collapsed="false">
      <c r="A4" s="0" t="s">
        <v>2</v>
      </c>
      <c r="D4" s="1"/>
      <c r="K4" s="3"/>
    </row>
    <row r="5" customFormat="false" ht="12.75" hidden="false" customHeight="false" outlineLevel="0" collapsed="false">
      <c r="A5" s="0" t="s">
        <v>95</v>
      </c>
      <c r="D5" s="1"/>
      <c r="K5" s="3"/>
    </row>
    <row r="6" customFormat="false" ht="12.75" hidden="false" customHeight="false" outlineLevel="0" collapsed="false">
      <c r="A6" s="0" t="s">
        <v>96</v>
      </c>
      <c r="D6" s="1"/>
      <c r="K6" s="3"/>
    </row>
    <row r="7" customFormat="false" ht="12.75" hidden="false" customHeight="false" outlineLevel="0" collapsed="false">
      <c r="D7" s="1"/>
      <c r="K7" s="3"/>
    </row>
    <row r="8" customFormat="false" ht="18" hidden="false" customHeight="false" outlineLevel="0" collapsed="false">
      <c r="A8" s="4" t="s">
        <v>5</v>
      </c>
      <c r="D8" s="1"/>
      <c r="K8" s="3"/>
    </row>
    <row r="9" customFormat="false" ht="12.75" hidden="false" customHeight="false" outlineLevel="0" collapsed="false">
      <c r="A9" s="5"/>
      <c r="B9" s="5"/>
      <c r="C9" s="5"/>
      <c r="D9" s="6"/>
      <c r="E9" s="7" t="s">
        <v>6</v>
      </c>
      <c r="F9" s="8"/>
      <c r="G9" s="9"/>
      <c r="H9" s="10"/>
      <c r="I9" s="11"/>
      <c r="J9" s="11"/>
      <c r="K9" s="12"/>
    </row>
    <row r="10" customFormat="false" ht="25.5" hidden="false" customHeight="false" outlineLevel="0" collapsed="false">
      <c r="A10" s="57" t="s">
        <v>7</v>
      </c>
      <c r="B10" s="57" t="s">
        <v>8</v>
      </c>
      <c r="C10" s="57" t="s">
        <v>9</v>
      </c>
      <c r="D10" s="57" t="s">
        <v>53</v>
      </c>
      <c r="E10" s="58" t="s">
        <v>11</v>
      </c>
      <c r="F10" s="59" t="s">
        <v>12</v>
      </c>
      <c r="G10" s="60" t="s">
        <v>13</v>
      </c>
      <c r="H10" s="60" t="s">
        <v>14</v>
      </c>
      <c r="I10" s="61" t="s">
        <v>54</v>
      </c>
      <c r="J10" s="61" t="s">
        <v>55</v>
      </c>
      <c r="K10" s="68" t="s">
        <v>16</v>
      </c>
      <c r="L10" s="43"/>
      <c r="M10" s="69" t="s">
        <v>97</v>
      </c>
      <c r="N10" s="69" t="s">
        <v>98</v>
      </c>
    </row>
    <row r="11" customFormat="false" ht="12.75" hidden="false" customHeight="false" outlineLevel="0" collapsed="false">
      <c r="A11" s="19" t="s">
        <v>17</v>
      </c>
      <c r="B11" s="19" t="n">
        <v>1</v>
      </c>
      <c r="C11" s="64" t="n">
        <v>1</v>
      </c>
      <c r="D11" s="20" t="n">
        <v>37288</v>
      </c>
      <c r="E11" s="70" t="n">
        <v>451762</v>
      </c>
      <c r="F11" s="70" t="n">
        <v>389</v>
      </c>
      <c r="G11" s="27" t="n">
        <f aca="false">E11-F11</f>
        <v>451373</v>
      </c>
      <c r="H11" s="31" t="n">
        <f aca="false">E11/(1500*28*24)</f>
        <v>0.448176587301587</v>
      </c>
      <c r="I11" s="71" t="n">
        <f aca="false">96.8087193487558%-(I33/(28*24))</f>
        <v>0.968087193487558</v>
      </c>
      <c r="J11" s="72" t="n">
        <f aca="false">I11*(28*24)/(28*24+4)</f>
        <v>0.962358866898874</v>
      </c>
      <c r="K11" s="27" t="n">
        <f aca="false">I11*28*24</f>
        <v>650.554594023639</v>
      </c>
      <c r="M11" s="73" t="n">
        <v>643.844722222222</v>
      </c>
      <c r="N11" s="73" t="n">
        <v>662.454474885845</v>
      </c>
    </row>
    <row r="12" customFormat="false" ht="12.75" hidden="false" customHeight="false" outlineLevel="0" collapsed="false">
      <c r="A12" s="19" t="s">
        <v>17</v>
      </c>
      <c r="B12" s="19" t="n">
        <v>1</v>
      </c>
      <c r="C12" s="64" t="n">
        <v>2</v>
      </c>
      <c r="D12" s="20" t="n">
        <v>37288</v>
      </c>
      <c r="E12" s="70" t="n">
        <v>367936</v>
      </c>
      <c r="F12" s="70" t="n">
        <v>972</v>
      </c>
      <c r="G12" s="27" t="n">
        <f aca="false">E12-F12</f>
        <v>366964</v>
      </c>
      <c r="H12" s="31" t="n">
        <f aca="false">E12/(1500*28*24)</f>
        <v>0.365015873015873</v>
      </c>
      <c r="I12" s="71" t="n">
        <f aca="false">96.8087193487558%-(I34/(28*24))</f>
        <v>0.885993939519304</v>
      </c>
      <c r="J12" s="72" t="n">
        <f aca="false">I12*(28*24)/(28*24+4)</f>
        <v>0.880751371829841</v>
      </c>
      <c r="K12" s="27" t="n">
        <f aca="false">I12*28*24</f>
        <v>595.387927356972</v>
      </c>
      <c r="M12" s="73" t="n">
        <v>626.853611111111</v>
      </c>
      <c r="N12" s="73" t="n">
        <v>664.218085996956</v>
      </c>
    </row>
    <row r="13" customFormat="false" ht="12.75" hidden="false" customHeight="false" outlineLevel="0" collapsed="false">
      <c r="A13" s="19" t="s">
        <v>17</v>
      </c>
      <c r="B13" s="19" t="n">
        <v>1</v>
      </c>
      <c r="C13" s="64" t="n">
        <v>3</v>
      </c>
      <c r="D13" s="20" t="n">
        <v>37288</v>
      </c>
      <c r="E13" s="70" t="n">
        <v>474658</v>
      </c>
      <c r="F13" s="70" t="n">
        <v>280</v>
      </c>
      <c r="G13" s="27" t="n">
        <f aca="false">E13-F13</f>
        <v>474378</v>
      </c>
      <c r="H13" s="31" t="n">
        <f aca="false">E13/(1500*28*24)</f>
        <v>0.470890873015873</v>
      </c>
      <c r="I13" s="71" t="n">
        <f aca="false">96.8087193487558%-(I35/(28*24))</f>
        <v>0.96734314586851</v>
      </c>
      <c r="J13" s="72" t="n">
        <f aca="false">I13*(28*24)/(28*24+4)</f>
        <v>0.96161922192846</v>
      </c>
      <c r="K13" s="27" t="n">
        <f aca="false">I13*28*24</f>
        <v>650.054594023639</v>
      </c>
      <c r="M13" s="73" t="n">
        <v>665.001944444445</v>
      </c>
      <c r="N13" s="73" t="n">
        <v>664.243919330289</v>
      </c>
    </row>
    <row r="14" customFormat="false" ht="12.75" hidden="false" customHeight="false" outlineLevel="0" collapsed="false">
      <c r="A14" s="19" t="s">
        <v>17</v>
      </c>
      <c r="B14" s="19" t="n">
        <v>1</v>
      </c>
      <c r="C14" s="64" t="n">
        <v>4</v>
      </c>
      <c r="D14" s="20" t="n">
        <v>37288</v>
      </c>
      <c r="E14" s="70" t="n">
        <v>487863</v>
      </c>
      <c r="F14" s="70" t="n">
        <v>409</v>
      </c>
      <c r="G14" s="27" t="n">
        <f aca="false">E14-F14</f>
        <v>487454</v>
      </c>
      <c r="H14" s="31" t="n">
        <f aca="false">E14/(1500*28*24)</f>
        <v>0.483991071428571</v>
      </c>
      <c r="I14" s="71" t="n">
        <f aca="false">96.8087193487558%-(I36/(28*24))</f>
        <v>0.966103066503431</v>
      </c>
      <c r="J14" s="72" t="n">
        <f aca="false">I14*(28*24)/(28*24+4)</f>
        <v>0.960386480311103</v>
      </c>
      <c r="K14" s="27" t="n">
        <f aca="false">I14*28*24</f>
        <v>649.221260690306</v>
      </c>
      <c r="M14" s="73" t="n">
        <v>651.446111111111</v>
      </c>
      <c r="N14" s="73" t="n">
        <v>660.899474885845</v>
      </c>
    </row>
    <row r="15" customFormat="false" ht="12.75" hidden="false" customHeight="false" outlineLevel="0" collapsed="false">
      <c r="A15" s="19" t="s">
        <v>17</v>
      </c>
      <c r="B15" s="19" t="n">
        <v>1</v>
      </c>
      <c r="C15" s="64" t="n">
        <v>5</v>
      </c>
      <c r="D15" s="20" t="n">
        <v>37288</v>
      </c>
      <c r="E15" s="70" t="n">
        <v>488884</v>
      </c>
      <c r="F15" s="70" t="n">
        <v>331</v>
      </c>
      <c r="G15" s="27" t="n">
        <f aca="false">E15-F15</f>
        <v>488553</v>
      </c>
      <c r="H15" s="31" t="n">
        <f aca="false">E15/(1500*28*24)</f>
        <v>0.485003968253968</v>
      </c>
      <c r="I15" s="71" t="n">
        <f aca="false">96.8087193487558%-(I37/(28*24))</f>
        <v>0.966103066503431</v>
      </c>
      <c r="J15" s="72" t="n">
        <f aca="false">I15*(28*24)/(28*24+4)</f>
        <v>0.960386480311103</v>
      </c>
      <c r="K15" s="27" t="n">
        <f aca="false">I15*28*24</f>
        <v>649.221260690306</v>
      </c>
      <c r="M15" s="73" t="n">
        <v>638.319722222222</v>
      </c>
      <c r="N15" s="73" t="n">
        <v>648.708363774734</v>
      </c>
    </row>
    <row r="16" customFormat="false" ht="12.75" hidden="false" customHeight="false" outlineLevel="0" collapsed="false">
      <c r="A16" s="19" t="s">
        <v>17</v>
      </c>
      <c r="B16" s="19" t="n">
        <v>1</v>
      </c>
      <c r="C16" s="64" t="n">
        <v>6</v>
      </c>
      <c r="D16" s="20" t="n">
        <v>37288</v>
      </c>
      <c r="E16" s="70" t="n">
        <v>417916</v>
      </c>
      <c r="F16" s="70" t="n">
        <v>574</v>
      </c>
      <c r="G16" s="27" t="n">
        <f aca="false">E16-F16</f>
        <v>417342</v>
      </c>
      <c r="H16" s="31" t="n">
        <f aca="false">E16/(1500*28*24)</f>
        <v>0.414599206349206</v>
      </c>
      <c r="I16" s="71" t="n">
        <f aca="false">96.8087193487558%-(I38/(28*24))</f>
        <v>0.966351082376447</v>
      </c>
      <c r="J16" s="72" t="n">
        <f aca="false">I16*(28*24)/(28*24+4)</f>
        <v>0.960633028634574</v>
      </c>
      <c r="K16" s="27" t="n">
        <f aca="false">I16*28*24</f>
        <v>649.387927356972</v>
      </c>
      <c r="M16" s="73" t="n">
        <v>599.149444444445</v>
      </c>
      <c r="N16" s="73" t="n">
        <v>663.7075304414</v>
      </c>
    </row>
    <row r="17" customFormat="false" ht="12.75" hidden="false" customHeight="false" outlineLevel="0" collapsed="false">
      <c r="A17" s="19" t="s">
        <v>17</v>
      </c>
      <c r="B17" s="19" t="n">
        <v>1</v>
      </c>
      <c r="C17" s="64" t="n">
        <v>7</v>
      </c>
      <c r="D17" s="20" t="n">
        <v>37288</v>
      </c>
      <c r="E17" s="70" t="n">
        <v>219110</v>
      </c>
      <c r="F17" s="70" t="n">
        <v>2106</v>
      </c>
      <c r="G17" s="27" t="n">
        <f aca="false">E17-F17</f>
        <v>217004</v>
      </c>
      <c r="H17" s="31" t="n">
        <f aca="false">E17/(1500*28*24)</f>
        <v>0.217371031746032</v>
      </c>
      <c r="I17" s="71" t="n">
        <f aca="false">96.8087193487558%-(I39/(28*24))</f>
        <v>0.940557431582796</v>
      </c>
      <c r="J17" s="72" t="n">
        <f aca="false">I17*(28*24)/(28*24+4)</f>
        <v>0.934992002993549</v>
      </c>
      <c r="K17" s="27" t="n">
        <f aca="false">I17*28*24</f>
        <v>632.054594023639</v>
      </c>
      <c r="M17" s="73" t="n">
        <v>612.098055555556</v>
      </c>
      <c r="N17" s="73" t="n">
        <v>664.133363774734</v>
      </c>
    </row>
    <row r="18" customFormat="false" ht="14.25" hidden="false" customHeight="false" outlineLevel="0" collapsed="false">
      <c r="A18" s="19" t="s">
        <v>17</v>
      </c>
      <c r="B18" s="19" t="n">
        <v>1</v>
      </c>
      <c r="C18" s="64" t="s">
        <v>99</v>
      </c>
      <c r="D18" s="20" t="n">
        <v>37288</v>
      </c>
      <c r="E18" s="70" t="n">
        <f aca="false">-1445440+1934915</f>
        <v>489475</v>
      </c>
      <c r="F18" s="70" t="n">
        <f aca="false">-2422+2968</f>
        <v>546</v>
      </c>
      <c r="G18" s="27" t="n">
        <f aca="false">E18-F18</f>
        <v>488929</v>
      </c>
      <c r="H18" s="31" t="n">
        <f aca="false">E18/(1500*28*24)</f>
        <v>0.485590277777778</v>
      </c>
      <c r="I18" s="71" t="n">
        <f aca="false">96.8087193487558%-(I40/(28*24))</f>
        <v>0.96734314586851</v>
      </c>
      <c r="J18" s="72" t="n">
        <f aca="false">I18*(28*24)/(28*24+4)</f>
        <v>0.96161922192846</v>
      </c>
      <c r="K18" s="27" t="n">
        <f aca="false">I18*28*24</f>
        <v>650.054594023639</v>
      </c>
      <c r="M18" s="73" t="n">
        <v>1103.47722222222</v>
      </c>
      <c r="N18" s="73" t="n">
        <v>774.9350304414</v>
      </c>
    </row>
    <row r="19" customFormat="false" ht="12.75" hidden="false" customHeight="false" outlineLevel="0" collapsed="false">
      <c r="A19" s="19" t="s">
        <v>17</v>
      </c>
      <c r="B19" s="19" t="n">
        <v>1</v>
      </c>
      <c r="C19" s="64" t="n">
        <v>9</v>
      </c>
      <c r="D19" s="20" t="n">
        <v>37288</v>
      </c>
      <c r="E19" s="70" t="n">
        <v>501580</v>
      </c>
      <c r="F19" s="70" t="n">
        <v>416</v>
      </c>
      <c r="G19" s="27" t="n">
        <f aca="false">E19-F19</f>
        <v>501164</v>
      </c>
      <c r="H19" s="31" t="n">
        <f aca="false">E19/(1500*28*24)</f>
        <v>0.497599206349206</v>
      </c>
      <c r="I19" s="71" t="n">
        <f aca="false">96.8087193487558%-(I41/(28*24))</f>
        <v>0.96734314586851</v>
      </c>
      <c r="J19" s="72" t="n">
        <f aca="false">I19*(28*24)/(28*24+4)</f>
        <v>0.96161922192846</v>
      </c>
      <c r="K19" s="27" t="n">
        <f aca="false">I19*28*24</f>
        <v>650.054594023639</v>
      </c>
      <c r="M19" s="73" t="n">
        <v>655.613611111111</v>
      </c>
      <c r="N19" s="73" t="n">
        <v>664.220863774734</v>
      </c>
    </row>
    <row r="20" customFormat="false" ht="12.75" hidden="false" customHeight="false" outlineLevel="0" collapsed="false">
      <c r="A20" s="19" t="s">
        <v>17</v>
      </c>
      <c r="B20" s="19" t="n">
        <v>1</v>
      </c>
      <c r="C20" s="64" t="n">
        <v>10</v>
      </c>
      <c r="D20" s="20" t="n">
        <v>37288</v>
      </c>
      <c r="E20" s="70" t="n">
        <v>500093</v>
      </c>
      <c r="F20" s="70" t="n">
        <v>333</v>
      </c>
      <c r="G20" s="27" t="n">
        <f aca="false">E20-F20</f>
        <v>499760</v>
      </c>
      <c r="H20" s="31" t="n">
        <f aca="false">E20/(1500*28*24)</f>
        <v>0.496124007936508</v>
      </c>
      <c r="I20" s="71" t="n">
        <f aca="false">96.8087193487558%-(I42/(28*24))</f>
        <v>0.968087193487558</v>
      </c>
      <c r="J20" s="72" t="n">
        <f aca="false">I20*(28*24)/(28*24+4)</f>
        <v>0.962358866898874</v>
      </c>
      <c r="K20" s="27" t="n">
        <f aca="false">I20*28*24</f>
        <v>650.554594023639</v>
      </c>
      <c r="M20" s="73" t="n">
        <v>649.860555555556</v>
      </c>
      <c r="N20" s="73" t="n">
        <v>664.279197108067</v>
      </c>
    </row>
    <row r="21" customFormat="false" ht="12.75" hidden="false" customHeight="false" outlineLevel="0" collapsed="false">
      <c r="A21" s="24"/>
      <c r="B21" s="25"/>
      <c r="C21" s="26" t="s">
        <v>18</v>
      </c>
      <c r="D21" s="20" t="n">
        <v>37288</v>
      </c>
      <c r="E21" s="21" t="n">
        <f aca="false">SUM(E11:E20)</f>
        <v>4399277</v>
      </c>
      <c r="F21" s="21" t="n">
        <f aca="false">SUM(F11:F20)</f>
        <v>6356</v>
      </c>
      <c r="G21" s="21" t="n">
        <f aca="false">SUM(G11:G20)</f>
        <v>4392921</v>
      </c>
      <c r="H21" s="31" t="n">
        <f aca="false">AVERAGE(H11:H20)</f>
        <v>0.43643621031746</v>
      </c>
      <c r="I21" s="23" t="n">
        <f aca="false">AVERAGE(I11:I20)</f>
        <v>0.956331241106606</v>
      </c>
      <c r="J21" s="23" t="n">
        <f aca="false">AVERAGE(J11:J20)</f>
        <v>0.95067247636633</v>
      </c>
      <c r="K21" s="21" t="n">
        <f aca="false">SUM(K11:K20)</f>
        <v>6426.54594023639</v>
      </c>
    </row>
    <row r="22" customFormat="false" ht="14.25" hidden="false" customHeight="false" outlineLevel="0" collapsed="false">
      <c r="A22" s="24"/>
      <c r="B22" s="25"/>
      <c r="C22" s="26" t="s">
        <v>20</v>
      </c>
      <c r="D22" s="20" t="n">
        <v>37288</v>
      </c>
      <c r="E22" s="27" t="n">
        <f aca="false">E21*(0.02)</f>
        <v>87985.54</v>
      </c>
      <c r="F22" s="27" t="n">
        <f aca="false">F21*(0.02)</f>
        <v>127.12</v>
      </c>
      <c r="G22" s="27" t="n">
        <f aca="false">G21*(0.02)</f>
        <v>87858.42</v>
      </c>
      <c r="H22" s="28" t="s">
        <v>21</v>
      </c>
      <c r="I22" s="28" t="s">
        <v>21</v>
      </c>
      <c r="J22" s="28" t="s">
        <v>21</v>
      </c>
      <c r="K22" s="28" t="s">
        <v>21</v>
      </c>
    </row>
    <row r="23" customFormat="false" ht="12.75" hidden="false" customHeight="false" outlineLevel="0" collapsed="false">
      <c r="A23" s="24"/>
      <c r="B23" s="25"/>
      <c r="C23" s="26" t="s">
        <v>22</v>
      </c>
      <c r="D23" s="20" t="n">
        <v>37288</v>
      </c>
      <c r="E23" s="27" t="n">
        <f aca="false">E21-E22</f>
        <v>4311291.46</v>
      </c>
      <c r="F23" s="27" t="n">
        <f aca="false">F21-F22</f>
        <v>6228.88</v>
      </c>
      <c r="G23" s="27" t="n">
        <f aca="false">G21-G22</f>
        <v>4305062.58</v>
      </c>
      <c r="H23" s="74" t="n">
        <f aca="false">H21</f>
        <v>0.43643621031746</v>
      </c>
      <c r="I23" s="74" t="n">
        <f aca="false">I21</f>
        <v>0.956331241106606</v>
      </c>
      <c r="J23" s="28" t="s">
        <v>21</v>
      </c>
      <c r="K23" s="21" t="n">
        <f aca="false">K21</f>
        <v>6426.54594023639</v>
      </c>
    </row>
    <row r="24" customFormat="false" ht="12.75" hidden="false" customHeight="false" outlineLevel="0" collapsed="false">
      <c r="A24" s="24"/>
      <c r="B24" s="25"/>
      <c r="C24" s="26" t="s">
        <v>22</v>
      </c>
      <c r="D24" s="30" t="s">
        <v>23</v>
      </c>
      <c r="E24" s="27" t="n">
        <f aca="false">E23+'0102'!E23</f>
        <v>9296409.36</v>
      </c>
      <c r="F24" s="27" t="n">
        <f aca="false">F23+'0102'!F23</f>
        <v>12321.54</v>
      </c>
      <c r="G24" s="27" t="n">
        <f aca="false">G23+'0102'!G23</f>
        <v>9284087.82</v>
      </c>
      <c r="H24" s="31" t="n">
        <f aca="false">AVERAGE(H21,'0102'!H21)</f>
        <v>0.450281071421639</v>
      </c>
      <c r="I24" s="31" t="n">
        <f aca="false">AVERAGE(I21,'0102'!I21)</f>
        <v>0.937039962130011</v>
      </c>
      <c r="J24" s="31" t="n">
        <f aca="false">AVERAGE(J21,'0102'!J21)</f>
        <v>0.931655043755118</v>
      </c>
      <c r="K24" s="27" t="n">
        <f aca="false">K23+'0102'!K23</f>
        <v>13132.0797878929</v>
      </c>
    </row>
    <row r="25" customFormat="false" ht="12.75" hidden="false" customHeight="false" outlineLevel="0" collapsed="false">
      <c r="D25" s="32"/>
      <c r="E25" s="3"/>
      <c r="F25" s="3"/>
      <c r="G25" s="3"/>
      <c r="H25" s="3"/>
      <c r="I25" s="33"/>
      <c r="J25" s="33"/>
      <c r="K25" s="3"/>
    </row>
    <row r="26" customFormat="false" ht="12.75" hidden="false" customHeight="false" outlineLevel="0" collapsed="false">
      <c r="A26" s="0" t="s">
        <v>24</v>
      </c>
      <c r="D26" s="32"/>
      <c r="E26" s="3"/>
      <c r="F26" s="3"/>
      <c r="G26" s="3"/>
      <c r="H26" s="3"/>
      <c r="I26" s="33"/>
      <c r="J26" s="33"/>
    </row>
    <row r="27" customFormat="false" ht="12.75" hidden="false" customHeight="false" outlineLevel="0" collapsed="false">
      <c r="A27" s="0" t="s">
        <v>91</v>
      </c>
      <c r="D27" s="32"/>
      <c r="E27" s="3"/>
      <c r="F27" s="3"/>
      <c r="G27" s="3"/>
      <c r="H27" s="3"/>
      <c r="I27" s="33"/>
      <c r="J27" s="33"/>
      <c r="K27" s="3"/>
    </row>
    <row r="28" customFormat="false" ht="12.75" hidden="false" customHeight="false" outlineLevel="0" collapsed="false">
      <c r="A28" s="0" t="s">
        <v>100</v>
      </c>
      <c r="D28" s="32"/>
      <c r="E28" s="3"/>
      <c r="F28" s="3"/>
      <c r="G28" s="3"/>
      <c r="H28" s="3"/>
      <c r="I28" s="33"/>
      <c r="J28" s="33"/>
      <c r="K28" s="3"/>
    </row>
    <row r="29" customFormat="false" ht="12.75" hidden="false" customHeight="false" outlineLevel="0" collapsed="false">
      <c r="A29" s="0" t="s">
        <v>26</v>
      </c>
      <c r="D29" s="1"/>
      <c r="G29" s="3"/>
      <c r="H29" s="3"/>
      <c r="I29" s="33"/>
      <c r="J29" s="33"/>
      <c r="K29" s="3"/>
    </row>
    <row r="30" customFormat="false" ht="12.75" hidden="false" customHeight="false" outlineLevel="0" collapsed="false">
      <c r="A30" s="0" t="s">
        <v>101</v>
      </c>
      <c r="D30" s="1"/>
      <c r="G30" s="3"/>
      <c r="H30" s="3"/>
      <c r="I30" s="33"/>
      <c r="J30" s="33"/>
      <c r="K30" s="3"/>
    </row>
    <row r="31" customFormat="false" ht="12.75" hidden="false" customHeight="false" outlineLevel="0" collapsed="false">
      <c r="D31" s="1"/>
      <c r="G31" s="3"/>
      <c r="H31" s="3"/>
      <c r="I31" s="33"/>
      <c r="J31" s="33"/>
      <c r="K31" s="3"/>
    </row>
    <row r="32" customFormat="false" ht="12.75" hidden="false" customHeight="false" outlineLevel="0" collapsed="false">
      <c r="D32" s="1"/>
      <c r="G32" s="3"/>
      <c r="H32" s="24" t="s">
        <v>102</v>
      </c>
      <c r="I32" s="41"/>
      <c r="J32" s="33"/>
      <c r="K32" s="3"/>
    </row>
    <row r="33" customFormat="false" ht="12.75" hidden="false" customHeight="false" outlineLevel="0" collapsed="false">
      <c r="D33" s="1"/>
      <c r="G33" s="3"/>
      <c r="H33" s="19" t="n">
        <v>1</v>
      </c>
      <c r="I33" s="67" t="n">
        <f aca="false">MAX(0,5/6-1.5)</f>
        <v>0</v>
      </c>
      <c r="J33" s="33"/>
      <c r="K33" s="3"/>
    </row>
    <row r="34" customFormat="false" ht="12.75" hidden="false" customHeight="false" outlineLevel="0" collapsed="false">
      <c r="D34" s="1"/>
      <c r="G34" s="3"/>
      <c r="H34" s="19" t="n">
        <v>2</v>
      </c>
      <c r="I34" s="67" t="n">
        <f aca="false">MAX(0,340/6-1.5)</f>
        <v>55.1666666666667</v>
      </c>
      <c r="J34" s="33"/>
      <c r="K34" s="3"/>
    </row>
    <row r="35" customFormat="false" ht="12.75" hidden="false" customHeight="false" outlineLevel="0" collapsed="false">
      <c r="D35" s="1"/>
      <c r="G35" s="3"/>
      <c r="H35" s="19" t="n">
        <v>3</v>
      </c>
      <c r="I35" s="67" t="n">
        <f aca="false">MAX(0,12/6-1.5)</f>
        <v>0.5</v>
      </c>
      <c r="J35" s="33"/>
      <c r="K35" s="3"/>
    </row>
    <row r="36" customFormat="false" ht="12.75" hidden="false" customHeight="false" outlineLevel="0" collapsed="false">
      <c r="D36" s="1"/>
      <c r="G36" s="3"/>
      <c r="H36" s="19" t="n">
        <v>4</v>
      </c>
      <c r="I36" s="67" t="n">
        <f aca="false">MAX(0,17/6-1.5)</f>
        <v>1.33333333333333</v>
      </c>
      <c r="J36" s="33"/>
      <c r="K36" s="3"/>
    </row>
    <row r="37" customFormat="false" ht="12.75" hidden="false" customHeight="false" outlineLevel="0" collapsed="false">
      <c r="D37" s="1"/>
      <c r="G37" s="3"/>
      <c r="H37" s="19" t="n">
        <v>5</v>
      </c>
      <c r="I37" s="67" t="n">
        <f aca="false">MAX(0,17/6-1.5)</f>
        <v>1.33333333333333</v>
      </c>
      <c r="J37" s="33"/>
      <c r="K37" s="3"/>
    </row>
    <row r="38" customFormat="false" ht="12.75" hidden="false" customHeight="false" outlineLevel="0" collapsed="false">
      <c r="D38" s="1"/>
      <c r="G38" s="3"/>
      <c r="H38" s="19" t="n">
        <v>6</v>
      </c>
      <c r="I38" s="67" t="n">
        <f aca="false">MAX(0,16/6-1.5)</f>
        <v>1.16666666666667</v>
      </c>
      <c r="J38" s="33"/>
      <c r="K38" s="3"/>
    </row>
    <row r="39" customFormat="false" ht="12.75" hidden="false" customHeight="false" outlineLevel="0" collapsed="false">
      <c r="D39" s="1"/>
      <c r="G39" s="3"/>
      <c r="H39" s="64" t="n">
        <v>7</v>
      </c>
      <c r="I39" s="67" t="n">
        <f aca="false">MAX(0,120/6-1.5)</f>
        <v>18.5</v>
      </c>
      <c r="J39" s="33"/>
      <c r="K39" s="3"/>
    </row>
    <row r="40" customFormat="false" ht="12.75" hidden="false" customHeight="false" outlineLevel="0" collapsed="false">
      <c r="D40" s="1"/>
      <c r="G40" s="3"/>
      <c r="H40" s="19" t="n">
        <v>8</v>
      </c>
      <c r="I40" s="67" t="n">
        <f aca="false">MAX(0,12/6-1.5)</f>
        <v>0.5</v>
      </c>
      <c r="J40" s="33"/>
      <c r="K40" s="3"/>
    </row>
    <row r="41" customFormat="false" ht="12.75" hidden="false" customHeight="false" outlineLevel="0" collapsed="false">
      <c r="D41" s="1"/>
      <c r="G41" s="3"/>
      <c r="H41" s="19" t="n">
        <v>9</v>
      </c>
      <c r="I41" s="67" t="n">
        <f aca="false">MAX(0,12/6-1.5)</f>
        <v>0.5</v>
      </c>
      <c r="J41" s="33"/>
      <c r="K41" s="3"/>
    </row>
    <row r="42" customFormat="false" ht="12.75" hidden="false" customHeight="false" outlineLevel="0" collapsed="false">
      <c r="D42" s="1"/>
      <c r="G42" s="3"/>
      <c r="H42" s="19" t="n">
        <v>10</v>
      </c>
      <c r="I42" s="67" t="n">
        <f aca="false">MAX(0,6/6-1.5)</f>
        <v>0</v>
      </c>
      <c r="J42" s="33"/>
      <c r="K42" s="3"/>
    </row>
    <row r="47" customFormat="false" ht="15.75" hidden="false" customHeight="false" outlineLevel="0" collapsed="false">
      <c r="A47" s="75" t="s">
        <v>103</v>
      </c>
      <c r="B47" s="75"/>
      <c r="C47" s="75"/>
      <c r="D47" s="75"/>
      <c r="E47" s="75"/>
      <c r="F47" s="75"/>
      <c r="G47" s="75"/>
      <c r="H47" s="75"/>
    </row>
    <row r="48" customFormat="false" ht="15.75" hidden="false" customHeight="false" outlineLevel="0" collapsed="false">
      <c r="A48" s="75" t="s">
        <v>104</v>
      </c>
      <c r="B48" s="75"/>
      <c r="C48" s="75"/>
      <c r="D48" s="75"/>
      <c r="E48" s="75"/>
      <c r="F48" s="75"/>
      <c r="G48" s="75"/>
      <c r="H48" s="75"/>
    </row>
    <row r="49" customFormat="false" ht="15.75" hidden="false" customHeight="false" outlineLevel="0" collapsed="false">
      <c r="A49" s="76"/>
      <c r="B49" s="76"/>
      <c r="C49" s="77"/>
      <c r="D49" s="76"/>
      <c r="E49" s="78" t="s">
        <v>105</v>
      </c>
      <c r="F49" s="78"/>
      <c r="G49" s="78"/>
      <c r="H49" s="78"/>
    </row>
    <row r="50" customFormat="false" ht="13.5" hidden="false" customHeight="false" outlineLevel="0" collapsed="false">
      <c r="A50" s="79" t="s">
        <v>106</v>
      </c>
      <c r="B50" s="80" t="n">
        <v>37258</v>
      </c>
      <c r="C50" s="81"/>
      <c r="D50" s="82"/>
      <c r="E50" s="83" t="s">
        <v>107</v>
      </c>
      <c r="F50" s="83"/>
      <c r="G50" s="83"/>
      <c r="H50" s="83"/>
    </row>
    <row r="51" customFormat="false" ht="12.75" hidden="false" customHeight="false" outlineLevel="0" collapsed="false">
      <c r="A51" s="84" t="s">
        <v>108</v>
      </c>
      <c r="B51" s="85" t="s">
        <v>109</v>
      </c>
      <c r="C51" s="86" t="s">
        <v>110</v>
      </c>
      <c r="D51" s="85" t="s">
        <v>111</v>
      </c>
      <c r="E51" s="86" t="s">
        <v>112</v>
      </c>
      <c r="F51" s="87" t="s">
        <v>113</v>
      </c>
      <c r="G51" s="84" t="s">
        <v>114</v>
      </c>
      <c r="H51" s="84" t="s">
        <v>115</v>
      </c>
    </row>
    <row r="52" customFormat="false" ht="12.75" hidden="false" customHeight="false" outlineLevel="0" collapsed="false">
      <c r="A52" s="88"/>
      <c r="B52" s="89" t="n">
        <v>37296</v>
      </c>
      <c r="C52" s="90" t="s">
        <v>116</v>
      </c>
      <c r="D52" s="89" t="n">
        <v>37296</v>
      </c>
      <c r="E52" s="90" t="s">
        <v>117</v>
      </c>
      <c r="F52" s="91" t="n">
        <v>12</v>
      </c>
      <c r="G52" s="88" t="s">
        <v>118</v>
      </c>
      <c r="H52" s="92" t="s">
        <v>119</v>
      </c>
    </row>
    <row r="53" customFormat="false" ht="12.75" hidden="false" customHeight="false" outlineLevel="0" collapsed="false">
      <c r="A53" s="88"/>
      <c r="B53" s="93" t="s">
        <v>120</v>
      </c>
      <c r="C53" s="94" t="n">
        <v>1800</v>
      </c>
      <c r="D53" s="93" t="s">
        <v>120</v>
      </c>
      <c r="E53" s="94" t="n">
        <v>230</v>
      </c>
      <c r="F53" s="91" t="n">
        <v>8.5</v>
      </c>
      <c r="G53" s="88" t="s">
        <v>118</v>
      </c>
      <c r="H53" s="95" t="s">
        <v>121</v>
      </c>
    </row>
  </sheetData>
  <mergeCells count="4">
    <mergeCell ref="A47:H47"/>
    <mergeCell ref="A48:H48"/>
    <mergeCell ref="E49:H49"/>
    <mergeCell ref="E50:H5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55"/>
  <sheetViews>
    <sheetView showFormulas="false" showGridLines="true" showRowColHeaders="true" showZeros="true" rightToLeft="false" tabSelected="false" showOutlineSymbols="true" defaultGridColor="true" view="normal" topLeftCell="D9" colorId="64" zoomScale="100" zoomScaleNormal="100" zoomScalePageLayoutView="100" workbookViewId="0">
      <selection pane="topLeft" activeCell="I42" activeCellId="0" sqref="I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99"/>
    <col collapsed="false" customWidth="true" hidden="false" outlineLevel="0" max="11" min="5" style="0" width="15.7"/>
    <col collapsed="false" customWidth="true" hidden="false" outlineLevel="0" max="12" min="12" style="0" width="2.42"/>
    <col collapsed="false" customWidth="true" hidden="false" outlineLevel="0" max="18" min="18" style="0" width="12.42"/>
    <col collapsed="false" customWidth="true" hidden="false" outlineLevel="0" max="21" min="21" style="0" width="9.56"/>
  </cols>
  <sheetData>
    <row r="1" customFormat="false" ht="30" hidden="false" customHeight="false" outlineLevel="0" collapsed="false">
      <c r="A1" s="2" t="s">
        <v>122</v>
      </c>
      <c r="D1" s="1"/>
      <c r="K1" s="3"/>
    </row>
    <row r="2" customFormat="false" ht="12.75" hidden="false" customHeight="false" outlineLevel="0" collapsed="false">
      <c r="D2" s="1"/>
      <c r="K2" s="3"/>
    </row>
    <row r="3" customFormat="false" ht="12.75" hidden="false" customHeight="false" outlineLevel="0" collapsed="false">
      <c r="A3" s="0" t="s">
        <v>1</v>
      </c>
      <c r="D3" s="1"/>
      <c r="K3" s="3"/>
    </row>
    <row r="4" customFormat="false" ht="12.75" hidden="false" customHeight="false" outlineLevel="0" collapsed="false">
      <c r="A4" s="0" t="s">
        <v>2</v>
      </c>
      <c r="D4" s="1"/>
      <c r="K4" s="3"/>
    </row>
    <row r="5" customFormat="false" ht="12.75" hidden="false" customHeight="false" outlineLevel="0" collapsed="false">
      <c r="A5" s="0" t="s">
        <v>95</v>
      </c>
      <c r="D5" s="1"/>
      <c r="K5" s="3"/>
    </row>
    <row r="6" customFormat="false" ht="12.75" hidden="false" customHeight="false" outlineLevel="0" collapsed="false">
      <c r="A6" s="0" t="s">
        <v>123</v>
      </c>
      <c r="D6" s="1"/>
      <c r="K6" s="3"/>
    </row>
    <row r="7" customFormat="false" ht="12.75" hidden="false" customHeight="false" outlineLevel="0" collapsed="false">
      <c r="D7" s="1"/>
      <c r="K7" s="3"/>
    </row>
    <row r="8" customFormat="false" ht="18" hidden="false" customHeight="false" outlineLevel="0" collapsed="false">
      <c r="A8" s="4" t="s">
        <v>5</v>
      </c>
      <c r="D8" s="1"/>
      <c r="K8" s="3"/>
    </row>
    <row r="9" customFormat="false" ht="12.75" hidden="false" customHeight="false" outlineLevel="0" collapsed="false">
      <c r="A9" s="5"/>
      <c r="B9" s="5"/>
      <c r="C9" s="5"/>
      <c r="D9" s="6"/>
      <c r="E9" s="7" t="s">
        <v>6</v>
      </c>
      <c r="F9" s="8"/>
      <c r="G9" s="10"/>
      <c r="H9" s="10"/>
      <c r="I9" s="11"/>
      <c r="J9" s="11"/>
      <c r="K9" s="12"/>
      <c r="N9" s="0" t="s">
        <v>124</v>
      </c>
      <c r="R9" s="0" t="s">
        <v>125</v>
      </c>
    </row>
    <row r="10" customFormat="false" ht="25.5" hidden="false" customHeight="false" outlineLevel="0" collapsed="false">
      <c r="A10" s="57" t="s">
        <v>7</v>
      </c>
      <c r="B10" s="57" t="s">
        <v>8</v>
      </c>
      <c r="C10" s="57" t="s">
        <v>9</v>
      </c>
      <c r="D10" s="57" t="s">
        <v>53</v>
      </c>
      <c r="E10" s="58" t="s">
        <v>11</v>
      </c>
      <c r="F10" s="59" t="s">
        <v>12</v>
      </c>
      <c r="G10" s="60" t="s">
        <v>13</v>
      </c>
      <c r="H10" s="60" t="s">
        <v>14</v>
      </c>
      <c r="I10" s="61" t="s">
        <v>54</v>
      </c>
      <c r="J10" s="61" t="s">
        <v>55</v>
      </c>
      <c r="K10" s="68" t="s">
        <v>16</v>
      </c>
      <c r="M10" s="43" t="s">
        <v>126</v>
      </c>
      <c r="N10" s="0" t="s">
        <v>127</v>
      </c>
      <c r="O10" s="0" t="s">
        <v>128</v>
      </c>
      <c r="P10" s="0" t="s">
        <v>129</v>
      </c>
      <c r="Q10" s="0" t="s">
        <v>130</v>
      </c>
      <c r="R10" s="0" t="s">
        <v>127</v>
      </c>
      <c r="S10" s="0" t="s">
        <v>128</v>
      </c>
      <c r="T10" s="0" t="s">
        <v>129</v>
      </c>
      <c r="U10" s="0" t="s">
        <v>130</v>
      </c>
    </row>
    <row r="11" customFormat="false" ht="12.75" hidden="false" customHeight="false" outlineLevel="0" collapsed="false">
      <c r="A11" s="19" t="s">
        <v>17</v>
      </c>
      <c r="B11" s="19" t="n">
        <v>1</v>
      </c>
      <c r="C11" s="64" t="n">
        <v>1</v>
      </c>
      <c r="D11" s="20" t="n">
        <v>37316</v>
      </c>
      <c r="E11" s="27" t="n">
        <f aca="false">N11+R11</f>
        <v>499742</v>
      </c>
      <c r="F11" s="27" t="n">
        <f aca="false">O11+S11</f>
        <v>394</v>
      </c>
      <c r="G11" s="27" t="n">
        <f aca="false">E11-F11</f>
        <v>499348</v>
      </c>
      <c r="H11" s="31" t="n">
        <f aca="false">G11/(1500*31*24)</f>
        <v>0.447444444444444</v>
      </c>
      <c r="I11" s="71" t="n">
        <f aca="false">(P11+T11-I33)/(Q11+U11)</f>
        <v>0.961888042839515</v>
      </c>
      <c r="J11" s="72" t="n">
        <f aca="false">(P11+T11-I33)/(Q11+U11+4)</f>
        <v>0.956583177646623</v>
      </c>
      <c r="K11" s="27" t="n">
        <f aca="false">I11*31*24</f>
        <v>715.644703872599</v>
      </c>
      <c r="M11" s="96" t="n">
        <v>1</v>
      </c>
      <c r="N11" s="70" t="n">
        <v>499742</v>
      </c>
      <c r="O11" s="70" t="n">
        <v>394</v>
      </c>
      <c r="P11" s="73" t="n">
        <v>693.797777777778</v>
      </c>
      <c r="Q11" s="73" t="n">
        <v>721.2874543379</v>
      </c>
    </row>
    <row r="12" customFormat="false" ht="12.75" hidden="false" customHeight="false" outlineLevel="0" collapsed="false">
      <c r="A12" s="19" t="s">
        <v>17</v>
      </c>
      <c r="B12" s="19" t="n">
        <v>1</v>
      </c>
      <c r="C12" s="64" t="n">
        <v>2</v>
      </c>
      <c r="D12" s="20" t="n">
        <v>37316</v>
      </c>
      <c r="E12" s="27" t="n">
        <f aca="false">N12+R12</f>
        <v>456593</v>
      </c>
      <c r="F12" s="27" t="n">
        <f aca="false">O12+S12</f>
        <v>569</v>
      </c>
      <c r="G12" s="27" t="n">
        <f aca="false">E12-F12</f>
        <v>456024</v>
      </c>
      <c r="H12" s="31" t="n">
        <f aca="false">G12/(1500*31*24)</f>
        <v>0.408623655913979</v>
      </c>
      <c r="I12" s="71" t="n">
        <f aca="false">(P12+T12-I34)/(Q12+U12)</f>
        <v>0.914095101077144</v>
      </c>
      <c r="J12" s="72" t="n">
        <f aca="false">(P12+T12-I34)/(Q12+U12+4)</f>
        <v>0.909065190069533</v>
      </c>
      <c r="K12" s="27" t="n">
        <f aca="false">I12*31*24</f>
        <v>680.086755201395</v>
      </c>
      <c r="M12" s="96" t="n">
        <v>1</v>
      </c>
      <c r="N12" s="70" t="n">
        <v>456593</v>
      </c>
      <c r="O12" s="70" t="n">
        <v>569</v>
      </c>
      <c r="P12" s="73" t="n">
        <v>672.657777777778</v>
      </c>
      <c r="Q12" s="73" t="n">
        <v>722.9274543379</v>
      </c>
    </row>
    <row r="13" customFormat="false" ht="12.75" hidden="false" customHeight="false" outlineLevel="0" collapsed="false">
      <c r="A13" s="19" t="s">
        <v>17</v>
      </c>
      <c r="B13" s="19" t="n">
        <v>1</v>
      </c>
      <c r="C13" s="64" t="n">
        <v>3</v>
      </c>
      <c r="D13" s="20" t="n">
        <v>37316</v>
      </c>
      <c r="E13" s="27" t="n">
        <f aca="false">N13+R13</f>
        <v>359103</v>
      </c>
      <c r="F13" s="27" t="n">
        <f aca="false">O13+S13</f>
        <v>617</v>
      </c>
      <c r="G13" s="27" t="n">
        <f aca="false">E13-F13</f>
        <v>358486</v>
      </c>
      <c r="H13" s="31" t="n">
        <f aca="false">G13/(1500*31*24)</f>
        <v>0.321224014336918</v>
      </c>
      <c r="I13" s="71" t="n">
        <f aca="false">(P13+T13-I35)/(Q13+U13)</f>
        <v>0.807655588950775</v>
      </c>
      <c r="J13" s="72" t="n">
        <f aca="false">(P13+T13-I35)/(Q13+U13+4)</f>
        <v>0.803198774049795</v>
      </c>
      <c r="K13" s="27" t="n">
        <f aca="false">I13*31*24</f>
        <v>600.895758179377</v>
      </c>
      <c r="M13" s="96" t="n">
        <v>1</v>
      </c>
      <c r="N13" s="70" t="n">
        <v>359103</v>
      </c>
      <c r="O13" s="70" t="n">
        <v>617</v>
      </c>
      <c r="P13" s="73" t="n">
        <v>582.716666666667</v>
      </c>
      <c r="Q13" s="73" t="n">
        <v>720.8724543379</v>
      </c>
    </row>
    <row r="14" customFormat="false" ht="12.75" hidden="false" customHeight="false" outlineLevel="0" collapsed="false">
      <c r="A14" s="19" t="s">
        <v>17</v>
      </c>
      <c r="B14" s="19" t="n">
        <v>1</v>
      </c>
      <c r="C14" s="64" t="n">
        <v>4</v>
      </c>
      <c r="D14" s="20" t="n">
        <v>37316</v>
      </c>
      <c r="E14" s="27" t="n">
        <f aca="false">N14+R14</f>
        <v>481180</v>
      </c>
      <c r="F14" s="27" t="n">
        <f aca="false">O14+S14</f>
        <v>722</v>
      </c>
      <c r="G14" s="27" t="n">
        <f aca="false">E14-F14</f>
        <v>480458</v>
      </c>
      <c r="H14" s="31" t="n">
        <f aca="false">G14/(1500*31*24)</f>
        <v>0.430517921146953</v>
      </c>
      <c r="I14" s="71" t="n">
        <f aca="false">(P14+T14-I36)/(Q14+U14)</f>
        <v>0.918557556508035</v>
      </c>
      <c r="J14" s="72" t="n">
        <f aca="false">(P14+T14-I36)/(Q14+U14+4)</f>
        <v>0.913500402273042</v>
      </c>
      <c r="K14" s="27" t="n">
        <f aca="false">I14*31*24</f>
        <v>683.406822041978</v>
      </c>
      <c r="M14" s="96" t="n">
        <v>1</v>
      </c>
      <c r="N14" s="70" t="n">
        <v>481180</v>
      </c>
      <c r="O14" s="70" t="n">
        <v>722</v>
      </c>
      <c r="P14" s="73" t="n">
        <v>664.362222222222</v>
      </c>
      <c r="Q14" s="73" t="n">
        <v>722.541065449011</v>
      </c>
    </row>
    <row r="15" customFormat="false" ht="12.75" hidden="false" customHeight="false" outlineLevel="0" collapsed="false">
      <c r="A15" s="19" t="s">
        <v>17</v>
      </c>
      <c r="B15" s="19" t="n">
        <v>1</v>
      </c>
      <c r="C15" s="64" t="n">
        <v>5</v>
      </c>
      <c r="D15" s="20" t="n">
        <v>37316</v>
      </c>
      <c r="E15" s="27" t="n">
        <f aca="false">N15+R15</f>
        <v>526562</v>
      </c>
      <c r="F15" s="27" t="n">
        <f aca="false">O15+S15</f>
        <v>394</v>
      </c>
      <c r="G15" s="27" t="n">
        <f aca="false">E15-F15</f>
        <v>526168</v>
      </c>
      <c r="H15" s="31" t="n">
        <f aca="false">G15/(1500*31*24)</f>
        <v>0.471476702508961</v>
      </c>
      <c r="I15" s="71" t="n">
        <f aca="false">(P15+T15-I37)/(Q15+U15)</f>
        <v>0.982254045955159</v>
      </c>
      <c r="J15" s="72" t="n">
        <f aca="false">(P15+T15-I37)/(Q15+U15+4)</f>
        <v>0.976820452364722</v>
      </c>
      <c r="K15" s="27" t="n">
        <f aca="false">I15*31*24</f>
        <v>730.797010190639</v>
      </c>
      <c r="M15" s="96" t="n">
        <v>1</v>
      </c>
      <c r="N15" s="70" t="n">
        <v>526562</v>
      </c>
      <c r="O15" s="70" t="n">
        <v>394</v>
      </c>
      <c r="P15" s="73" t="n">
        <v>706.336111111111</v>
      </c>
      <c r="Q15" s="73" t="n">
        <v>719.097176560122</v>
      </c>
    </row>
    <row r="16" customFormat="false" ht="12.75" hidden="false" customHeight="false" outlineLevel="0" collapsed="false">
      <c r="A16" s="19" t="s">
        <v>17</v>
      </c>
      <c r="B16" s="19" t="n">
        <v>1</v>
      </c>
      <c r="C16" s="64" t="n">
        <v>6</v>
      </c>
      <c r="D16" s="20" t="n">
        <v>37316</v>
      </c>
      <c r="E16" s="27" t="n">
        <f aca="false">N16+R16</f>
        <v>506590</v>
      </c>
      <c r="F16" s="27" t="n">
        <f aca="false">O16+S16</f>
        <v>418</v>
      </c>
      <c r="G16" s="27" t="n">
        <f aca="false">E16-F16</f>
        <v>506172</v>
      </c>
      <c r="H16" s="31" t="n">
        <f aca="false">G16/(1500*31*24)</f>
        <v>0.453559139784946</v>
      </c>
      <c r="I16" s="71" t="n">
        <f aca="false">(P16+T16-I38)/(Q16+U16)</f>
        <v>0.97044350049977</v>
      </c>
      <c r="J16" s="72" t="n">
        <f aca="false">(P16+T16-I38)/(Q16+U16+4)</f>
        <v>0.965086272837001</v>
      </c>
      <c r="K16" s="27" t="n">
        <f aca="false">I16*31*24</f>
        <v>722.009964371829</v>
      </c>
      <c r="M16" s="96" t="n">
        <v>1</v>
      </c>
      <c r="N16" s="70" t="n">
        <v>506590</v>
      </c>
      <c r="O16" s="70" t="n">
        <v>418</v>
      </c>
      <c r="P16" s="73" t="n">
        <v>699.288333333333</v>
      </c>
      <c r="Q16" s="73" t="n">
        <v>720.586343226788</v>
      </c>
    </row>
    <row r="17" customFormat="false" ht="12.75" hidden="false" customHeight="false" outlineLevel="0" collapsed="false">
      <c r="A17" s="19" t="s">
        <v>17</v>
      </c>
      <c r="B17" s="19" t="n">
        <v>1</v>
      </c>
      <c r="C17" s="64" t="n">
        <v>7</v>
      </c>
      <c r="D17" s="20" t="n">
        <v>37316</v>
      </c>
      <c r="E17" s="27" t="n">
        <f aca="false">N17+R17</f>
        <v>297493</v>
      </c>
      <c r="F17" s="27" t="n">
        <f aca="false">O17+S17</f>
        <v>2147</v>
      </c>
      <c r="G17" s="27" t="n">
        <f aca="false">E17-F17</f>
        <v>295346</v>
      </c>
      <c r="H17" s="31" t="n">
        <f aca="false">G17/(1500*31*24)</f>
        <v>0.264646953405018</v>
      </c>
      <c r="I17" s="71" t="n">
        <f aca="false">(P17+T17-I39)/(Q17+U17)</f>
        <v>0.88008020258217</v>
      </c>
      <c r="J17" s="72" t="n">
        <f aca="false">(P17+T17-I39)/(Q17+U17+4)</f>
        <v>0.875225766565796</v>
      </c>
      <c r="K17" s="27" t="n">
        <f aca="false">I17*31*24</f>
        <v>654.779670721135</v>
      </c>
      <c r="M17" s="96" t="n">
        <v>1</v>
      </c>
      <c r="N17" s="70" t="n">
        <v>297493</v>
      </c>
      <c r="O17" s="70" t="n">
        <v>2147</v>
      </c>
      <c r="P17" s="73" t="n">
        <v>641.026111111111</v>
      </c>
      <c r="Q17" s="73" t="n">
        <v>721.176065449011</v>
      </c>
    </row>
    <row r="18" customFormat="false" ht="14.25" hidden="false" customHeight="false" outlineLevel="0" collapsed="false">
      <c r="A18" s="19" t="s">
        <v>17</v>
      </c>
      <c r="B18" s="19" t="n">
        <v>1</v>
      </c>
      <c r="C18" s="64" t="s">
        <v>99</v>
      </c>
      <c r="D18" s="20" t="n">
        <v>37316</v>
      </c>
      <c r="E18" s="27" t="n">
        <f aca="false">N18+R18</f>
        <v>550994</v>
      </c>
      <c r="F18" s="27" t="n">
        <f aca="false">O18+S18</f>
        <v>647</v>
      </c>
      <c r="G18" s="27" t="n">
        <f aca="false">E18-F18</f>
        <v>550347</v>
      </c>
      <c r="H18" s="31" t="n">
        <f aca="false">G18/(1500*31*24)</f>
        <v>0.49314247311828</v>
      </c>
      <c r="I18" s="71" t="n">
        <f aca="false">(P18+T18-I40)/(Q18+U18)</f>
        <v>0.97381787543906</v>
      </c>
      <c r="J18" s="72" t="n">
        <f aca="false">(P18+T18-I40)/(Q18+U18+4)</f>
        <v>0.968448113221385</v>
      </c>
      <c r="K18" s="27" t="n">
        <f aca="false">I18*31*24</f>
        <v>724.520499326661</v>
      </c>
      <c r="M18" s="96" t="n">
        <v>1</v>
      </c>
      <c r="N18" s="73" t="n">
        <v>2512228</v>
      </c>
      <c r="O18" s="73" t="n">
        <v>3620</v>
      </c>
      <c r="P18" s="73" t="n">
        <v>354.722777777778</v>
      </c>
      <c r="Q18" s="73" t="n">
        <v>721.408565449011</v>
      </c>
      <c r="R18" s="0" t="n">
        <f aca="false">(146516-2107750)</f>
        <v>-1961234</v>
      </c>
      <c r="S18" s="0" t="n">
        <f aca="false">(179-3152)</f>
        <v>-2973</v>
      </c>
      <c r="T18" s="0" t="n">
        <f aca="false">+(U18+(835538-6450)+(419141-266)+(19983-9874))/3600</f>
        <v>349.464444444167</v>
      </c>
      <c r="U18" s="0" t="n">
        <f aca="false">2496-2496-0.000001</f>
        <v>-1E-006</v>
      </c>
    </row>
    <row r="19" customFormat="false" ht="12.75" hidden="false" customHeight="false" outlineLevel="0" collapsed="false">
      <c r="A19" s="19" t="s">
        <v>17</v>
      </c>
      <c r="B19" s="19" t="n">
        <v>1</v>
      </c>
      <c r="C19" s="64" t="n">
        <v>9</v>
      </c>
      <c r="D19" s="20" t="n">
        <v>37316</v>
      </c>
      <c r="E19" s="27" t="n">
        <f aca="false">N19+R19</f>
        <v>520242</v>
      </c>
      <c r="F19" s="27" t="n">
        <f aca="false">O19+S19</f>
        <v>482</v>
      </c>
      <c r="G19" s="27" t="n">
        <f aca="false">E19-F19</f>
        <v>519760</v>
      </c>
      <c r="H19" s="31" t="n">
        <f aca="false">G19/(1500*31*24)</f>
        <v>0.46573476702509</v>
      </c>
      <c r="I19" s="71" t="n">
        <f aca="false">(P19+T19-I41)/(Q19+U19)</f>
        <v>0.962039548404978</v>
      </c>
      <c r="J19" s="72" t="n">
        <f aca="false">(P19+T19-I41)/(Q19+U19+4)</f>
        <v>0.956662476259146</v>
      </c>
      <c r="K19" s="27" t="n">
        <f aca="false">I19*31*24</f>
        <v>715.757424013303</v>
      </c>
      <c r="M19" s="96" t="n">
        <v>1</v>
      </c>
      <c r="N19" s="73" t="n">
        <v>17525236</v>
      </c>
      <c r="O19" s="73" t="n">
        <v>496</v>
      </c>
      <c r="P19" s="73" t="n">
        <v>634.438055555556</v>
      </c>
      <c r="Q19" s="73" t="n">
        <v>661.227732115677</v>
      </c>
      <c r="R19" s="0" t="n">
        <f aca="false">(1874527-18879521)</f>
        <v>-17004994</v>
      </c>
      <c r="S19" s="0" t="n">
        <f aca="false">(2159-2173)</f>
        <v>-14</v>
      </c>
      <c r="T19" s="0" t="n">
        <f aca="false">U19+((348280-347932)+0+(40573-38732))/3600</f>
        <v>51.0408333333333</v>
      </c>
      <c r="U19" s="0" t="n">
        <f aca="false">(388814-207256)/3600</f>
        <v>50.4327777777778</v>
      </c>
    </row>
    <row r="20" customFormat="false" ht="12.75" hidden="false" customHeight="false" outlineLevel="0" collapsed="false">
      <c r="A20" s="19" t="s">
        <v>17</v>
      </c>
      <c r="B20" s="19" t="n">
        <v>1</v>
      </c>
      <c r="C20" s="64" t="n">
        <v>10</v>
      </c>
      <c r="D20" s="20" t="n">
        <v>37316</v>
      </c>
      <c r="E20" s="27" t="n">
        <f aca="false">N20+R20</f>
        <v>531940</v>
      </c>
      <c r="F20" s="27" t="n">
        <f aca="false">O20+S20</f>
        <v>438</v>
      </c>
      <c r="G20" s="27" t="n">
        <f aca="false">E20-F20</f>
        <v>531502</v>
      </c>
      <c r="H20" s="31" t="n">
        <f aca="false">G20/(1500*31*24)</f>
        <v>0.476256272401434</v>
      </c>
      <c r="I20" s="71" t="n">
        <f aca="false">(P20+T20-I42)/(Q20+U20)</f>
        <v>0.958224853853334</v>
      </c>
      <c r="J20" s="72" t="n">
        <f aca="false">(P20+T20-I42)/(Q20+U20+4)</f>
        <v>0.952927614884636</v>
      </c>
      <c r="K20" s="27" t="n">
        <f aca="false">I20*31*24</f>
        <v>712.91929126688</v>
      </c>
      <c r="M20" s="96" t="n">
        <v>1</v>
      </c>
      <c r="N20" s="70" t="n">
        <v>531940</v>
      </c>
      <c r="O20" s="70" t="n">
        <v>438</v>
      </c>
      <c r="P20" s="73" t="n">
        <v>691.505555555556</v>
      </c>
      <c r="Q20" s="73" t="n">
        <v>719.565509893455</v>
      </c>
    </row>
    <row r="21" customFormat="false" ht="12.75" hidden="false" customHeight="false" outlineLevel="0" collapsed="false">
      <c r="A21" s="24"/>
      <c r="B21" s="25"/>
      <c r="C21" s="26" t="s">
        <v>18</v>
      </c>
      <c r="D21" s="20" t="n">
        <v>37316</v>
      </c>
      <c r="E21" s="21" t="n">
        <f aca="false">SUM(E11:E20)</f>
        <v>4730439</v>
      </c>
      <c r="F21" s="21" t="n">
        <f aca="false">SUM(F11:F20)</f>
        <v>6828</v>
      </c>
      <c r="G21" s="21" t="n">
        <f aca="false">SUM(G11:G20)</f>
        <v>4723611</v>
      </c>
      <c r="H21" s="31" t="n">
        <f aca="false">AVERAGE(H11:H20)</f>
        <v>0.423262634408602</v>
      </c>
      <c r="I21" s="23" t="n">
        <f aca="false">AVERAGE(I11:I20)</f>
        <v>0.932905631610994</v>
      </c>
      <c r="J21" s="66" t="n">
        <f aca="false">AVERAGE(J11:J20)</f>
        <v>0.927751824017168</v>
      </c>
      <c r="K21" s="21" t="n">
        <f aca="false">SUM(K11:K20)</f>
        <v>6940.8178991858</v>
      </c>
    </row>
    <row r="22" customFormat="false" ht="14.25" hidden="false" customHeight="false" outlineLevel="0" collapsed="false">
      <c r="A22" s="24"/>
      <c r="B22" s="25"/>
      <c r="C22" s="26" t="s">
        <v>20</v>
      </c>
      <c r="D22" s="20" t="n">
        <v>37316</v>
      </c>
      <c r="E22" s="27" t="n">
        <f aca="false">E21*(0.02)</f>
        <v>94608.78</v>
      </c>
      <c r="F22" s="27" t="n">
        <f aca="false">F21*(0.02)</f>
        <v>136.56</v>
      </c>
      <c r="G22" s="27" t="n">
        <f aca="false">G21*(0.02)</f>
        <v>94472.22</v>
      </c>
      <c r="H22" s="28" t="s">
        <v>21</v>
      </c>
      <c r="I22" s="28" t="s">
        <v>21</v>
      </c>
      <c r="J22" s="28" t="s">
        <v>21</v>
      </c>
      <c r="K22" s="28" t="s">
        <v>21</v>
      </c>
    </row>
    <row r="23" customFormat="false" ht="12.75" hidden="false" customHeight="false" outlineLevel="0" collapsed="false">
      <c r="A23" s="24"/>
      <c r="B23" s="25"/>
      <c r="C23" s="26" t="s">
        <v>22</v>
      </c>
      <c r="D23" s="20" t="n">
        <v>37316</v>
      </c>
      <c r="E23" s="27" t="n">
        <f aca="false">E21-E22</f>
        <v>4635830.22</v>
      </c>
      <c r="F23" s="27" t="n">
        <f aca="false">F21-F22</f>
        <v>6691.44</v>
      </c>
      <c r="G23" s="27" t="n">
        <f aca="false">G21-G22</f>
        <v>4629138.78</v>
      </c>
      <c r="H23" s="28" t="s">
        <v>21</v>
      </c>
      <c r="I23" s="28" t="s">
        <v>21</v>
      </c>
      <c r="J23" s="28" t="s">
        <v>21</v>
      </c>
      <c r="K23" s="21" t="n">
        <f aca="false">K21</f>
        <v>6940.8178991858</v>
      </c>
    </row>
    <row r="24" customFormat="false" ht="12.75" hidden="false" customHeight="false" outlineLevel="0" collapsed="false">
      <c r="A24" s="24"/>
      <c r="B24" s="25"/>
      <c r="C24" s="26" t="s">
        <v>22</v>
      </c>
      <c r="D24" s="30" t="s">
        <v>23</v>
      </c>
      <c r="E24" s="27" t="n">
        <f aca="false">E23+'0202'!E24</f>
        <v>13932239.58</v>
      </c>
      <c r="F24" s="27" t="n">
        <f aca="false">F23+'0202'!F24</f>
        <v>19012.98</v>
      </c>
      <c r="G24" s="27" t="n">
        <f aca="false">G23+'0202'!G24</f>
        <v>13913226.6</v>
      </c>
      <c r="H24" s="31" t="n">
        <f aca="false">AVERAGE(H21,'0202'!H21,'0102'!H21)</f>
        <v>0.441274925750627</v>
      </c>
      <c r="I24" s="31" t="n">
        <f aca="false">AVERAGE(I21,'0202'!I21,'0102'!I21)</f>
        <v>0.935661851957005</v>
      </c>
      <c r="J24" s="31" t="n">
        <f aca="false">AVERAGE(J21,'0202'!J21,'0102'!J21)</f>
        <v>0.930353970509134</v>
      </c>
      <c r="K24" s="27" t="n">
        <f aca="false">K23+'0202'!K24</f>
        <v>20072.8976870787</v>
      </c>
    </row>
    <row r="25" customFormat="false" ht="12.75" hidden="false" customHeight="false" outlineLevel="0" collapsed="false">
      <c r="D25" s="32"/>
      <c r="E25" s="3"/>
      <c r="F25" s="3"/>
      <c r="G25" s="3"/>
      <c r="H25" s="3"/>
      <c r="I25" s="33"/>
      <c r="J25" s="33"/>
      <c r="K25" s="3"/>
    </row>
    <row r="26" customFormat="false" ht="12.75" hidden="false" customHeight="false" outlineLevel="0" collapsed="false">
      <c r="A26" s="0" t="s">
        <v>24</v>
      </c>
      <c r="D26" s="32"/>
      <c r="E26" s="3"/>
      <c r="F26" s="3"/>
      <c r="G26" s="3"/>
      <c r="H26" s="3"/>
      <c r="I26" s="33"/>
      <c r="J26" s="33"/>
    </row>
    <row r="27" customFormat="false" ht="12.75" hidden="false" customHeight="false" outlineLevel="0" collapsed="false">
      <c r="A27" s="0" t="s">
        <v>91</v>
      </c>
      <c r="D27" s="32"/>
      <c r="E27" s="3"/>
      <c r="F27" s="3"/>
      <c r="G27" s="3"/>
      <c r="H27" s="3"/>
      <c r="I27" s="33"/>
      <c r="J27" s="33"/>
      <c r="K27" s="3"/>
    </row>
    <row r="28" customFormat="false" ht="12.75" hidden="false" customHeight="false" outlineLevel="0" collapsed="false">
      <c r="A28" s="0" t="s">
        <v>100</v>
      </c>
      <c r="D28" s="32"/>
      <c r="E28" s="3"/>
      <c r="F28" s="3"/>
      <c r="G28" s="3"/>
      <c r="H28" s="3"/>
      <c r="I28" s="33"/>
      <c r="J28" s="33"/>
      <c r="K28" s="3"/>
    </row>
    <row r="29" customFormat="false" ht="12.75" hidden="false" customHeight="false" outlineLevel="0" collapsed="false">
      <c r="A29" s="0" t="s">
        <v>26</v>
      </c>
      <c r="D29" s="1"/>
      <c r="G29" s="3"/>
      <c r="H29" s="3"/>
      <c r="I29" s="33"/>
      <c r="J29" s="33"/>
      <c r="K29" s="3"/>
    </row>
    <row r="30" customFormat="false" ht="12.75" hidden="false" customHeight="false" outlineLevel="0" collapsed="false">
      <c r="A30" s="0" t="s">
        <v>131</v>
      </c>
      <c r="D30" s="1"/>
      <c r="G30" s="3"/>
      <c r="H30" s="3"/>
      <c r="I30" s="33"/>
      <c r="J30" s="33"/>
      <c r="K30" s="3"/>
    </row>
    <row r="31" customFormat="false" ht="12.75" hidden="false" customHeight="false" outlineLevel="0" collapsed="false">
      <c r="A31" s="0" t="s">
        <v>132</v>
      </c>
      <c r="D31" s="1"/>
      <c r="G31" s="3"/>
      <c r="H31" s="3"/>
      <c r="I31" s="33"/>
      <c r="J31" s="33"/>
      <c r="K31" s="3"/>
    </row>
    <row r="32" customFormat="false" ht="12.75" hidden="false" customHeight="false" outlineLevel="0" collapsed="false">
      <c r="D32" s="1"/>
      <c r="G32" s="3"/>
      <c r="H32" s="24" t="s">
        <v>102</v>
      </c>
      <c r="I32" s="41"/>
      <c r="J32" s="33"/>
      <c r="K32" s="3"/>
    </row>
    <row r="33" customFormat="false" ht="12.75" hidden="false" customHeight="false" outlineLevel="0" collapsed="false">
      <c r="D33" s="1"/>
      <c r="G33" s="3"/>
      <c r="H33" s="19" t="n">
        <v>1</v>
      </c>
      <c r="I33" s="67" t="n">
        <f aca="false">MAX(0,6/6-1.5)</f>
        <v>0</v>
      </c>
      <c r="J33" s="33"/>
      <c r="K33" s="3"/>
    </row>
    <row r="34" customFormat="false" ht="12.75" hidden="false" customHeight="false" outlineLevel="0" collapsed="false">
      <c r="D34" s="1"/>
      <c r="G34" s="3"/>
      <c r="H34" s="19" t="n">
        <v>2</v>
      </c>
      <c r="I34" s="67" t="n">
        <f aca="false">MAX(0,80/6-1.5)</f>
        <v>11.8333333333333</v>
      </c>
      <c r="J34" s="33"/>
      <c r="K34" s="3"/>
    </row>
    <row r="35" customFormat="false" ht="12.75" hidden="false" customHeight="false" outlineLevel="0" collapsed="false">
      <c r="D35" s="1"/>
      <c r="G35" s="3"/>
      <c r="H35" s="19" t="n">
        <v>3</v>
      </c>
      <c r="I35" s="67" t="n">
        <f aca="false">MAX(0,12/6-1.5)</f>
        <v>0.5</v>
      </c>
      <c r="J35" s="33"/>
      <c r="K35" s="3"/>
    </row>
    <row r="36" customFormat="false" ht="12.75" hidden="false" customHeight="false" outlineLevel="0" collapsed="false">
      <c r="D36" s="1"/>
      <c r="G36" s="3"/>
      <c r="H36" s="19" t="n">
        <v>4</v>
      </c>
      <c r="I36" s="67" t="n">
        <f aca="false">MAX(0,13/6-1.5)</f>
        <v>0.666666666666667</v>
      </c>
      <c r="J36" s="33"/>
      <c r="K36" s="3"/>
    </row>
    <row r="37" customFormat="false" ht="12.75" hidden="false" customHeight="false" outlineLevel="0" collapsed="false">
      <c r="D37" s="1"/>
      <c r="G37" s="3"/>
      <c r="H37" s="19" t="n">
        <v>5</v>
      </c>
      <c r="I37" s="67" t="n">
        <f aca="false">MAX(0,9/6-1.5)</f>
        <v>0</v>
      </c>
      <c r="J37" s="33"/>
      <c r="K37" s="3"/>
    </row>
    <row r="38" customFormat="false" ht="12.75" hidden="false" customHeight="false" outlineLevel="0" collapsed="false">
      <c r="D38" s="1"/>
      <c r="G38" s="3"/>
      <c r="H38" s="19" t="n">
        <v>6</v>
      </c>
      <c r="I38" s="67" t="n">
        <f aca="false">MAX(0,7/6-1.5)</f>
        <v>0</v>
      </c>
      <c r="J38" s="33"/>
      <c r="K38" s="3"/>
    </row>
    <row r="39" customFormat="false" ht="12.75" hidden="false" customHeight="false" outlineLevel="0" collapsed="false">
      <c r="D39" s="1"/>
      <c r="G39" s="3"/>
      <c r="H39" s="64" t="n">
        <v>7</v>
      </c>
      <c r="I39" s="67" t="n">
        <f aca="false">MAX(0,47/6-1.5)</f>
        <v>6.33333333333333</v>
      </c>
      <c r="J39" s="33"/>
      <c r="K39" s="3"/>
    </row>
    <row r="40" customFormat="false" ht="12.75" hidden="false" customHeight="false" outlineLevel="0" collapsed="false">
      <c r="D40" s="1"/>
      <c r="G40" s="3"/>
      <c r="H40" s="19" t="n">
        <v>8</v>
      </c>
      <c r="I40" s="67" t="n">
        <f aca="false">MAX(0,19/6-1.5)</f>
        <v>1.66666666666667</v>
      </c>
      <c r="J40" s="33"/>
      <c r="K40" s="3"/>
    </row>
    <row r="41" customFormat="false" ht="12.75" hidden="false" customHeight="false" outlineLevel="0" collapsed="false">
      <c r="D41" s="1"/>
      <c r="G41" s="3"/>
      <c r="H41" s="19" t="n">
        <v>9</v>
      </c>
      <c r="I41" s="67" t="n">
        <f aca="false">MAX(0,14/6-1.5)</f>
        <v>0.833333333333334</v>
      </c>
      <c r="J41" s="33"/>
      <c r="K41" s="3"/>
    </row>
    <row r="42" customFormat="false" ht="12.75" hidden="false" customHeight="false" outlineLevel="0" collapsed="false">
      <c r="H42" s="19" t="n">
        <v>10</v>
      </c>
      <c r="I42" s="67" t="n">
        <f aca="false">MAX(0,21/6-1.5)</f>
        <v>2</v>
      </c>
    </row>
    <row r="47" customFormat="false" ht="15.75" hidden="false" customHeight="false" outlineLevel="0" collapsed="false">
      <c r="A47" s="75" t="s">
        <v>103</v>
      </c>
      <c r="B47" s="75"/>
      <c r="C47" s="75"/>
      <c r="D47" s="75"/>
      <c r="E47" s="75"/>
      <c r="F47" s="75"/>
      <c r="G47" s="75"/>
      <c r="H47" s="75"/>
    </row>
    <row r="48" customFormat="false" ht="15.75" hidden="false" customHeight="false" outlineLevel="0" collapsed="false">
      <c r="A48" s="75" t="s">
        <v>104</v>
      </c>
      <c r="B48" s="75"/>
      <c r="C48" s="75"/>
      <c r="D48" s="75"/>
      <c r="E48" s="75"/>
      <c r="F48" s="75"/>
      <c r="G48" s="75"/>
      <c r="H48" s="75"/>
    </row>
    <row r="49" customFormat="false" ht="15.75" hidden="false" customHeight="false" outlineLevel="0" collapsed="false">
      <c r="A49" s="76"/>
      <c r="B49" s="76"/>
      <c r="C49" s="77"/>
      <c r="D49" s="76"/>
      <c r="E49" s="78"/>
      <c r="F49" s="78"/>
      <c r="G49" s="78"/>
      <c r="H49" s="78"/>
    </row>
    <row r="50" customFormat="false" ht="13.5" hidden="false" customHeight="false" outlineLevel="0" collapsed="false">
      <c r="A50" s="79" t="s">
        <v>106</v>
      </c>
      <c r="B50" s="80" t="n">
        <v>37317</v>
      </c>
      <c r="C50" s="81"/>
      <c r="D50" s="82"/>
      <c r="E50" s="83" t="s">
        <v>107</v>
      </c>
      <c r="F50" s="83"/>
      <c r="G50" s="83"/>
      <c r="H50" s="83"/>
    </row>
    <row r="51" customFormat="false" ht="12.75" hidden="false" customHeight="false" outlineLevel="0" collapsed="false">
      <c r="A51" s="84" t="s">
        <v>108</v>
      </c>
      <c r="B51" s="85" t="s">
        <v>109</v>
      </c>
      <c r="C51" s="86" t="s">
        <v>110</v>
      </c>
      <c r="D51" s="85" t="s">
        <v>111</v>
      </c>
      <c r="E51" s="86" t="s">
        <v>112</v>
      </c>
      <c r="F51" s="87" t="s">
        <v>113</v>
      </c>
      <c r="G51" s="84" t="s">
        <v>114</v>
      </c>
      <c r="H51" s="84" t="s">
        <v>115</v>
      </c>
    </row>
    <row r="52" customFormat="false" ht="12.75" hidden="false" customHeight="false" outlineLevel="0" collapsed="false">
      <c r="A52" s="88"/>
      <c r="B52" s="89" t="n">
        <v>37332.7916666667</v>
      </c>
      <c r="C52" s="90" t="s">
        <v>133</v>
      </c>
      <c r="D52" s="89" t="n">
        <v>37333.4027777778</v>
      </c>
      <c r="E52" s="90" t="s">
        <v>134</v>
      </c>
      <c r="F52" s="91" t="n">
        <f aca="false">(D52-B52)*24</f>
        <v>14.6666666666667</v>
      </c>
      <c r="G52" s="88" t="s">
        <v>118</v>
      </c>
      <c r="H52" s="92" t="s">
        <v>135</v>
      </c>
    </row>
    <row r="53" customFormat="false" ht="12.75" hidden="false" customHeight="false" outlineLevel="0" collapsed="false">
      <c r="A53" s="88"/>
      <c r="B53" s="93"/>
      <c r="C53" s="94"/>
      <c r="D53" s="93"/>
      <c r="E53" s="94"/>
      <c r="F53" s="91"/>
      <c r="G53" s="88"/>
      <c r="H53" s="95"/>
    </row>
    <row r="55" customFormat="false" ht="12.75" hidden="false" customHeight="false" outlineLevel="0" collapsed="false">
      <c r="A55" s="24" t="s">
        <v>136</v>
      </c>
      <c r="B55" s="41"/>
      <c r="C55" s="31" t="n">
        <f aca="false">1-(F52/(24*31))</f>
        <v>0.980286738351255</v>
      </c>
    </row>
  </sheetData>
  <mergeCells count="4">
    <mergeCell ref="A47:H47"/>
    <mergeCell ref="A48:H48"/>
    <mergeCell ref="E49:H49"/>
    <mergeCell ref="E50:H5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47"/>
  <sheetViews>
    <sheetView showFormulas="false" showGridLines="true" showRowColHeaders="true" showZeros="true" rightToLeft="false" tabSelected="true" showOutlineSymbols="true" defaultGridColor="true" view="normal" topLeftCell="D10" colorId="64" zoomScale="100" zoomScaleNormal="100" zoomScalePageLayoutView="100" workbookViewId="0">
      <selection pane="topLeft" activeCell="J11" activeCellId="0" sqref="J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97" width="9.14"/>
    <col collapsed="false" customWidth="true" hidden="false" outlineLevel="0" max="3" min="2" style="97" width="9.28"/>
    <col collapsed="false" customWidth="true" hidden="false" outlineLevel="0" max="4" min="4" style="97" width="12.7"/>
    <col collapsed="false" customWidth="true" hidden="false" outlineLevel="0" max="11" min="5" style="97" width="15.7"/>
    <col collapsed="false" customWidth="true" hidden="false" outlineLevel="0" max="17" min="13" style="0" width="9.28"/>
    <col collapsed="false" customWidth="true" hidden="false" outlineLevel="0" max="18" min="18" style="0" width="9.56"/>
    <col collapsed="false" customWidth="true" hidden="false" outlineLevel="0" max="20" min="19" style="0" width="9.28"/>
    <col collapsed="false" customWidth="true" hidden="false" outlineLevel="0" max="21" min="21" style="0" width="9.56"/>
  </cols>
  <sheetData>
    <row r="1" customFormat="false" ht="30" hidden="false" customHeight="false" outlineLevel="0" collapsed="false">
      <c r="A1" s="98" t="s">
        <v>137</v>
      </c>
      <c r="D1" s="1"/>
      <c r="K1" s="99"/>
    </row>
    <row r="2" customFormat="false" ht="12.75" hidden="false" customHeight="false" outlineLevel="0" collapsed="false">
      <c r="D2" s="1"/>
      <c r="K2" s="99"/>
    </row>
    <row r="3" customFormat="false" ht="12.75" hidden="false" customHeight="false" outlineLevel="0" collapsed="false">
      <c r="A3" s="97" t="s">
        <v>1</v>
      </c>
      <c r="D3" s="1"/>
      <c r="K3" s="99"/>
    </row>
    <row r="4" customFormat="false" ht="12.75" hidden="false" customHeight="false" outlineLevel="0" collapsed="false">
      <c r="A4" s="97" t="s">
        <v>2</v>
      </c>
      <c r="D4" s="1"/>
      <c r="K4" s="99"/>
    </row>
    <row r="5" customFormat="false" ht="12.75" hidden="false" customHeight="false" outlineLevel="0" collapsed="false">
      <c r="A5" s="97" t="s">
        <v>95</v>
      </c>
      <c r="D5" s="1"/>
      <c r="K5" s="99"/>
    </row>
    <row r="6" customFormat="false" ht="12.75" hidden="false" customHeight="false" outlineLevel="0" collapsed="false">
      <c r="A6" s="97" t="s">
        <v>138</v>
      </c>
      <c r="D6" s="1"/>
      <c r="K6" s="99"/>
    </row>
    <row r="7" customFormat="false" ht="12.75" hidden="false" customHeight="false" outlineLevel="0" collapsed="false">
      <c r="D7" s="1"/>
      <c r="K7" s="99"/>
    </row>
    <row r="8" customFormat="false" ht="18" hidden="false" customHeight="false" outlineLevel="0" collapsed="false">
      <c r="A8" s="100" t="s">
        <v>5</v>
      </c>
      <c r="D8" s="1"/>
      <c r="K8" s="99"/>
    </row>
    <row r="9" customFormat="false" ht="12.75" hidden="false" customHeight="false" outlineLevel="0" collapsed="false">
      <c r="A9" s="101"/>
      <c r="B9" s="101"/>
      <c r="C9" s="101"/>
      <c r="D9" s="6"/>
      <c r="E9" s="102" t="s">
        <v>6</v>
      </c>
      <c r="F9" s="103"/>
      <c r="G9" s="104"/>
      <c r="H9" s="104"/>
      <c r="I9" s="105"/>
      <c r="J9" s="105"/>
      <c r="K9" s="106"/>
      <c r="N9" s="0" t="s">
        <v>124</v>
      </c>
      <c r="R9" s="0" t="s">
        <v>125</v>
      </c>
    </row>
    <row r="10" customFormat="false" ht="25.5" hidden="false" customHeight="false" outlineLevel="0" collapsed="false">
      <c r="A10" s="57" t="s">
        <v>7</v>
      </c>
      <c r="B10" s="57" t="s">
        <v>8</v>
      </c>
      <c r="C10" s="57" t="s">
        <v>9</v>
      </c>
      <c r="D10" s="57" t="s">
        <v>53</v>
      </c>
      <c r="E10" s="58" t="s">
        <v>11</v>
      </c>
      <c r="F10" s="59" t="s">
        <v>12</v>
      </c>
      <c r="G10" s="60" t="s">
        <v>13</v>
      </c>
      <c r="H10" s="60" t="s">
        <v>14</v>
      </c>
      <c r="I10" s="61" t="s">
        <v>54</v>
      </c>
      <c r="J10" s="61" t="s">
        <v>55</v>
      </c>
      <c r="K10" s="68" t="s">
        <v>16</v>
      </c>
      <c r="M10" s="43" t="s">
        <v>126</v>
      </c>
      <c r="N10" s="0" t="s">
        <v>127</v>
      </c>
      <c r="O10" s="0" t="s">
        <v>128</v>
      </c>
      <c r="P10" s="0" t="s">
        <v>129</v>
      </c>
      <c r="Q10" s="0" t="s">
        <v>130</v>
      </c>
      <c r="R10" s="0" t="s">
        <v>127</v>
      </c>
      <c r="S10" s="0" t="s">
        <v>128</v>
      </c>
      <c r="T10" s="0" t="s">
        <v>129</v>
      </c>
      <c r="U10" s="0" t="s">
        <v>130</v>
      </c>
    </row>
    <row r="11" customFormat="false" ht="12.75" hidden="false" customHeight="false" outlineLevel="0" collapsed="false">
      <c r="A11" s="107" t="s">
        <v>17</v>
      </c>
      <c r="B11" s="107" t="n">
        <v>1</v>
      </c>
      <c r="C11" s="64" t="n">
        <v>1</v>
      </c>
      <c r="D11" s="20" t="n">
        <v>37347</v>
      </c>
      <c r="E11" s="108" t="n">
        <f aca="false">N11+R11</f>
        <v>372027</v>
      </c>
      <c r="F11" s="108" t="n">
        <f aca="false">O11+S11</f>
        <v>342</v>
      </c>
      <c r="G11" s="108" t="n">
        <f aca="false">E11-F11</f>
        <v>371685</v>
      </c>
      <c r="H11" s="109" t="n">
        <f aca="false">G11/(1500*30*24)</f>
        <v>0.344152777777778</v>
      </c>
      <c r="I11" s="72" t="n">
        <f aca="false">(P11+T11-I33)/(Q11+U11)</f>
        <v>0.981982015638171</v>
      </c>
      <c r="J11" s="72" t="n">
        <f aca="false">(P11+T11-I33)/(Q11+U11+4)</f>
        <v>0.97652692253271</v>
      </c>
      <c r="K11" s="108" t="n">
        <f aca="false">I11*30*24</f>
        <v>707.027051259483</v>
      </c>
      <c r="M11" s="73" t="n">
        <v>1</v>
      </c>
      <c r="N11" s="73" t="n">
        <v>372027</v>
      </c>
      <c r="O11" s="73" t="n">
        <v>342</v>
      </c>
      <c r="P11" s="73" t="n">
        <v>704.646111111111</v>
      </c>
      <c r="Q11" s="73" t="n">
        <v>716.047850076104</v>
      </c>
    </row>
    <row r="12" customFormat="false" ht="12.75" hidden="false" customHeight="false" outlineLevel="0" collapsed="false">
      <c r="A12" s="107" t="s">
        <v>17</v>
      </c>
      <c r="B12" s="107" t="n">
        <v>1</v>
      </c>
      <c r="C12" s="64" t="n">
        <v>2</v>
      </c>
      <c r="D12" s="20" t="n">
        <v>37347</v>
      </c>
      <c r="E12" s="108" t="n">
        <f aca="false">N12+R12</f>
        <v>352917</v>
      </c>
      <c r="F12" s="108" t="n">
        <f aca="false">O12+S12</f>
        <v>425</v>
      </c>
      <c r="G12" s="108" t="n">
        <f aca="false">E12-F12</f>
        <v>352492</v>
      </c>
      <c r="H12" s="109" t="n">
        <f aca="false">G12/(1500*30*24)</f>
        <v>0.326381481481482</v>
      </c>
      <c r="I12" s="72" t="n">
        <f aca="false">(P12+T12-I34)/(Q12+U12)</f>
        <v>0.98364497901687</v>
      </c>
      <c r="J12" s="72" t="n">
        <f aca="false">(P12+T12-I34)/(Q12+U12+4)</f>
        <v>0.978176874001265</v>
      </c>
      <c r="K12" s="108" t="n">
        <f aca="false">I12*30*24</f>
        <v>708.224384892146</v>
      </c>
      <c r="M12" s="73" t="n">
        <v>1</v>
      </c>
      <c r="N12" s="73" t="n">
        <v>352917</v>
      </c>
      <c r="O12" s="73" t="n">
        <v>425</v>
      </c>
      <c r="P12" s="73" t="n">
        <v>704.848055555556</v>
      </c>
      <c r="Q12" s="73" t="n">
        <v>715.550905631659</v>
      </c>
    </row>
    <row r="13" customFormat="false" ht="12.75" hidden="false" customHeight="false" outlineLevel="0" collapsed="false">
      <c r="A13" s="107" t="s">
        <v>17</v>
      </c>
      <c r="B13" s="107" t="n">
        <v>1</v>
      </c>
      <c r="C13" s="64" t="n">
        <v>3</v>
      </c>
      <c r="D13" s="20" t="n">
        <v>37347</v>
      </c>
      <c r="E13" s="108" t="n">
        <f aca="false">N13+R13</f>
        <v>340084</v>
      </c>
      <c r="F13" s="108" t="n">
        <f aca="false">O13+S13</f>
        <v>382</v>
      </c>
      <c r="G13" s="108" t="n">
        <f aca="false">E13-F13</f>
        <v>339702</v>
      </c>
      <c r="H13" s="109" t="n">
        <f aca="false">G13/(1500*30*24)</f>
        <v>0.314538888888889</v>
      </c>
      <c r="I13" s="72" t="n">
        <f aca="false">(P13+T13-I35)/(Q13+U13)</f>
        <v>0.959608468928893</v>
      </c>
      <c r="J13" s="72" t="n">
        <f aca="false">(P13+T13-I35)/(Q13+U13+4)</f>
        <v>0.954275836188806</v>
      </c>
      <c r="K13" s="108" t="n">
        <f aca="false">I13*30*24</f>
        <v>690.918097628803</v>
      </c>
      <c r="M13" s="73" t="n">
        <v>1</v>
      </c>
      <c r="N13" s="73" t="n">
        <v>340084</v>
      </c>
      <c r="O13" s="73" t="n">
        <v>382</v>
      </c>
      <c r="P13" s="73" t="n">
        <v>688.221944444445</v>
      </c>
      <c r="Q13" s="73" t="n">
        <v>715.800905631659</v>
      </c>
    </row>
    <row r="14" customFormat="false" ht="12.75" hidden="false" customHeight="false" outlineLevel="0" collapsed="false">
      <c r="A14" s="107" t="s">
        <v>17</v>
      </c>
      <c r="B14" s="107" t="n">
        <v>1</v>
      </c>
      <c r="C14" s="64" t="n">
        <v>4</v>
      </c>
      <c r="D14" s="20" t="n">
        <v>37347</v>
      </c>
      <c r="E14" s="108" t="n">
        <f aca="false">N14+R14</f>
        <v>386590</v>
      </c>
      <c r="F14" s="108" t="n">
        <f aca="false">O14+S14</f>
        <v>483</v>
      </c>
      <c r="G14" s="108" t="n">
        <f aca="false">E14-F14</f>
        <v>386107</v>
      </c>
      <c r="H14" s="109" t="n">
        <f aca="false">G14/(1500*30*24)</f>
        <v>0.357506481481482</v>
      </c>
      <c r="I14" s="72" t="n">
        <f aca="false">(P14+T14-I36)/(Q14+U14)</f>
        <v>0.991592587473081</v>
      </c>
      <c r="J14" s="72" t="n">
        <f aca="false">(P14+T14-I36)/(Q14+U14+4)</f>
        <v>0.986084071849064</v>
      </c>
      <c r="K14" s="108" t="n">
        <f aca="false">I14*30*24</f>
        <v>713.946662980618</v>
      </c>
      <c r="M14" s="73" t="n">
        <v>0.966666666666667</v>
      </c>
      <c r="N14" s="73" t="n">
        <v>386590</v>
      </c>
      <c r="O14" s="73" t="n">
        <v>483</v>
      </c>
      <c r="P14" s="73" t="n">
        <v>711.69</v>
      </c>
      <c r="Q14" s="73" t="n">
        <v>716.043405631659</v>
      </c>
    </row>
    <row r="15" customFormat="false" ht="12.75" hidden="false" customHeight="false" outlineLevel="0" collapsed="false">
      <c r="A15" s="107" t="s">
        <v>17</v>
      </c>
      <c r="B15" s="107" t="n">
        <v>1</v>
      </c>
      <c r="C15" s="64" t="n">
        <v>5</v>
      </c>
      <c r="D15" s="20" t="n">
        <v>37347</v>
      </c>
      <c r="E15" s="108" t="n">
        <f aca="false">N15+R15</f>
        <v>401449</v>
      </c>
      <c r="F15" s="108" t="n">
        <f aca="false">O15+S15</f>
        <v>334</v>
      </c>
      <c r="G15" s="108" t="n">
        <f aca="false">E15-F15</f>
        <v>401115</v>
      </c>
      <c r="H15" s="109" t="n">
        <f aca="false">G15/(1500*30*24)</f>
        <v>0.371402777777778</v>
      </c>
      <c r="I15" s="72" t="n">
        <f aca="false">(P15+T15-I37)/(Q15+U15)</f>
        <v>0.990030992845179</v>
      </c>
      <c r="J15" s="72" t="n">
        <f aca="false">(P15+T15-I37)/(Q15+U15+4)</f>
        <v>0.984526378447964</v>
      </c>
      <c r="K15" s="108" t="n">
        <f aca="false">I15*30*24</f>
        <v>712.822314848529</v>
      </c>
      <c r="M15" s="73" t="n">
        <v>1</v>
      </c>
      <c r="N15" s="73" t="n">
        <v>401449</v>
      </c>
      <c r="O15" s="73" t="n">
        <v>334</v>
      </c>
      <c r="P15" s="73" t="n">
        <v>708.286944444444</v>
      </c>
      <c r="Q15" s="73" t="n">
        <v>715.418961187215</v>
      </c>
    </row>
    <row r="16" customFormat="false" ht="12.75" hidden="false" customHeight="false" outlineLevel="0" collapsed="false">
      <c r="A16" s="107" t="s">
        <v>17</v>
      </c>
      <c r="B16" s="107" t="n">
        <v>1</v>
      </c>
      <c r="C16" s="64" t="n">
        <v>6</v>
      </c>
      <c r="D16" s="20" t="n">
        <v>37347</v>
      </c>
      <c r="E16" s="108" t="n">
        <f aca="false">N16+R16</f>
        <v>381741</v>
      </c>
      <c r="F16" s="108" t="n">
        <f aca="false">O16+S16</f>
        <v>425</v>
      </c>
      <c r="G16" s="108" t="n">
        <f aca="false">E16-F16</f>
        <v>381316</v>
      </c>
      <c r="H16" s="109" t="n">
        <f aca="false">G16/(1500*30*24)</f>
        <v>0.35307037037037</v>
      </c>
      <c r="I16" s="72" t="n">
        <f aca="false">(P16+T16-I38)/(Q16+U16)</f>
        <v>0.989564610043147</v>
      </c>
      <c r="J16" s="72" t="n">
        <f aca="false">(P16+T16-I38)/(Q16+U16+4)</f>
        <v>0.984066622169957</v>
      </c>
      <c r="K16" s="108" t="n">
        <f aca="false">I16*30*24</f>
        <v>712.486519231066</v>
      </c>
      <c r="M16" s="73" t="n">
        <v>0.966666666666667</v>
      </c>
      <c r="N16" s="73" t="n">
        <v>381741</v>
      </c>
      <c r="O16" s="73" t="n">
        <v>425</v>
      </c>
      <c r="P16" s="73" t="n">
        <v>708.808888888889</v>
      </c>
      <c r="Q16" s="73" t="n">
        <v>715.946738964992</v>
      </c>
    </row>
    <row r="17" customFormat="false" ht="14.25" hidden="false" customHeight="false" outlineLevel="0" collapsed="false">
      <c r="A17" s="107" t="s">
        <v>17</v>
      </c>
      <c r="B17" s="107" t="n">
        <v>1</v>
      </c>
      <c r="C17" s="64" t="s">
        <v>89</v>
      </c>
      <c r="D17" s="20" t="n">
        <v>37347</v>
      </c>
      <c r="E17" s="108" t="n">
        <f aca="false">N17+R17</f>
        <v>235673</v>
      </c>
      <c r="F17" s="108" t="n">
        <f aca="false">O17+S17</f>
        <v>2204</v>
      </c>
      <c r="G17" s="108" t="n">
        <f aca="false">E17-F17</f>
        <v>233469</v>
      </c>
      <c r="H17" s="109" t="n">
        <f aca="false">G17/(1500*30*24)</f>
        <v>0.216175</v>
      </c>
      <c r="I17" s="72" t="n">
        <f aca="false">(P17+T17-I39)/(Q17+U17)</f>
        <v>0.96792965805083</v>
      </c>
      <c r="J17" s="72" t="n">
        <f aca="false">(P17+T17-I39)/(Q17+U17+4)</f>
        <v>0.962508100132248</v>
      </c>
      <c r="K17" s="108" t="n">
        <f aca="false">I17*30*24</f>
        <v>696.909353796598</v>
      </c>
      <c r="M17" s="73" t="n">
        <v>1</v>
      </c>
      <c r="N17" s="73" t="n">
        <v>235673</v>
      </c>
      <c r="O17" s="73" t="n">
        <v>2204</v>
      </c>
      <c r="P17" s="73" t="n">
        <v>692.859722222222</v>
      </c>
      <c r="Q17" s="73" t="n">
        <v>710.133961187215</v>
      </c>
    </row>
    <row r="18" customFormat="false" ht="12.75" hidden="false" customHeight="false" outlineLevel="0" collapsed="false">
      <c r="A18" s="107" t="s">
        <v>17</v>
      </c>
      <c r="B18" s="107" t="n">
        <v>1</v>
      </c>
      <c r="C18" s="64" t="n">
        <v>8</v>
      </c>
      <c r="D18" s="20" t="n">
        <v>37347</v>
      </c>
      <c r="E18" s="108" t="n">
        <f aca="false">N18+R18</f>
        <v>380148</v>
      </c>
      <c r="F18" s="108" t="n">
        <f aca="false">O18+S18</f>
        <v>771</v>
      </c>
      <c r="G18" s="108" t="n">
        <f aca="false">E18-F18</f>
        <v>379377</v>
      </c>
      <c r="H18" s="109" t="n">
        <f aca="false">G18/(1500*30*24)</f>
        <v>0.351275</v>
      </c>
      <c r="I18" s="72" t="n">
        <f aca="false">(P18+T18-I40)/(Q18+U18)</f>
        <v>0.913914930695561</v>
      </c>
      <c r="J18" s="72" t="n">
        <f aca="false">(P18+T18-I40)/(Q18+U18+4)</f>
        <v>0.908837884588112</v>
      </c>
      <c r="K18" s="108" t="n">
        <f aca="false">I18*30*24</f>
        <v>658.018750100804</v>
      </c>
      <c r="M18" s="73" t="n">
        <v>1</v>
      </c>
      <c r="N18" s="73" t="n">
        <v>380148</v>
      </c>
      <c r="O18" s="73" t="n">
        <v>771</v>
      </c>
      <c r="P18" s="73" t="n">
        <v>654.396666666667</v>
      </c>
      <c r="Q18" s="73" t="n">
        <v>716.036738964992</v>
      </c>
    </row>
    <row r="19" customFormat="false" ht="12.75" hidden="false" customHeight="false" outlineLevel="0" collapsed="false">
      <c r="A19" s="107" t="s">
        <v>17</v>
      </c>
      <c r="B19" s="107" t="n">
        <v>1</v>
      </c>
      <c r="C19" s="64" t="n">
        <v>9</v>
      </c>
      <c r="D19" s="20" t="n">
        <v>37347</v>
      </c>
      <c r="E19" s="108" t="n">
        <f aca="false">N19+R19</f>
        <v>328009</v>
      </c>
      <c r="F19" s="108" t="n">
        <f aca="false">O19+S19</f>
        <v>821</v>
      </c>
      <c r="G19" s="108" t="n">
        <f aca="false">E19-F19</f>
        <v>327188</v>
      </c>
      <c r="H19" s="109" t="n">
        <f aca="false">G19/(1500*30*24)</f>
        <v>0.302951851851852</v>
      </c>
      <c r="I19" s="72" t="n">
        <f aca="false">(P19+T19-I41)/(Q19+U19)</f>
        <v>0.785937577657432</v>
      </c>
      <c r="J19" s="72" t="n">
        <f aca="false">(P19+T19-I41)/(Q19+U19+4)</f>
        <v>0.781570360177296</v>
      </c>
      <c r="K19" s="108" t="n">
        <f aca="false">I19*30*24</f>
        <v>565.875055913351</v>
      </c>
      <c r="M19" s="73" t="n">
        <v>1</v>
      </c>
      <c r="N19" s="73" t="n">
        <v>328009</v>
      </c>
      <c r="O19" s="73" t="n">
        <v>821</v>
      </c>
      <c r="P19" s="73" t="n">
        <v>562.615</v>
      </c>
      <c r="Q19" s="73" t="n">
        <v>715.85201674277</v>
      </c>
    </row>
    <row r="20" customFormat="false" ht="12.75" hidden="false" customHeight="false" outlineLevel="0" collapsed="false">
      <c r="A20" s="107" t="s">
        <v>17</v>
      </c>
      <c r="B20" s="107" t="n">
        <v>1</v>
      </c>
      <c r="C20" s="64" t="n">
        <v>10</v>
      </c>
      <c r="D20" s="20" t="n">
        <v>37347</v>
      </c>
      <c r="E20" s="108" t="n">
        <f aca="false">N20+R20</f>
        <v>424012</v>
      </c>
      <c r="F20" s="108" t="n">
        <f aca="false">O20+S20</f>
        <v>317</v>
      </c>
      <c r="G20" s="108" t="n">
        <f aca="false">E20-F20</f>
        <v>423695</v>
      </c>
      <c r="H20" s="109" t="n">
        <f aca="false">G20/(1500*30*24)</f>
        <v>0.392310185185185</v>
      </c>
      <c r="I20" s="72" t="n">
        <f aca="false">(P20+T20-I42)/(Q20+U20)</f>
        <v>0.992777257485342</v>
      </c>
      <c r="J20" s="72" t="n">
        <f aca="false">(P20+T20-I42)/(Q20+U20+4)</f>
        <v>0.987262099056632</v>
      </c>
      <c r="K20" s="108" t="n">
        <f aca="false">I20*30*24</f>
        <v>714.799625389447</v>
      </c>
      <c r="M20" s="73" t="n">
        <v>1</v>
      </c>
      <c r="N20" s="73" t="n">
        <v>424012</v>
      </c>
      <c r="O20" s="73" t="n">
        <v>317</v>
      </c>
      <c r="P20" s="73" t="n">
        <v>711.696944444444</v>
      </c>
      <c r="Q20" s="73" t="n">
        <v>716.035350076103</v>
      </c>
    </row>
    <row r="21" customFormat="false" ht="12.75" hidden="false" customHeight="false" outlineLevel="0" collapsed="false">
      <c r="A21" s="110"/>
      <c r="B21" s="111"/>
      <c r="C21" s="26" t="s">
        <v>18</v>
      </c>
      <c r="D21" s="20" t="n">
        <v>37347</v>
      </c>
      <c r="E21" s="112" t="n">
        <f aca="false">SUM(E11:E20)</f>
        <v>3602650</v>
      </c>
      <c r="F21" s="112" t="n">
        <f aca="false">SUM(F11:F20)</f>
        <v>6504</v>
      </c>
      <c r="G21" s="112" t="n">
        <f aca="false">SUM(G11:G20)</f>
        <v>3596146</v>
      </c>
      <c r="H21" s="109" t="n">
        <f aca="false">AVERAGE(H11:H20)</f>
        <v>0.332976481481481</v>
      </c>
      <c r="I21" s="66" t="n">
        <f aca="false">AVERAGE(I11:I20)</f>
        <v>0.955698307783451</v>
      </c>
      <c r="J21" s="66" t="n">
        <f aca="false">AVERAGE(J11:J20)</f>
        <v>0.950383514914405</v>
      </c>
      <c r="K21" s="112" t="n">
        <f aca="false">SUM(K11:K20)</f>
        <v>6881.02781604084</v>
      </c>
    </row>
    <row r="22" customFormat="false" ht="14.25" hidden="false" customHeight="false" outlineLevel="0" collapsed="false">
      <c r="A22" s="110"/>
      <c r="B22" s="111"/>
      <c r="C22" s="26" t="s">
        <v>20</v>
      </c>
      <c r="D22" s="20" t="n">
        <v>37347</v>
      </c>
      <c r="E22" s="108" t="n">
        <f aca="false">E21*(0.02)</f>
        <v>72053</v>
      </c>
      <c r="F22" s="108" t="n">
        <f aca="false">F21*(0.02)</f>
        <v>130.08</v>
      </c>
      <c r="G22" s="108" t="n">
        <f aca="false">G21*(0.02)</f>
        <v>71922.92</v>
      </c>
      <c r="H22" s="28" t="s">
        <v>21</v>
      </c>
      <c r="I22" s="28" t="s">
        <v>21</v>
      </c>
      <c r="J22" s="28" t="s">
        <v>21</v>
      </c>
      <c r="K22" s="28" t="s">
        <v>21</v>
      </c>
    </row>
    <row r="23" customFormat="false" ht="12.75" hidden="false" customHeight="false" outlineLevel="0" collapsed="false">
      <c r="A23" s="110"/>
      <c r="B23" s="111"/>
      <c r="C23" s="26" t="s">
        <v>22</v>
      </c>
      <c r="D23" s="20" t="n">
        <v>37347</v>
      </c>
      <c r="E23" s="108" t="n">
        <f aca="false">E21-E22</f>
        <v>3530597</v>
      </c>
      <c r="F23" s="108" t="n">
        <f aca="false">F21-F22</f>
        <v>6373.92</v>
      </c>
      <c r="G23" s="108" t="n">
        <f aca="false">G21-G22</f>
        <v>3524223.08</v>
      </c>
      <c r="H23" s="28" t="s">
        <v>21</v>
      </c>
      <c r="I23" s="28" t="s">
        <v>21</v>
      </c>
      <c r="J23" s="28" t="s">
        <v>21</v>
      </c>
      <c r="K23" s="112" t="n">
        <f aca="false">K21</f>
        <v>6881.02781604084</v>
      </c>
    </row>
    <row r="24" customFormat="false" ht="12.75" hidden="false" customHeight="false" outlineLevel="0" collapsed="false">
      <c r="A24" s="110"/>
      <c r="B24" s="111"/>
      <c r="C24" s="26" t="s">
        <v>22</v>
      </c>
      <c r="D24" s="30" t="s">
        <v>23</v>
      </c>
      <c r="E24" s="108" t="n">
        <f aca="false">E23+'0302'!E24</f>
        <v>17462836.58</v>
      </c>
      <c r="F24" s="108" t="n">
        <f aca="false">F23+'0302'!F24</f>
        <v>25386.9</v>
      </c>
      <c r="G24" s="108" t="n">
        <f aca="false">G23+'0302'!G24</f>
        <v>17437449.68</v>
      </c>
      <c r="H24" s="109" t="n">
        <f aca="false">AVERAGE(H21,'0302'!H21,'0202'!H21,'0102'!H21)</f>
        <v>0.414200314683341</v>
      </c>
      <c r="I24" s="109" t="n">
        <f aca="false">AVERAGE(I21,'0302'!I21,'0202'!I21,'0102'!I21)</f>
        <v>0.940670965913617</v>
      </c>
      <c r="J24" s="109" t="n">
        <f aca="false">AVERAGE(J21,'0302'!J21,'0202'!J21,'0102'!J21)</f>
        <v>0.935361356610452</v>
      </c>
      <c r="K24" s="108" t="n">
        <f aca="false">K23+'0302'!K24</f>
        <v>26953.9255031195</v>
      </c>
    </row>
    <row r="25" customFormat="false" ht="12.75" hidden="false" customHeight="false" outlineLevel="0" collapsed="false">
      <c r="D25" s="32"/>
      <c r="E25" s="99"/>
      <c r="F25" s="99"/>
      <c r="G25" s="99"/>
      <c r="H25" s="99"/>
      <c r="I25" s="113"/>
      <c r="J25" s="113"/>
      <c r="K25" s="99"/>
    </row>
    <row r="26" customFormat="false" ht="12.75" hidden="false" customHeight="false" outlineLevel="0" collapsed="false">
      <c r="A26" s="97" t="s">
        <v>24</v>
      </c>
      <c r="D26" s="32"/>
      <c r="E26" s="99"/>
      <c r="F26" s="99"/>
      <c r="G26" s="99"/>
      <c r="H26" s="99"/>
      <c r="I26" s="113"/>
      <c r="J26" s="113"/>
    </row>
    <row r="27" customFormat="false" ht="12.75" hidden="false" customHeight="false" outlineLevel="0" collapsed="false">
      <c r="A27" s="97" t="s">
        <v>91</v>
      </c>
      <c r="D27" s="32"/>
      <c r="E27" s="99"/>
      <c r="F27" s="99"/>
      <c r="G27" s="99"/>
      <c r="H27" s="99"/>
      <c r="I27" s="113"/>
      <c r="J27" s="113"/>
      <c r="K27" s="99"/>
    </row>
    <row r="28" customFormat="false" ht="12.75" hidden="false" customHeight="false" outlineLevel="0" collapsed="false">
      <c r="A28" s="97" t="s">
        <v>26</v>
      </c>
      <c r="D28" s="1"/>
      <c r="G28" s="99"/>
      <c r="H28" s="99"/>
      <c r="I28" s="113"/>
      <c r="J28" s="113"/>
      <c r="K28" s="99"/>
    </row>
    <row r="29" customFormat="false" ht="12.75" hidden="false" customHeight="false" outlineLevel="0" collapsed="false">
      <c r="A29" s="97" t="s">
        <v>139</v>
      </c>
      <c r="D29" s="1"/>
      <c r="G29" s="99"/>
      <c r="H29" s="99"/>
      <c r="I29" s="113"/>
      <c r="J29" s="113"/>
      <c r="K29" s="99"/>
    </row>
    <row r="30" customFormat="false" ht="12.75" hidden="false" customHeight="false" outlineLevel="0" collapsed="false">
      <c r="D30" s="1"/>
      <c r="G30" s="99"/>
      <c r="H30" s="99"/>
      <c r="I30" s="113"/>
      <c r="J30" s="113"/>
      <c r="K30" s="99"/>
    </row>
    <row r="31" customFormat="false" ht="12.75" hidden="false" customHeight="false" outlineLevel="0" collapsed="false">
      <c r="D31" s="1"/>
      <c r="G31" s="99"/>
      <c r="H31" s="99"/>
      <c r="I31" s="113"/>
      <c r="J31" s="113"/>
      <c r="K31" s="99"/>
    </row>
    <row r="32" customFormat="false" ht="12.75" hidden="false" customHeight="false" outlineLevel="0" collapsed="false">
      <c r="D32" s="1"/>
      <c r="G32" s="99"/>
      <c r="H32" s="24" t="s">
        <v>102</v>
      </c>
      <c r="I32" s="41"/>
      <c r="K32" s="99"/>
    </row>
    <row r="33" customFormat="false" ht="12.75" hidden="false" customHeight="false" outlineLevel="0" collapsed="false">
      <c r="D33" s="1"/>
      <c r="G33" s="99"/>
      <c r="H33" s="19" t="n">
        <v>1</v>
      </c>
      <c r="I33" s="67" t="n">
        <f aca="false">MAX(0,18/6-1.5)</f>
        <v>1.5</v>
      </c>
      <c r="K33" s="99"/>
    </row>
    <row r="34" customFormat="false" ht="12.75" hidden="false" customHeight="false" outlineLevel="0" collapsed="false">
      <c r="D34" s="1"/>
      <c r="G34" s="99"/>
      <c r="H34" s="19" t="n">
        <v>2</v>
      </c>
      <c r="I34" s="67" t="n">
        <f aca="false">MAX(0,15/6-1.5)</f>
        <v>1</v>
      </c>
      <c r="K34" s="99"/>
    </row>
    <row r="35" customFormat="false" ht="12.75" hidden="false" customHeight="false" outlineLevel="0" collapsed="false">
      <c r="D35" s="1"/>
      <c r="G35" s="99"/>
      <c r="H35" s="19" t="n">
        <v>3</v>
      </c>
      <c r="I35" s="67" t="n">
        <f aca="false">MAX(0,17/6-1.5)</f>
        <v>1.33333333333333</v>
      </c>
      <c r="K35" s="99"/>
    </row>
    <row r="36" customFormat="false" ht="12.75" hidden="false" customHeight="false" outlineLevel="0" collapsed="false">
      <c r="D36" s="1"/>
      <c r="G36" s="99"/>
      <c r="H36" s="19" t="n">
        <v>4</v>
      </c>
      <c r="I36" s="67" t="n">
        <f aca="false">MAX(0,19/6-1.5)</f>
        <v>1.66666666666667</v>
      </c>
      <c r="K36" s="99"/>
    </row>
    <row r="37" customFormat="false" ht="12.75" hidden="false" customHeight="false" outlineLevel="0" collapsed="false">
      <c r="H37" s="19" t="n">
        <v>5</v>
      </c>
      <c r="I37" s="67" t="n">
        <f aca="false">MAX(0,7/6-1.5)</f>
        <v>0</v>
      </c>
    </row>
    <row r="38" customFormat="false" ht="12.75" hidden="false" customHeight="false" outlineLevel="0" collapsed="false">
      <c r="H38" s="19" t="n">
        <v>6</v>
      </c>
      <c r="I38" s="67" t="n">
        <f aca="false">MAX(0,11/6-1.5)</f>
        <v>0.333333333333333</v>
      </c>
    </row>
    <row r="39" customFormat="false" ht="12.75" hidden="false" customHeight="false" outlineLevel="0" collapsed="false">
      <c r="H39" s="64" t="n">
        <v>7</v>
      </c>
      <c r="I39" s="67" t="n">
        <f aca="false">MAX(0,42/6-1.5)</f>
        <v>5.5</v>
      </c>
    </row>
    <row r="40" customFormat="false" ht="12.75" hidden="false" customHeight="false" outlineLevel="0" collapsed="false">
      <c r="H40" s="19" t="n">
        <v>8</v>
      </c>
      <c r="I40" s="67" t="n">
        <f aca="false">MAX(0,9/6-1.5)</f>
        <v>0</v>
      </c>
    </row>
    <row r="41" customFormat="false" ht="12.75" hidden="false" customHeight="false" outlineLevel="0" collapsed="false">
      <c r="H41" s="19" t="n">
        <v>9</v>
      </c>
      <c r="I41" s="67" t="n">
        <f aca="false">MAX(0,5/6-1.5)</f>
        <v>0</v>
      </c>
    </row>
    <row r="42" customFormat="false" ht="15.75" hidden="false" customHeight="false" outlineLevel="0" collapsed="false">
      <c r="A42" s="114" t="s">
        <v>103</v>
      </c>
      <c r="B42" s="114"/>
      <c r="C42" s="114"/>
      <c r="D42" s="114"/>
      <c r="E42" s="114"/>
      <c r="F42" s="114"/>
      <c r="G42" s="114"/>
      <c r="H42" s="19" t="n">
        <v>10</v>
      </c>
      <c r="I42" s="67" t="n">
        <f aca="false">MAX(0,14/6-1.5)</f>
        <v>0.833333333333334</v>
      </c>
    </row>
    <row r="43" customFormat="false" ht="15.75" hidden="false" customHeight="false" outlineLevel="0" collapsed="false">
      <c r="A43" s="114" t="s">
        <v>104</v>
      </c>
      <c r="B43" s="114"/>
      <c r="C43" s="114"/>
      <c r="D43" s="114"/>
      <c r="E43" s="114"/>
      <c r="F43" s="114"/>
      <c r="G43" s="114"/>
      <c r="H43" s="114"/>
    </row>
    <row r="44" customFormat="false" ht="15.75" hidden="false" customHeight="false" outlineLevel="0" collapsed="false">
      <c r="A44" s="76"/>
      <c r="B44" s="76"/>
      <c r="C44" s="77"/>
      <c r="D44" s="76"/>
      <c r="E44" s="115"/>
      <c r="F44" s="115"/>
      <c r="G44" s="115"/>
      <c r="H44" s="115"/>
    </row>
    <row r="45" customFormat="false" ht="13.5" hidden="false" customHeight="false" outlineLevel="0" collapsed="false">
      <c r="A45" s="79" t="s">
        <v>106</v>
      </c>
      <c r="B45" s="80" t="n">
        <v>37317</v>
      </c>
      <c r="C45" s="81"/>
      <c r="D45" s="82"/>
      <c r="E45" s="83" t="s">
        <v>107</v>
      </c>
      <c r="F45" s="83"/>
      <c r="G45" s="83"/>
      <c r="H45" s="83"/>
    </row>
    <row r="46" customFormat="false" ht="12.75" hidden="false" customHeight="false" outlineLevel="0" collapsed="false">
      <c r="A46" s="84" t="s">
        <v>108</v>
      </c>
      <c r="B46" s="85" t="s">
        <v>109</v>
      </c>
      <c r="C46" s="86" t="s">
        <v>110</v>
      </c>
      <c r="D46" s="85" t="s">
        <v>111</v>
      </c>
      <c r="E46" s="86" t="s">
        <v>112</v>
      </c>
      <c r="F46" s="87" t="s">
        <v>113</v>
      </c>
      <c r="G46" s="84" t="s">
        <v>114</v>
      </c>
      <c r="H46" s="84" t="s">
        <v>115</v>
      </c>
    </row>
    <row r="47" customFormat="false" ht="12.75" hidden="false" customHeight="false" outlineLevel="0" collapsed="false">
      <c r="A47" s="88"/>
      <c r="B47" s="89" t="n">
        <v>37332.7916666667</v>
      </c>
      <c r="C47" s="90" t="s">
        <v>133</v>
      </c>
      <c r="D47" s="89" t="n">
        <v>37333.4027777778</v>
      </c>
      <c r="E47" s="90" t="s">
        <v>134</v>
      </c>
      <c r="F47" s="91" t="n">
        <f aca="false">(D47-B47)*24</f>
        <v>14.6666666666667</v>
      </c>
      <c r="G47" s="88" t="s">
        <v>118</v>
      </c>
      <c r="H47" s="116" t="s">
        <v>135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66"/>
  <sheetViews>
    <sheetView showFormulas="false" showGridLines="true" showRowColHeaders="true" showZeros="true" rightToLeft="false" tabSelected="false" showOutlineSymbols="true" defaultGridColor="true" view="normal" topLeftCell="C5" colorId="64" zoomScale="100" zoomScaleNormal="100" zoomScalePageLayoutView="100" workbookViewId="0">
      <selection pane="topLeft" activeCell="J11" activeCellId="0" sqref="J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2.42"/>
    <col collapsed="false" customWidth="true" hidden="false" outlineLevel="0" max="11" min="5" style="0" width="15.7"/>
  </cols>
  <sheetData>
    <row r="1" customFormat="false" ht="30" hidden="false" customHeight="false" outlineLevel="0" collapsed="false">
      <c r="A1" s="98" t="s">
        <v>140</v>
      </c>
      <c r="B1" s="97"/>
      <c r="C1" s="97"/>
      <c r="D1" s="1"/>
      <c r="E1" s="97"/>
      <c r="F1" s="97"/>
      <c r="G1" s="97"/>
      <c r="H1" s="97"/>
      <c r="I1" s="97"/>
      <c r="J1" s="97"/>
      <c r="K1" s="99"/>
    </row>
    <row r="2" customFormat="false" ht="12.75" hidden="false" customHeight="false" outlineLevel="0" collapsed="false">
      <c r="A2" s="97"/>
      <c r="B2" s="97"/>
      <c r="C2" s="97"/>
      <c r="D2" s="1"/>
      <c r="E2" s="97"/>
      <c r="F2" s="97"/>
      <c r="G2" s="97"/>
      <c r="H2" s="97"/>
      <c r="I2" s="97"/>
      <c r="J2" s="97"/>
      <c r="K2" s="99"/>
    </row>
    <row r="3" customFormat="false" ht="12.75" hidden="false" customHeight="false" outlineLevel="0" collapsed="false">
      <c r="A3" s="97" t="s">
        <v>1</v>
      </c>
      <c r="B3" s="97"/>
      <c r="C3" s="97"/>
      <c r="D3" s="1"/>
      <c r="E3" s="97"/>
      <c r="F3" s="97"/>
      <c r="G3" s="97"/>
      <c r="H3" s="97"/>
      <c r="I3" s="97"/>
      <c r="J3" s="97"/>
      <c r="K3" s="99"/>
    </row>
    <row r="4" customFormat="false" ht="12.75" hidden="false" customHeight="false" outlineLevel="0" collapsed="false">
      <c r="A4" s="97" t="s">
        <v>2</v>
      </c>
      <c r="B4" s="97"/>
      <c r="C4" s="97"/>
      <c r="D4" s="1"/>
      <c r="E4" s="97"/>
      <c r="F4" s="97"/>
      <c r="G4" s="97"/>
      <c r="H4" s="97"/>
      <c r="I4" s="97"/>
      <c r="J4" s="97"/>
      <c r="K4" s="99"/>
    </row>
    <row r="5" customFormat="false" ht="12.75" hidden="false" customHeight="false" outlineLevel="0" collapsed="false">
      <c r="A5" s="97" t="s">
        <v>95</v>
      </c>
      <c r="B5" s="97"/>
      <c r="C5" s="97"/>
      <c r="D5" s="1"/>
      <c r="E5" s="97"/>
      <c r="F5" s="97"/>
      <c r="G5" s="97"/>
      <c r="H5" s="97"/>
      <c r="I5" s="97"/>
      <c r="J5" s="97"/>
      <c r="K5" s="99"/>
    </row>
    <row r="6" customFormat="false" ht="12.75" hidden="false" customHeight="false" outlineLevel="0" collapsed="false">
      <c r="A6" s="97" t="s">
        <v>138</v>
      </c>
      <c r="B6" s="97"/>
      <c r="C6" s="97"/>
      <c r="D6" s="1"/>
      <c r="E6" s="97"/>
      <c r="F6" s="97"/>
      <c r="G6" s="97"/>
      <c r="H6" s="97"/>
      <c r="I6" s="97"/>
      <c r="J6" s="97"/>
      <c r="K6" s="99"/>
    </row>
    <row r="7" customFormat="false" ht="12.75" hidden="false" customHeight="false" outlineLevel="0" collapsed="false">
      <c r="A7" s="97"/>
      <c r="B7" s="97"/>
      <c r="C7" s="97"/>
      <c r="D7" s="1"/>
      <c r="E7" s="97"/>
      <c r="F7" s="97"/>
      <c r="G7" s="97"/>
      <c r="H7" s="97"/>
      <c r="I7" s="97"/>
      <c r="J7" s="97"/>
      <c r="K7" s="99"/>
    </row>
    <row r="8" customFormat="false" ht="18" hidden="false" customHeight="false" outlineLevel="0" collapsed="false">
      <c r="A8" s="100" t="s">
        <v>5</v>
      </c>
      <c r="B8" s="97"/>
      <c r="C8" s="97"/>
      <c r="D8" s="1"/>
      <c r="E8" s="97"/>
      <c r="F8" s="97"/>
      <c r="G8" s="97"/>
      <c r="H8" s="97"/>
      <c r="I8" s="97"/>
      <c r="J8" s="97"/>
      <c r="K8" s="99"/>
    </row>
    <row r="9" customFormat="false" ht="12.75" hidden="false" customHeight="false" outlineLevel="0" collapsed="false">
      <c r="A9" s="101"/>
      <c r="B9" s="101"/>
      <c r="C9" s="101"/>
      <c r="D9" s="6"/>
      <c r="E9" s="102" t="s">
        <v>6</v>
      </c>
      <c r="F9" s="103"/>
      <c r="G9" s="104"/>
      <c r="H9" s="104"/>
      <c r="I9" s="105"/>
      <c r="J9" s="105"/>
      <c r="K9" s="106"/>
      <c r="N9" s="0" t="s">
        <v>124</v>
      </c>
      <c r="R9" s="0" t="s">
        <v>125</v>
      </c>
    </row>
    <row r="10" customFormat="false" ht="25.5" hidden="false" customHeight="false" outlineLevel="0" collapsed="false">
      <c r="A10" s="57" t="s">
        <v>7</v>
      </c>
      <c r="B10" s="57" t="s">
        <v>8</v>
      </c>
      <c r="C10" s="57" t="s">
        <v>9</v>
      </c>
      <c r="D10" s="57" t="s">
        <v>53</v>
      </c>
      <c r="E10" s="58" t="s">
        <v>11</v>
      </c>
      <c r="F10" s="59" t="s">
        <v>12</v>
      </c>
      <c r="G10" s="60" t="s">
        <v>13</v>
      </c>
      <c r="H10" s="60" t="s">
        <v>14</v>
      </c>
      <c r="I10" s="61" t="s">
        <v>54</v>
      </c>
      <c r="J10" s="61" t="s">
        <v>55</v>
      </c>
      <c r="K10" s="68" t="s">
        <v>16</v>
      </c>
      <c r="M10" s="43" t="s">
        <v>126</v>
      </c>
      <c r="N10" s="0" t="s">
        <v>127</v>
      </c>
      <c r="O10" s="0" t="s">
        <v>128</v>
      </c>
      <c r="P10" s="0" t="s">
        <v>129</v>
      </c>
      <c r="Q10" s="0" t="s">
        <v>130</v>
      </c>
      <c r="R10" s="0" t="s">
        <v>127</v>
      </c>
      <c r="S10" s="0" t="s">
        <v>128</v>
      </c>
      <c r="T10" s="0" t="s">
        <v>129</v>
      </c>
      <c r="U10" s="0" t="s">
        <v>130</v>
      </c>
      <c r="W10" s="0" t="s">
        <v>141</v>
      </c>
      <c r="X10" s="0" t="s">
        <v>142</v>
      </c>
      <c r="Y10" s="0" t="s">
        <v>143</v>
      </c>
    </row>
    <row r="11" customFormat="false" ht="12.75" hidden="false" customHeight="false" outlineLevel="0" collapsed="false">
      <c r="A11" s="107" t="s">
        <v>17</v>
      </c>
      <c r="B11" s="107" t="n">
        <v>1</v>
      </c>
      <c r="C11" s="64" t="n">
        <v>1</v>
      </c>
      <c r="D11" s="20" t="n">
        <v>37347</v>
      </c>
      <c r="E11" s="108" t="n">
        <f aca="false">N11+R11</f>
        <v>322471</v>
      </c>
      <c r="F11" s="108" t="n">
        <f aca="false">O11+S11</f>
        <v>661</v>
      </c>
      <c r="G11" s="108" t="n">
        <f aca="false">E11-F11</f>
        <v>321810</v>
      </c>
      <c r="H11" s="109" t="n">
        <f aca="false">G11/(1500*30*24)</f>
        <v>0.297972222222222</v>
      </c>
      <c r="I11" s="72" t="n">
        <f aca="false">(P11+T11-I33)/(Q11+U11)</f>
        <v>0.963653262287605</v>
      </c>
      <c r="J11" s="72" t="n">
        <f aca="false">(P11+T11-I33)/(Q11+U11+4)</f>
        <v>0.958471752020182</v>
      </c>
      <c r="K11" s="108" t="n">
        <f aca="false">I11*30*24</f>
        <v>693.830348847076</v>
      </c>
      <c r="M11" s="73" t="n">
        <v>1</v>
      </c>
      <c r="N11" s="73" t="n">
        <v>322471</v>
      </c>
      <c r="O11" s="73" t="n">
        <v>661</v>
      </c>
      <c r="P11" s="73" t="n">
        <v>716.023333333333</v>
      </c>
      <c r="Q11" s="73" t="n">
        <v>739.916898782344</v>
      </c>
      <c r="W11" s="73" t="n">
        <v>716.029722222222</v>
      </c>
      <c r="X11" s="0" t="n">
        <f aca="false">(T11-U11)</f>
        <v>0</v>
      </c>
      <c r="Y11" s="0" t="n">
        <f aca="false">(W11-X11)/744</f>
        <v>0.962405540621266</v>
      </c>
    </row>
    <row r="12" customFormat="false" ht="12.75" hidden="false" customHeight="false" outlineLevel="0" collapsed="false">
      <c r="A12" s="107" t="s">
        <v>17</v>
      </c>
      <c r="B12" s="107" t="n">
        <v>1</v>
      </c>
      <c r="C12" s="64" t="n">
        <v>2</v>
      </c>
      <c r="D12" s="20" t="n">
        <v>37347</v>
      </c>
      <c r="E12" s="108" t="n">
        <f aca="false">N12+R12</f>
        <v>330081</v>
      </c>
      <c r="F12" s="108" t="n">
        <f aca="false">O12+S12</f>
        <v>643</v>
      </c>
      <c r="G12" s="108" t="n">
        <f aca="false">E12-F12</f>
        <v>329438</v>
      </c>
      <c r="H12" s="109" t="n">
        <f aca="false">G12/(1500*30*24)</f>
        <v>0.305035185185185</v>
      </c>
      <c r="I12" s="72" t="n">
        <f aca="false">(P12+T12-I34)/(Q12+U12)</f>
        <v>0.980225248497421</v>
      </c>
      <c r="J12" s="72" t="n">
        <f aca="false">(P12+T12-I34)/(Q12+U12+4)</f>
        <v>0.97495451349195</v>
      </c>
      <c r="K12" s="108" t="n">
        <f aca="false">I12*30*24</f>
        <v>705.762178918143</v>
      </c>
      <c r="M12" s="73" t="n">
        <v>0.967741935483871</v>
      </c>
      <c r="N12" s="73" t="n">
        <v>330081</v>
      </c>
      <c r="O12" s="73" t="n">
        <v>643</v>
      </c>
      <c r="P12" s="73" t="n">
        <v>728.768888888889</v>
      </c>
      <c r="Q12" s="73" t="n">
        <v>739.900232115677</v>
      </c>
      <c r="W12" s="73" t="n">
        <v>728.791944444444</v>
      </c>
      <c r="X12" s="0" t="n">
        <f aca="false">(T12-U12)</f>
        <v>0</v>
      </c>
      <c r="Y12" s="0" t="n">
        <f aca="false">(W12-X12)/744</f>
        <v>0.979559065113501</v>
      </c>
    </row>
    <row r="13" customFormat="false" ht="12.75" hidden="false" customHeight="false" outlineLevel="0" collapsed="false">
      <c r="A13" s="107" t="s">
        <v>17</v>
      </c>
      <c r="B13" s="107" t="n">
        <v>1</v>
      </c>
      <c r="C13" s="64" t="n">
        <v>3</v>
      </c>
      <c r="D13" s="20" t="n">
        <v>37347</v>
      </c>
      <c r="E13" s="108" t="n">
        <f aca="false">N13+R13</f>
        <v>312796</v>
      </c>
      <c r="F13" s="108" t="n">
        <f aca="false">O13+S13</f>
        <v>591</v>
      </c>
      <c r="G13" s="108" t="n">
        <f aca="false">E13-F13</f>
        <v>312205</v>
      </c>
      <c r="H13" s="109" t="n">
        <f aca="false">G13/(1500*30*24)</f>
        <v>0.289078703703704</v>
      </c>
      <c r="I13" s="72" t="n">
        <f aca="false">(P13+T13-I35)/(Q13+U13)</f>
        <v>0.936349065209263</v>
      </c>
      <c r="J13" s="72" t="n">
        <f aca="false">(P13+T13-I35)/(Q13+U13+4)</f>
        <v>0.931313918750368</v>
      </c>
      <c r="K13" s="108" t="n">
        <f aca="false">I13*30*24</f>
        <v>674.171326950669</v>
      </c>
      <c r="M13" s="73" t="n">
        <v>1</v>
      </c>
      <c r="N13" s="73" t="n">
        <v>312796</v>
      </c>
      <c r="O13" s="73" t="n">
        <v>591</v>
      </c>
      <c r="P13" s="73" t="n">
        <v>695.425</v>
      </c>
      <c r="Q13" s="73" t="n">
        <v>739.850509893455</v>
      </c>
      <c r="W13" s="73" t="n">
        <v>695.497777777778</v>
      </c>
      <c r="X13" s="0" t="n">
        <f aca="false">(T13-U13)</f>
        <v>0</v>
      </c>
      <c r="Y13" s="0" t="n">
        <f aca="false">(W13-X13)/744</f>
        <v>0.934808841099164</v>
      </c>
    </row>
    <row r="14" customFormat="false" ht="12.75" hidden="false" customHeight="false" outlineLevel="0" collapsed="false">
      <c r="A14" s="107" t="s">
        <v>17</v>
      </c>
      <c r="B14" s="107" t="n">
        <v>1</v>
      </c>
      <c r="C14" s="64" t="n">
        <v>4</v>
      </c>
      <c r="D14" s="20" t="n">
        <v>37347</v>
      </c>
      <c r="E14" s="108" t="n">
        <f aca="false">N14+R14</f>
        <v>351658</v>
      </c>
      <c r="F14" s="108" t="n">
        <f aca="false">O14+S14</f>
        <v>801</v>
      </c>
      <c r="G14" s="108" t="n">
        <f aca="false">E14-F14</f>
        <v>350857</v>
      </c>
      <c r="H14" s="109" t="n">
        <f aca="false">G14/(1500*30*24)</f>
        <v>0.324867592592593</v>
      </c>
      <c r="I14" s="72" t="n">
        <f aca="false">(P14+T14-I36)/(Q14+U14)</f>
        <v>0.970086298448427</v>
      </c>
      <c r="J14" s="72" t="n">
        <f aca="false">(P14+T14-I36)/(Q14+U14+4)</f>
        <v>0.964870112401934</v>
      </c>
      <c r="K14" s="108" t="n">
        <f aca="false">I14*30*24</f>
        <v>698.462134882867</v>
      </c>
      <c r="M14" s="73" t="n">
        <v>1</v>
      </c>
      <c r="N14" s="73" t="n">
        <v>351658</v>
      </c>
      <c r="O14" s="73" t="n">
        <v>801</v>
      </c>
      <c r="P14" s="73" t="n">
        <v>723.938055555556</v>
      </c>
      <c r="Q14" s="73" t="n">
        <v>739.904676560122</v>
      </c>
      <c r="W14" s="73" t="n">
        <v>723.956666666667</v>
      </c>
      <c r="X14" s="0" t="n">
        <f aca="false">(T14-U14)</f>
        <v>0</v>
      </c>
      <c r="Y14" s="0" t="n">
        <f aca="false">(W14-X14)/744</f>
        <v>0.973060035842294</v>
      </c>
    </row>
    <row r="15" customFormat="false" ht="12.75" hidden="false" customHeight="false" outlineLevel="0" collapsed="false">
      <c r="A15" s="107" t="s">
        <v>17</v>
      </c>
      <c r="B15" s="107" t="n">
        <v>1</v>
      </c>
      <c r="C15" s="64" t="n">
        <v>5</v>
      </c>
      <c r="D15" s="20" t="n">
        <v>37347</v>
      </c>
      <c r="E15" s="108" t="n">
        <f aca="false">N15+R15</f>
        <v>277231</v>
      </c>
      <c r="F15" s="108" t="n">
        <f aca="false">O15+S15</f>
        <v>1037</v>
      </c>
      <c r="G15" s="108" t="n">
        <f aca="false">E15-F15</f>
        <v>276194</v>
      </c>
      <c r="H15" s="109" t="n">
        <f aca="false">G15/(1500*30*24)</f>
        <v>0.255735185185185</v>
      </c>
      <c r="I15" s="72" t="n">
        <f aca="false">(P15+T15-I37)/(Q15+U15)</f>
        <v>0.864302371760382</v>
      </c>
      <c r="J15" s="72" t="n">
        <f aca="false">(P15+T15-I37)/(Q15+U15+4)</f>
        <v>0.859655077880789</v>
      </c>
      <c r="K15" s="108" t="n">
        <f aca="false">I15*30*24</f>
        <v>622.297707667475</v>
      </c>
      <c r="M15" s="73" t="n">
        <v>1</v>
      </c>
      <c r="N15" s="73" t="n">
        <v>277231</v>
      </c>
      <c r="O15" s="73" t="n">
        <v>1037</v>
      </c>
      <c r="P15" s="73" t="n">
        <v>642.346944444445</v>
      </c>
      <c r="Q15" s="73" t="n">
        <v>739.918843226788</v>
      </c>
      <c r="W15" s="73" t="n">
        <v>642.351388888889</v>
      </c>
      <c r="X15" s="0" t="n">
        <f aca="false">(T15-U15)</f>
        <v>0</v>
      </c>
      <c r="Y15" s="0" t="n">
        <f aca="false">(W15-X15)/744</f>
        <v>0.86337552270012</v>
      </c>
    </row>
    <row r="16" customFormat="false" ht="12.75" hidden="false" customHeight="false" outlineLevel="0" collapsed="false">
      <c r="A16" s="107" t="s">
        <v>17</v>
      </c>
      <c r="B16" s="107" t="n">
        <v>1</v>
      </c>
      <c r="C16" s="64" t="n">
        <v>6</v>
      </c>
      <c r="D16" s="20" t="n">
        <v>37347</v>
      </c>
      <c r="E16" s="108" t="n">
        <f aca="false">N16+R16</f>
        <v>328215</v>
      </c>
      <c r="F16" s="108" t="n">
        <f aca="false">O16+S16</f>
        <v>799</v>
      </c>
      <c r="G16" s="108" t="n">
        <f aca="false">E16-F16</f>
        <v>327416</v>
      </c>
      <c r="H16" s="109" t="n">
        <f aca="false">G16/(1500*30*24)</f>
        <v>0.303162962962963</v>
      </c>
      <c r="I16" s="72" t="n">
        <f aca="false">(P16+T16-I38)/(Q16+U16)</f>
        <v>0.958004745831265</v>
      </c>
      <c r="J16" s="72" t="n">
        <f aca="false">(P16+T16-I38)/(Q16+U16+4)</f>
        <v>0.952853609247695</v>
      </c>
      <c r="K16" s="108" t="n">
        <f aca="false">I16*30*24</f>
        <v>689.763416998511</v>
      </c>
      <c r="M16" s="73" t="n">
        <v>1</v>
      </c>
      <c r="N16" s="73" t="n">
        <v>328215</v>
      </c>
      <c r="O16" s="73" t="n">
        <v>799</v>
      </c>
      <c r="P16" s="73" t="n">
        <v>714.344166666667</v>
      </c>
      <c r="Q16" s="73" t="n">
        <v>739.917176560122</v>
      </c>
      <c r="W16" s="73" t="n">
        <v>714.350277777778</v>
      </c>
      <c r="X16" s="0" t="n">
        <f aca="false">(T16-U16)</f>
        <v>0</v>
      </c>
      <c r="Y16" s="0" t="n">
        <f aca="false">(W16-X16)/744</f>
        <v>0.960148222819594</v>
      </c>
    </row>
    <row r="17" customFormat="false" ht="14.25" hidden="false" customHeight="false" outlineLevel="0" collapsed="false">
      <c r="A17" s="107" t="s">
        <v>17</v>
      </c>
      <c r="B17" s="107" t="n">
        <v>1</v>
      </c>
      <c r="C17" s="64" t="s">
        <v>89</v>
      </c>
      <c r="D17" s="20" t="n">
        <v>37347</v>
      </c>
      <c r="E17" s="108" t="n">
        <f aca="false">N17+R17</f>
        <v>207965</v>
      </c>
      <c r="F17" s="108" t="n">
        <f aca="false">O17+S17</f>
        <v>2527</v>
      </c>
      <c r="G17" s="108" t="n">
        <f aca="false">E17-F17</f>
        <v>205438</v>
      </c>
      <c r="H17" s="109" t="n">
        <f aca="false">G17/(1500*30*24)</f>
        <v>0.19022037037037</v>
      </c>
      <c r="I17" s="72" t="n">
        <f aca="false">(P17+T17-I39)/(Q17+U17)</f>
        <v>0.976777544898379</v>
      </c>
      <c r="J17" s="72" t="n">
        <f aca="false">(P17+T17-I39)/(Q17+U17+4)</f>
        <v>0.971525479817401</v>
      </c>
      <c r="K17" s="108" t="n">
        <f aca="false">I17*30*24</f>
        <v>703.279832326833</v>
      </c>
      <c r="M17" s="73" t="n">
        <v>1</v>
      </c>
      <c r="N17" s="73" t="n">
        <v>207965</v>
      </c>
      <c r="O17" s="73" t="n">
        <v>2527</v>
      </c>
      <c r="P17" s="73" t="n">
        <v>729.902777777778</v>
      </c>
      <c r="Q17" s="73" t="n">
        <v>739.918843226788</v>
      </c>
      <c r="W17" s="73" t="n">
        <v>729.907222222222</v>
      </c>
      <c r="X17" s="0" t="n">
        <f aca="false">(T17-U17)</f>
        <v>0</v>
      </c>
      <c r="Y17" s="0" t="n">
        <f aca="false">(W17-X17)/744</f>
        <v>0.981058094384707</v>
      </c>
    </row>
    <row r="18" customFormat="false" ht="12.75" hidden="false" customHeight="false" outlineLevel="0" collapsed="false">
      <c r="A18" s="107" t="s">
        <v>17</v>
      </c>
      <c r="B18" s="107" t="n">
        <v>1</v>
      </c>
      <c r="C18" s="64" t="n">
        <v>8</v>
      </c>
      <c r="D18" s="20" t="n">
        <v>37347</v>
      </c>
      <c r="E18" s="108" t="n">
        <f aca="false">N18+R18</f>
        <v>252459</v>
      </c>
      <c r="F18" s="108" t="n">
        <f aca="false">O18+S18</f>
        <v>1947</v>
      </c>
      <c r="G18" s="108" t="n">
        <f aca="false">E18-F18</f>
        <v>250512</v>
      </c>
      <c r="H18" s="109" t="n">
        <f aca="false">G18/(1500*30*24)</f>
        <v>0.231955555555556</v>
      </c>
      <c r="I18" s="72" t="n">
        <f aca="false">(P18+T18-I40)/(Q18+U18)</f>
        <v>0.705190306873619</v>
      </c>
      <c r="J18" s="72" t="n">
        <f aca="false">(P18+T18-I40)/(Q18+U18+4)</f>
        <v>0.701398316731058</v>
      </c>
      <c r="K18" s="108" t="n">
        <f aca="false">I18*30*24</f>
        <v>507.737020949006</v>
      </c>
      <c r="M18" s="73" t="n">
        <v>1</v>
      </c>
      <c r="N18" s="73" t="n">
        <v>252459</v>
      </c>
      <c r="O18" s="73" t="n">
        <v>1947</v>
      </c>
      <c r="P18" s="73" t="n">
        <v>525.085</v>
      </c>
      <c r="Q18" s="73" t="n">
        <v>739.873565449011</v>
      </c>
      <c r="W18" s="73" t="n">
        <v>525.134722222222</v>
      </c>
      <c r="X18" s="0" t="n">
        <f aca="false">(T18-U18)</f>
        <v>0</v>
      </c>
      <c r="Y18" s="0" t="n">
        <f aca="false">(W18-X18)/744</f>
        <v>0.705826239545998</v>
      </c>
    </row>
    <row r="19" customFormat="false" ht="12.75" hidden="false" customHeight="false" outlineLevel="0" collapsed="false">
      <c r="A19" s="107" t="s">
        <v>17</v>
      </c>
      <c r="B19" s="107" t="n">
        <v>1</v>
      </c>
      <c r="C19" s="64" t="n">
        <v>9</v>
      </c>
      <c r="D19" s="20" t="n">
        <v>37347</v>
      </c>
      <c r="E19" s="108" t="n">
        <f aca="false">N19+R19</f>
        <v>378187</v>
      </c>
      <c r="F19" s="108" t="n">
        <f aca="false">O19+S19</f>
        <v>669</v>
      </c>
      <c r="G19" s="108" t="n">
        <f aca="false">E19-F19</f>
        <v>377518</v>
      </c>
      <c r="H19" s="109" t="n">
        <f aca="false">G19/(1500*30*24)</f>
        <v>0.349553703703704</v>
      </c>
      <c r="I19" s="72" t="n">
        <f aca="false">(P19+T19-I41)/(Q19+U19)</f>
        <v>0.976845331766051</v>
      </c>
      <c r="J19" s="72" t="n">
        <f aca="false">(P19+T19-I41)/(Q19+U19+4)</f>
        <v>0.971592780599692</v>
      </c>
      <c r="K19" s="108" t="n">
        <f aca="false">I19*30*24</f>
        <v>703.328638871557</v>
      </c>
      <c r="M19" s="73" t="n">
        <v>1</v>
      </c>
      <c r="N19" s="73" t="n">
        <v>378187</v>
      </c>
      <c r="O19" s="73" t="n">
        <v>669</v>
      </c>
      <c r="P19" s="73" t="n">
        <v>726.436111111111</v>
      </c>
      <c r="Q19" s="73" t="n">
        <v>739.901621004566</v>
      </c>
      <c r="W19" s="73" t="n">
        <v>726.457777777778</v>
      </c>
      <c r="X19" s="0" t="n">
        <f aca="false">(T19-U19)</f>
        <v>0</v>
      </c>
      <c r="Y19" s="0" t="n">
        <f aca="false">(W19-X19)/744</f>
        <v>0.97642174432497</v>
      </c>
    </row>
    <row r="20" customFormat="false" ht="12.75" hidden="false" customHeight="false" outlineLevel="0" collapsed="false">
      <c r="A20" s="107" t="s">
        <v>17</v>
      </c>
      <c r="B20" s="107" t="n">
        <v>1</v>
      </c>
      <c r="C20" s="64" t="n">
        <v>10</v>
      </c>
      <c r="D20" s="20" t="n">
        <v>37347</v>
      </c>
      <c r="E20" s="108" t="n">
        <f aca="false">N20+R20</f>
        <v>379624</v>
      </c>
      <c r="F20" s="108" t="n">
        <f aca="false">O20+S20</f>
        <v>505</v>
      </c>
      <c r="G20" s="108" t="n">
        <f aca="false">E20-F20</f>
        <v>379119</v>
      </c>
      <c r="H20" s="109" t="n">
        <f aca="false">G20/(1500*30*24)</f>
        <v>0.351036111111111</v>
      </c>
      <c r="I20" s="72" t="n">
        <f aca="false">(P20+T20-I42)/(Q20+U20)</f>
        <v>0.970403684705692</v>
      </c>
      <c r="J20" s="72" t="n">
        <f aca="false">(P20+T20-I42)/(Q20+U20+4)</f>
        <v>0.965185753094775</v>
      </c>
      <c r="K20" s="108" t="n">
        <f aca="false">I20*30*24</f>
        <v>698.690652988098</v>
      </c>
      <c r="M20" s="73" t="n">
        <v>1</v>
      </c>
      <c r="N20" s="73" t="n">
        <v>379624</v>
      </c>
      <c r="O20" s="73" t="n">
        <v>505</v>
      </c>
      <c r="P20" s="73" t="n">
        <v>725.000833333333</v>
      </c>
      <c r="Q20" s="73" t="n">
        <v>739.899121004566</v>
      </c>
      <c r="W20" s="73" t="n">
        <v>725.025</v>
      </c>
      <c r="X20" s="0" t="n">
        <f aca="false">(T20-U20)</f>
        <v>0</v>
      </c>
      <c r="Y20" s="0" t="n">
        <f aca="false">(W20-X20)/744</f>
        <v>0.974495967741936</v>
      </c>
    </row>
    <row r="21" customFormat="false" ht="12.75" hidden="false" customHeight="false" outlineLevel="0" collapsed="false">
      <c r="A21" s="110"/>
      <c r="B21" s="111"/>
      <c r="C21" s="26" t="s">
        <v>18</v>
      </c>
      <c r="D21" s="20" t="n">
        <v>37347</v>
      </c>
      <c r="E21" s="112" t="n">
        <f aca="false">SUM(E11:E20)</f>
        <v>3140687</v>
      </c>
      <c r="F21" s="112" t="n">
        <f aca="false">SUM(F11:F20)</f>
        <v>10180</v>
      </c>
      <c r="G21" s="112" t="n">
        <f aca="false">SUM(G11:G20)</f>
        <v>3130507</v>
      </c>
      <c r="H21" s="109" t="n">
        <f aca="false">AVERAGE(H11:H20)</f>
        <v>0.289861759259259</v>
      </c>
      <c r="I21" s="66" t="n">
        <f aca="false">AVERAGE(I11:I20)</f>
        <v>0.93018378602781</v>
      </c>
      <c r="J21" s="66" t="n">
        <f aca="false">AVERAGE(J11:J20)</f>
        <v>0.925182131403584</v>
      </c>
      <c r="K21" s="112" t="n">
        <f aca="false">SUM(K11:K20)</f>
        <v>6697.32325940024</v>
      </c>
      <c r="Y21" s="66" t="n">
        <f aca="false">AVERAGE(Y11:Y20)</f>
        <v>0.931115927419355</v>
      </c>
    </row>
    <row r="22" customFormat="false" ht="14.25" hidden="false" customHeight="false" outlineLevel="0" collapsed="false">
      <c r="A22" s="110"/>
      <c r="B22" s="111"/>
      <c r="C22" s="26" t="s">
        <v>20</v>
      </c>
      <c r="D22" s="20" t="n">
        <v>37347</v>
      </c>
      <c r="E22" s="108" t="n">
        <f aca="false">E21*(0.02)</f>
        <v>62813.74</v>
      </c>
      <c r="F22" s="108" t="n">
        <f aca="false">F21*(0.02)</f>
        <v>203.6</v>
      </c>
      <c r="G22" s="108" t="n">
        <f aca="false">G21*(0.02)</f>
        <v>62610.14</v>
      </c>
      <c r="H22" s="28" t="s">
        <v>21</v>
      </c>
      <c r="I22" s="28" t="s">
        <v>21</v>
      </c>
      <c r="J22" s="28" t="s">
        <v>21</v>
      </c>
      <c r="K22" s="28" t="s">
        <v>21</v>
      </c>
    </row>
    <row r="23" customFormat="false" ht="12.75" hidden="false" customHeight="false" outlineLevel="0" collapsed="false">
      <c r="A23" s="110"/>
      <c r="B23" s="111"/>
      <c r="C23" s="26" t="s">
        <v>22</v>
      </c>
      <c r="D23" s="20" t="n">
        <v>37347</v>
      </c>
      <c r="E23" s="108" t="n">
        <f aca="false">E21-E22</f>
        <v>3077873.26</v>
      </c>
      <c r="F23" s="108" t="n">
        <f aca="false">F21-F22</f>
        <v>9976.4</v>
      </c>
      <c r="G23" s="108" t="n">
        <f aca="false">G21-G22</f>
        <v>3067896.86</v>
      </c>
      <c r="H23" s="28" t="s">
        <v>21</v>
      </c>
      <c r="I23" s="28" t="s">
        <v>21</v>
      </c>
      <c r="J23" s="28" t="s">
        <v>21</v>
      </c>
      <c r="K23" s="112" t="n">
        <f aca="false">K21</f>
        <v>6697.32325940024</v>
      </c>
    </row>
    <row r="24" customFormat="false" ht="12.75" hidden="false" customHeight="false" outlineLevel="0" collapsed="false">
      <c r="A24" s="110"/>
      <c r="B24" s="111"/>
      <c r="C24" s="26" t="s">
        <v>22</v>
      </c>
      <c r="D24" s="30" t="s">
        <v>23</v>
      </c>
      <c r="E24" s="108" t="n">
        <f aca="false">E23+'0402'!E24</f>
        <v>20540709.84</v>
      </c>
      <c r="F24" s="108" t="n">
        <f aca="false">F23+'0402'!F24</f>
        <v>35363.3</v>
      </c>
      <c r="G24" s="108" t="n">
        <f aca="false">G23+'0402'!G24</f>
        <v>20505346.54</v>
      </c>
      <c r="H24" s="109" t="n">
        <f aca="false">AVERAGE(H21,'0402'!H21,'0302'!H21,'0202'!H21,'0102'!H21)</f>
        <v>0.389332603598524</v>
      </c>
      <c r="I24" s="109" t="n">
        <f aca="false">AVERAGE(I21,'0402'!I21,'0302'!I21,'0202'!I21,'0102'!I21)</f>
        <v>0.938573529936455</v>
      </c>
      <c r="J24" s="109" t="n">
        <f aca="false">AVERAGE(J21,'0402'!J21,'0302'!J21,'0202'!J21,'0102'!J21)</f>
        <v>0.933325511569078</v>
      </c>
      <c r="K24" s="108" t="n">
        <f aca="false">K23+'0302'!K24</f>
        <v>26770.2209464789</v>
      </c>
    </row>
    <row r="25" customFormat="false" ht="12.75" hidden="false" customHeight="false" outlineLevel="0" collapsed="false">
      <c r="A25" s="97"/>
      <c r="B25" s="97"/>
      <c r="C25" s="97"/>
      <c r="D25" s="32"/>
      <c r="E25" s="99"/>
      <c r="F25" s="99"/>
      <c r="G25" s="99"/>
      <c r="H25" s="99"/>
      <c r="I25" s="113"/>
      <c r="J25" s="113"/>
      <c r="K25" s="99"/>
    </row>
    <row r="26" customFormat="false" ht="12.75" hidden="false" customHeight="false" outlineLevel="0" collapsed="false">
      <c r="A26" s="97" t="s">
        <v>24</v>
      </c>
      <c r="B26" s="97"/>
      <c r="C26" s="97"/>
      <c r="D26" s="32"/>
      <c r="E26" s="99"/>
      <c r="F26" s="99"/>
      <c r="G26" s="99"/>
      <c r="H26" s="99"/>
      <c r="I26" s="113"/>
      <c r="J26" s="113"/>
      <c r="K26" s="97"/>
    </row>
    <row r="27" customFormat="false" ht="12.75" hidden="false" customHeight="false" outlineLevel="0" collapsed="false">
      <c r="A27" s="97" t="s">
        <v>91</v>
      </c>
      <c r="B27" s="97"/>
      <c r="C27" s="97"/>
      <c r="D27" s="32"/>
      <c r="E27" s="99"/>
      <c r="F27" s="99"/>
      <c r="G27" s="99"/>
      <c r="H27" s="99"/>
      <c r="I27" s="113"/>
      <c r="J27" s="113"/>
      <c r="K27" s="99"/>
    </row>
    <row r="28" customFormat="false" ht="12.75" hidden="false" customHeight="false" outlineLevel="0" collapsed="false">
      <c r="A28" s="97" t="s">
        <v>26</v>
      </c>
      <c r="B28" s="97"/>
      <c r="C28" s="97"/>
      <c r="D28" s="1"/>
      <c r="E28" s="97"/>
      <c r="F28" s="97"/>
      <c r="G28" s="99"/>
      <c r="H28" s="99"/>
      <c r="I28" s="113"/>
      <c r="J28" s="113"/>
      <c r="K28" s="99"/>
    </row>
    <row r="29" customFormat="false" ht="12.75" hidden="false" customHeight="false" outlineLevel="0" collapsed="false">
      <c r="A29" s="97" t="s">
        <v>139</v>
      </c>
      <c r="B29" s="97"/>
      <c r="C29" s="97"/>
      <c r="D29" s="1"/>
      <c r="E29" s="97"/>
      <c r="F29" s="97"/>
      <c r="G29" s="99"/>
      <c r="H29" s="99"/>
      <c r="I29" s="113"/>
      <c r="J29" s="113"/>
      <c r="K29" s="99"/>
    </row>
    <row r="30" customFormat="false" ht="12.75" hidden="false" customHeight="false" outlineLevel="0" collapsed="false">
      <c r="A30" s="97"/>
      <c r="B30" s="97"/>
      <c r="C30" s="97"/>
      <c r="D30" s="1"/>
      <c r="E30" s="97"/>
      <c r="F30" s="97"/>
      <c r="G30" s="99"/>
      <c r="H30" s="99"/>
      <c r="I30" s="113"/>
      <c r="J30" s="113"/>
      <c r="K30" s="99"/>
    </row>
    <row r="31" customFormat="false" ht="12.75" hidden="false" customHeight="false" outlineLevel="0" collapsed="false">
      <c r="A31" s="97"/>
      <c r="B31" s="97"/>
      <c r="C31" s="97"/>
      <c r="D31" s="1"/>
      <c r="E31" s="97"/>
      <c r="F31" s="97"/>
      <c r="G31" s="99"/>
      <c r="H31" s="99"/>
      <c r="I31" s="113"/>
      <c r="J31" s="113"/>
      <c r="K31" s="99"/>
    </row>
    <row r="32" customFormat="false" ht="12.75" hidden="false" customHeight="false" outlineLevel="0" collapsed="false">
      <c r="A32" s="97"/>
      <c r="B32" s="97"/>
      <c r="C32" s="97"/>
      <c r="D32" s="1"/>
      <c r="E32" s="97"/>
      <c r="F32" s="97"/>
      <c r="G32" s="99"/>
      <c r="H32" s="24" t="s">
        <v>102</v>
      </c>
      <c r="I32" s="41"/>
      <c r="J32" s="113"/>
      <c r="K32" s="99"/>
    </row>
    <row r="33" customFormat="false" ht="12.75" hidden="false" customHeight="false" outlineLevel="0" collapsed="false">
      <c r="A33" s="97"/>
      <c r="B33" s="97"/>
      <c r="C33" s="97"/>
      <c r="D33" s="1"/>
      <c r="E33" s="97"/>
      <c r="F33" s="97"/>
      <c r="G33" s="99"/>
      <c r="H33" s="19" t="n">
        <v>1</v>
      </c>
      <c r="I33" s="67" t="n">
        <f aca="false">MAX(0,27/6-1.5)</f>
        <v>3</v>
      </c>
      <c r="J33" s="113"/>
      <c r="K33" s="99"/>
    </row>
    <row r="34" customFormat="false" ht="12.75" hidden="false" customHeight="false" outlineLevel="0" collapsed="false">
      <c r="A34" s="97"/>
      <c r="B34" s="97"/>
      <c r="C34" s="97"/>
      <c r="D34" s="1"/>
      <c r="E34" s="97"/>
      <c r="F34" s="97"/>
      <c r="G34" s="99"/>
      <c r="H34" s="19" t="n">
        <v>2</v>
      </c>
      <c r="I34" s="67" t="n">
        <f aca="false">MAX(0,30/6-1.5)</f>
        <v>3.5</v>
      </c>
      <c r="J34" s="113"/>
      <c r="K34" s="99"/>
    </row>
    <row r="35" customFormat="false" ht="12.75" hidden="false" customHeight="false" outlineLevel="0" collapsed="false">
      <c r="A35" s="97"/>
      <c r="B35" s="97"/>
      <c r="C35" s="97"/>
      <c r="D35" s="1"/>
      <c r="E35" s="97"/>
      <c r="F35" s="97"/>
      <c r="G35" s="99"/>
      <c r="H35" s="19" t="n">
        <v>3</v>
      </c>
      <c r="I35" s="67" t="n">
        <f aca="false">MAX(0,25/6-1.5)</f>
        <v>2.66666666666667</v>
      </c>
      <c r="J35" s="113"/>
      <c r="K35" s="99"/>
    </row>
    <row r="36" customFormat="false" ht="12.75" hidden="false" customHeight="false" outlineLevel="0" collapsed="false">
      <c r="A36" s="97"/>
      <c r="B36" s="97"/>
      <c r="C36" s="97"/>
      <c r="D36" s="1"/>
      <c r="E36" s="97"/>
      <c r="F36" s="97"/>
      <c r="G36" s="99"/>
      <c r="H36" s="19" t="n">
        <v>4</v>
      </c>
      <c r="I36" s="67" t="n">
        <f aca="false">MAX(0,46/6-1.5)</f>
        <v>6.16666666666667</v>
      </c>
      <c r="J36" s="113"/>
      <c r="K36" s="99"/>
    </row>
    <row r="37" customFormat="false" ht="12.75" hidden="false" customHeight="false" outlineLevel="0" collapsed="false">
      <c r="A37" s="97"/>
      <c r="B37" s="97"/>
      <c r="C37" s="97"/>
      <c r="D37" s="1"/>
      <c r="E37" s="97"/>
      <c r="F37" s="97"/>
      <c r="G37" s="99"/>
      <c r="H37" s="19" t="n">
        <v>5</v>
      </c>
      <c r="I37" s="67" t="n">
        <f aca="false">MAX(0,26/6-1.5)</f>
        <v>2.83333333333333</v>
      </c>
      <c r="J37" s="113"/>
      <c r="K37" s="99"/>
    </row>
    <row r="38" customFormat="false" ht="12.75" hidden="false" customHeight="false" outlineLevel="0" collapsed="false">
      <c r="A38" s="97"/>
      <c r="B38" s="97"/>
      <c r="C38" s="97"/>
      <c r="D38" s="1"/>
      <c r="E38" s="97"/>
      <c r="F38" s="97"/>
      <c r="G38" s="99"/>
      <c r="H38" s="19" t="n">
        <v>6</v>
      </c>
      <c r="I38" s="67" t="n">
        <f aca="false">MAX(0,42/6-1.5)</f>
        <v>5.5</v>
      </c>
      <c r="J38" s="113"/>
      <c r="K38" s="99"/>
    </row>
    <row r="39" customFormat="false" ht="12.75" hidden="false" customHeight="false" outlineLevel="0" collapsed="false">
      <c r="A39" s="97"/>
      <c r="B39" s="97"/>
      <c r="C39" s="97"/>
      <c r="D39" s="1"/>
      <c r="E39" s="97"/>
      <c r="F39" s="97"/>
      <c r="G39" s="99"/>
      <c r="H39" s="64" t="n">
        <v>7</v>
      </c>
      <c r="I39" s="67" t="n">
        <f aca="false">MAX(0,52/6-1.5)</f>
        <v>7.16666666666667</v>
      </c>
      <c r="J39" s="113"/>
      <c r="K39" s="99"/>
    </row>
    <row r="40" customFormat="false" ht="12.75" hidden="false" customHeight="false" outlineLevel="0" collapsed="false">
      <c r="A40" s="97"/>
      <c r="B40" s="97"/>
      <c r="C40" s="97"/>
      <c r="D40" s="97"/>
      <c r="E40" s="97"/>
      <c r="F40" s="97"/>
      <c r="G40" s="97"/>
      <c r="H40" s="19" t="n">
        <v>8</v>
      </c>
      <c r="I40" s="67" t="n">
        <f aca="false">MAX(0,29/6-1.5)</f>
        <v>3.33333333333333</v>
      </c>
      <c r="J40" s="97"/>
      <c r="K40" s="97"/>
    </row>
    <row r="41" customFormat="false" ht="12.75" hidden="false" customHeight="false" outlineLevel="0" collapsed="false">
      <c r="A41" s="97"/>
      <c r="B41" s="97"/>
      <c r="C41" s="97"/>
      <c r="D41" s="97"/>
      <c r="E41" s="97"/>
      <c r="F41" s="97"/>
      <c r="G41" s="97"/>
      <c r="H41" s="19" t="n">
        <v>9</v>
      </c>
      <c r="I41" s="67" t="n">
        <f aca="false">MAX(0,31/6-1.5)</f>
        <v>3.66666666666667</v>
      </c>
      <c r="J41" s="97"/>
      <c r="K41" s="97"/>
    </row>
    <row r="42" customFormat="false" ht="12.75" hidden="false" customHeight="false" outlineLevel="0" collapsed="false">
      <c r="A42" s="97"/>
      <c r="B42" s="97"/>
      <c r="C42" s="97"/>
      <c r="D42" s="97"/>
      <c r="E42" s="97"/>
      <c r="F42" s="97"/>
      <c r="G42" s="97"/>
      <c r="H42" s="19" t="n">
        <v>10</v>
      </c>
      <c r="I42" s="67" t="n">
        <f aca="false">MAX(0,51/6-1.5)</f>
        <v>7</v>
      </c>
      <c r="J42" s="97"/>
      <c r="K42" s="97"/>
    </row>
    <row r="43" customFormat="false" ht="12.75" hidden="false" customHeight="false" outlineLevel="0" collapsed="false">
      <c r="A43" s="97"/>
      <c r="B43" s="97"/>
      <c r="C43" s="97"/>
      <c r="D43" s="97"/>
      <c r="E43" s="97"/>
      <c r="F43" s="97"/>
      <c r="G43" s="97"/>
      <c r="H43" s="97"/>
      <c r="I43" s="97"/>
      <c r="J43" s="97"/>
      <c r="K43" s="97"/>
    </row>
    <row r="44" customFormat="false" ht="12.75" hidden="false" customHeight="false" outlineLevel="0" collapsed="false">
      <c r="A44" s="97"/>
      <c r="B44" s="97"/>
      <c r="C44" s="97"/>
      <c r="D44" s="97"/>
      <c r="E44" s="97"/>
      <c r="F44" s="97"/>
      <c r="G44" s="97"/>
      <c r="H44" s="97"/>
      <c r="I44" s="97"/>
      <c r="J44" s="97"/>
      <c r="K44" s="97"/>
    </row>
    <row r="45" customFormat="false" ht="15.75" hidden="false" customHeight="false" outlineLevel="0" collapsed="false">
      <c r="A45" s="117" t="s">
        <v>103</v>
      </c>
      <c r="B45" s="114"/>
      <c r="C45" s="114"/>
      <c r="D45" s="114"/>
      <c r="E45" s="114"/>
      <c r="F45" s="114"/>
      <c r="G45" s="114"/>
      <c r="H45" s="114"/>
      <c r="I45" s="97"/>
      <c r="J45" s="97"/>
      <c r="K45" s="97"/>
    </row>
    <row r="46" customFormat="false" ht="15.75" hidden="false" customHeight="false" outlineLevel="0" collapsed="false">
      <c r="A46" s="117" t="s">
        <v>104</v>
      </c>
      <c r="B46" s="114"/>
      <c r="C46" s="114"/>
      <c r="D46" s="114"/>
      <c r="E46" s="114"/>
      <c r="F46" s="114"/>
      <c r="G46" s="114"/>
      <c r="H46" s="114"/>
      <c r="I46" s="97"/>
      <c r="J46" s="97"/>
      <c r="K46" s="97"/>
    </row>
    <row r="47" customFormat="false" ht="15.75" hidden="false" customHeight="false" outlineLevel="0" collapsed="false">
      <c r="A47" s="76"/>
      <c r="B47" s="76"/>
      <c r="C47" s="77"/>
      <c r="D47" s="76"/>
      <c r="E47" s="115"/>
      <c r="F47" s="115"/>
      <c r="G47" s="115"/>
      <c r="H47" s="115"/>
      <c r="I47" s="97"/>
      <c r="J47" s="97"/>
      <c r="K47" s="97"/>
    </row>
    <row r="48" customFormat="false" ht="13.5" hidden="false" customHeight="false" outlineLevel="0" collapsed="false">
      <c r="A48" s="79" t="s">
        <v>106</v>
      </c>
      <c r="B48" s="80" t="n">
        <v>37317</v>
      </c>
      <c r="C48" s="81"/>
      <c r="D48" s="82"/>
      <c r="E48" s="83" t="s">
        <v>107</v>
      </c>
      <c r="F48" s="83"/>
      <c r="G48" s="83"/>
      <c r="H48" s="83"/>
      <c r="I48" s="97"/>
      <c r="J48" s="97"/>
      <c r="K48" s="97"/>
    </row>
    <row r="49" customFormat="false" ht="12.75" hidden="false" customHeight="false" outlineLevel="0" collapsed="false">
      <c r="A49" s="84" t="s">
        <v>108</v>
      </c>
      <c r="B49" s="85" t="s">
        <v>109</v>
      </c>
      <c r="C49" s="86" t="s">
        <v>110</v>
      </c>
      <c r="D49" s="85" t="s">
        <v>111</v>
      </c>
      <c r="E49" s="86" t="s">
        <v>112</v>
      </c>
      <c r="F49" s="87" t="s">
        <v>113</v>
      </c>
      <c r="G49" s="84" t="s">
        <v>114</v>
      </c>
      <c r="H49" s="84" t="s">
        <v>115</v>
      </c>
      <c r="I49" s="97"/>
      <c r="J49" s="97"/>
      <c r="K49" s="97"/>
    </row>
    <row r="50" customFormat="false" ht="12.75" hidden="false" customHeight="false" outlineLevel="0" collapsed="false">
      <c r="A50" s="88"/>
      <c r="B50" s="89" t="n">
        <v>37332.7916666667</v>
      </c>
      <c r="C50" s="90" t="s">
        <v>133</v>
      </c>
      <c r="D50" s="89" t="n">
        <v>37333.4027777778</v>
      </c>
      <c r="E50" s="90" t="s">
        <v>134</v>
      </c>
      <c r="F50" s="91" t="n">
        <f aca="false">(D50-B50)*24</f>
        <v>14.6666666666667</v>
      </c>
      <c r="G50" s="88" t="s">
        <v>118</v>
      </c>
      <c r="H50" s="116" t="s">
        <v>135</v>
      </c>
      <c r="I50" s="97"/>
      <c r="J50" s="97"/>
      <c r="K50" s="97"/>
    </row>
    <row r="51" customFormat="false" ht="12.75" hidden="false" customHeight="false" outlineLevel="0" collapsed="false">
      <c r="A51" s="97"/>
      <c r="B51" s="97"/>
      <c r="C51" s="97"/>
      <c r="D51" s="97"/>
      <c r="E51" s="97"/>
      <c r="F51" s="97"/>
      <c r="G51" s="97"/>
      <c r="H51" s="97"/>
      <c r="I51" s="97"/>
      <c r="J51" s="97"/>
      <c r="K51" s="97"/>
    </row>
    <row r="52" customFormat="false" ht="12.75" hidden="false" customHeight="false" outlineLevel="0" collapsed="false">
      <c r="A52" s="97"/>
      <c r="B52" s="97"/>
      <c r="C52" s="97"/>
      <c r="D52" s="97"/>
      <c r="E52" s="97"/>
      <c r="F52" s="97"/>
      <c r="G52" s="97"/>
      <c r="H52" s="97"/>
      <c r="I52" s="97"/>
      <c r="J52" s="97"/>
      <c r="K52" s="97"/>
    </row>
    <row r="53" customFormat="false" ht="12.75" hidden="false" customHeight="false" outlineLevel="0" collapsed="false">
      <c r="A53" s="97"/>
      <c r="B53" s="97"/>
      <c r="C53" s="97"/>
      <c r="D53" s="97"/>
      <c r="E53" s="97"/>
      <c r="F53" s="97"/>
      <c r="G53" s="97"/>
      <c r="H53" s="97"/>
      <c r="I53" s="97"/>
      <c r="J53" s="97"/>
      <c r="K53" s="97"/>
    </row>
    <row r="54" customFormat="false" ht="12.75" hidden="false" customHeight="false" outlineLevel="0" collapsed="false">
      <c r="A54" s="97"/>
      <c r="B54" s="97"/>
      <c r="C54" s="97"/>
      <c r="D54" s="97"/>
      <c r="E54" s="97"/>
      <c r="F54" s="97"/>
      <c r="G54" s="97"/>
      <c r="H54" s="97"/>
      <c r="I54" s="97"/>
      <c r="J54" s="97"/>
      <c r="K54" s="97"/>
    </row>
    <row r="55" customFormat="false" ht="12.75" hidden="false" customHeight="false" outlineLevel="0" collapsed="false">
      <c r="A55" s="97"/>
      <c r="B55" s="97"/>
      <c r="C55" s="97"/>
      <c r="D55" s="97"/>
      <c r="E55" s="97"/>
      <c r="F55" s="97"/>
      <c r="G55" s="97"/>
      <c r="H55" s="97"/>
      <c r="I55" s="97"/>
      <c r="J55" s="97"/>
      <c r="K55" s="97"/>
    </row>
    <row r="56" customFormat="false" ht="12.75" hidden="false" customHeight="false" outlineLevel="0" collapsed="false">
      <c r="A56" s="97"/>
      <c r="B56" s="97"/>
      <c r="C56" s="97"/>
      <c r="D56" s="97"/>
      <c r="E56" s="97"/>
      <c r="F56" s="97"/>
      <c r="G56" s="97"/>
      <c r="H56" s="97"/>
      <c r="I56" s="97"/>
      <c r="J56" s="97"/>
      <c r="K56" s="97"/>
    </row>
    <row r="57" customFormat="false" ht="12.75" hidden="false" customHeight="false" outlineLevel="0" collapsed="false">
      <c r="A57" s="97"/>
      <c r="B57" s="97"/>
      <c r="C57" s="97"/>
      <c r="D57" s="97"/>
      <c r="E57" s="97"/>
      <c r="F57" s="97"/>
      <c r="G57" s="97"/>
      <c r="H57" s="97"/>
      <c r="I57" s="97"/>
      <c r="J57" s="97"/>
      <c r="K57" s="97"/>
    </row>
    <row r="58" customFormat="false" ht="12.75" hidden="false" customHeight="false" outlineLevel="0" collapsed="false">
      <c r="A58" s="97"/>
      <c r="B58" s="97"/>
      <c r="C58" s="97"/>
      <c r="D58" s="97"/>
      <c r="E58" s="97"/>
      <c r="F58" s="97"/>
      <c r="G58" s="97"/>
      <c r="H58" s="97"/>
      <c r="I58" s="97"/>
      <c r="J58" s="97"/>
      <c r="K58" s="97"/>
    </row>
    <row r="59" customFormat="false" ht="12.75" hidden="false" customHeight="false" outlineLevel="0" collapsed="false">
      <c r="A59" s="97"/>
      <c r="B59" s="97"/>
      <c r="C59" s="97"/>
      <c r="D59" s="97"/>
      <c r="E59" s="97"/>
      <c r="F59" s="97"/>
      <c r="G59" s="97"/>
      <c r="H59" s="97"/>
      <c r="I59" s="97"/>
      <c r="J59" s="97"/>
      <c r="K59" s="97"/>
    </row>
    <row r="60" customFormat="false" ht="12.75" hidden="false" customHeight="false" outlineLevel="0" collapsed="false">
      <c r="A60" s="97"/>
      <c r="B60" s="97"/>
      <c r="C60" s="97"/>
      <c r="D60" s="97"/>
      <c r="E60" s="97"/>
      <c r="F60" s="97"/>
      <c r="G60" s="97"/>
      <c r="H60" s="97"/>
      <c r="I60" s="97"/>
      <c r="J60" s="97"/>
      <c r="K60" s="97"/>
    </row>
    <row r="61" customFormat="false" ht="12.75" hidden="false" customHeight="false" outlineLevel="0" collapsed="false">
      <c r="A61" s="97"/>
      <c r="B61" s="97"/>
      <c r="C61" s="97"/>
      <c r="D61" s="97"/>
      <c r="E61" s="97"/>
      <c r="F61" s="97"/>
      <c r="G61" s="97"/>
      <c r="H61" s="97"/>
      <c r="I61" s="97"/>
      <c r="J61" s="97"/>
      <c r="K61" s="97"/>
    </row>
    <row r="62" customFormat="false" ht="12.75" hidden="false" customHeight="false" outlineLevel="0" collapsed="false">
      <c r="A62" s="97"/>
      <c r="B62" s="97"/>
      <c r="C62" s="97"/>
      <c r="D62" s="97"/>
      <c r="E62" s="97"/>
      <c r="F62" s="97"/>
      <c r="G62" s="97"/>
      <c r="H62" s="97"/>
      <c r="I62" s="97"/>
      <c r="J62" s="97"/>
      <c r="K62" s="97"/>
    </row>
    <row r="63" customFormat="false" ht="12.75" hidden="false" customHeight="false" outlineLevel="0" collapsed="false">
      <c r="A63" s="97"/>
      <c r="B63" s="97"/>
      <c r="C63" s="97"/>
      <c r="D63" s="97"/>
      <c r="E63" s="97"/>
      <c r="F63" s="97"/>
      <c r="G63" s="97"/>
      <c r="H63" s="97"/>
      <c r="I63" s="97"/>
      <c r="J63" s="97"/>
      <c r="K63" s="97"/>
    </row>
    <row r="64" customFormat="false" ht="12.75" hidden="false" customHeight="false" outlineLevel="0" collapsed="false">
      <c r="A64" s="97"/>
      <c r="B64" s="97"/>
      <c r="C64" s="97"/>
      <c r="D64" s="97"/>
      <c r="E64" s="97"/>
      <c r="F64" s="97"/>
      <c r="G64" s="97"/>
      <c r="H64" s="97"/>
      <c r="I64" s="97"/>
      <c r="J64" s="97"/>
      <c r="K64" s="97"/>
    </row>
    <row r="65" customFormat="false" ht="12.75" hidden="false" customHeight="false" outlineLevel="0" collapsed="false">
      <c r="A65" s="97"/>
      <c r="B65" s="97"/>
      <c r="C65" s="97"/>
      <c r="D65" s="97"/>
      <c r="E65" s="97"/>
      <c r="F65" s="97"/>
      <c r="G65" s="97"/>
      <c r="H65" s="97"/>
      <c r="I65" s="97"/>
      <c r="J65" s="97"/>
      <c r="K65" s="97"/>
    </row>
    <row r="66" customFormat="false" ht="12.75" hidden="false" customHeight="false" outlineLevel="0" collapsed="false">
      <c r="A66" s="97"/>
      <c r="B66" s="97"/>
      <c r="C66" s="97"/>
      <c r="D66" s="97"/>
      <c r="E66" s="97"/>
      <c r="F66" s="97"/>
      <c r="G66" s="97"/>
      <c r="H66" s="97"/>
      <c r="I66" s="97"/>
      <c r="J66" s="97"/>
      <c r="K66" s="9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0" activeCellId="0" sqref="A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4.85"/>
    <col collapsed="false" customWidth="true" hidden="true" outlineLevel="0" max="2" min="2" style="47" width="12.7"/>
    <col collapsed="false" customWidth="true" hidden="false" outlineLevel="0" max="6" min="3" style="47" width="12.7"/>
    <col collapsed="false" customWidth="true" hidden="false" outlineLevel="0" max="8" min="7" style="47" width="12.56"/>
    <col collapsed="false" customWidth="true" hidden="false" outlineLevel="0" max="9" min="9" style="0" width="12.56"/>
  </cols>
  <sheetData>
    <row r="1" customFormat="false" ht="30" hidden="false" customHeight="false" outlineLevel="0" collapsed="false">
      <c r="A1" s="118" t="s">
        <v>144</v>
      </c>
      <c r="B1" s="119"/>
      <c r="C1" s="119"/>
      <c r="D1" s="119"/>
    </row>
    <row r="3" customFormat="false" ht="15.75" hidden="false" customHeight="false" outlineLevel="0" collapsed="false">
      <c r="A3" s="120" t="s">
        <v>19</v>
      </c>
      <c r="B3" s="121" t="n">
        <v>37165</v>
      </c>
      <c r="C3" s="121" t="n">
        <v>37196</v>
      </c>
      <c r="D3" s="121" t="n">
        <v>37226</v>
      </c>
      <c r="E3" s="121" t="n">
        <v>37257</v>
      </c>
      <c r="F3" s="121" t="n">
        <v>37288</v>
      </c>
      <c r="G3" s="121" t="n">
        <v>37316</v>
      </c>
      <c r="H3" s="121" t="n">
        <v>37347</v>
      </c>
      <c r="I3" s="121" t="n">
        <v>37377</v>
      </c>
    </row>
    <row r="4" customFormat="false" ht="15.75" hidden="false" customHeight="false" outlineLevel="0" collapsed="false">
      <c r="A4" s="122" t="s">
        <v>145</v>
      </c>
      <c r="B4" s="13"/>
      <c r="C4" s="13"/>
      <c r="D4" s="13"/>
      <c r="E4" s="123"/>
      <c r="F4" s="123"/>
      <c r="G4" s="123"/>
      <c r="H4" s="123"/>
      <c r="I4" s="124"/>
    </row>
    <row r="5" customFormat="false" ht="15" hidden="false" customHeight="false" outlineLevel="0" collapsed="false">
      <c r="A5" s="125" t="s">
        <v>146</v>
      </c>
      <c r="B5" s="126" t="n">
        <f aca="false">'1001'!E21</f>
        <v>1363663</v>
      </c>
      <c r="C5" s="126" t="n">
        <f aca="false">'1101'!E21</f>
        <v>2861181</v>
      </c>
      <c r="D5" s="126" t="n">
        <f aca="false">'1201'!E21</f>
        <v>3554529</v>
      </c>
      <c r="E5" s="126" t="n">
        <f aca="false">'0102'!E21</f>
        <v>5086855</v>
      </c>
      <c r="F5" s="126" t="n">
        <f aca="false">'0202'!E21</f>
        <v>4399277</v>
      </c>
      <c r="G5" s="126" t="n">
        <f aca="false">'0302'!E21</f>
        <v>4730439</v>
      </c>
      <c r="H5" s="126" t="n">
        <f aca="false">'0402'!E21</f>
        <v>3602650</v>
      </c>
      <c r="I5" s="126" t="n">
        <f aca="false">'0502'!E21</f>
        <v>3140687</v>
      </c>
    </row>
    <row r="6" customFormat="false" ht="15" hidden="false" customHeight="false" outlineLevel="0" collapsed="false">
      <c r="A6" s="125" t="s">
        <v>147</v>
      </c>
      <c r="B6" s="126" t="n">
        <f aca="false">'1001'!E22</f>
        <v>27273.26</v>
      </c>
      <c r="C6" s="126" t="n">
        <f aca="false">'1101'!E22</f>
        <v>57223.62</v>
      </c>
      <c r="D6" s="126" t="n">
        <f aca="false">'1201'!E22</f>
        <v>71090.58</v>
      </c>
      <c r="E6" s="126" t="n">
        <f aca="false">'0102'!E22</f>
        <v>101737.1</v>
      </c>
      <c r="F6" s="126" t="n">
        <f aca="false">'0202'!E22</f>
        <v>87985.54</v>
      </c>
      <c r="G6" s="126" t="n">
        <f aca="false">'0302'!E22</f>
        <v>94608.78</v>
      </c>
      <c r="H6" s="126" t="n">
        <f aca="false">'0402'!E22</f>
        <v>72053</v>
      </c>
      <c r="I6" s="126" t="n">
        <f aca="false">'0502'!E22</f>
        <v>62813.74</v>
      </c>
    </row>
    <row r="7" customFormat="false" ht="15" hidden="false" customHeight="false" outlineLevel="0" collapsed="false">
      <c r="A7" s="125" t="s">
        <v>148</v>
      </c>
      <c r="B7" s="126" t="n">
        <f aca="false">'1001'!E23</f>
        <v>1336389.74</v>
      </c>
      <c r="C7" s="126" t="n">
        <f aca="false">'1101'!E23</f>
        <v>2803957.38</v>
      </c>
      <c r="D7" s="126" t="n">
        <f aca="false">'1201'!E23</f>
        <v>3483438.42</v>
      </c>
      <c r="E7" s="126" t="n">
        <f aca="false">'0102'!E23</f>
        <v>4985117.9</v>
      </c>
      <c r="F7" s="126" t="n">
        <f aca="false">'0202'!E23</f>
        <v>4311291.46</v>
      </c>
      <c r="G7" s="126" t="n">
        <f aca="false">'0302'!E23</f>
        <v>4635830.22</v>
      </c>
      <c r="H7" s="126" t="n">
        <f aca="false">'0402'!E23</f>
        <v>3530597</v>
      </c>
      <c r="I7" s="126" t="n">
        <f aca="false">'0502'!E23</f>
        <v>3077873.26</v>
      </c>
    </row>
    <row r="8" customFormat="false" ht="15" hidden="false" customHeight="false" outlineLevel="0" collapsed="false">
      <c r="A8" s="125" t="s">
        <v>149</v>
      </c>
      <c r="B8" s="126" t="n">
        <f aca="false">B7/1000</f>
        <v>1336.38974</v>
      </c>
      <c r="C8" s="126" t="n">
        <f aca="false">C7/1000</f>
        <v>2803.95738</v>
      </c>
      <c r="D8" s="126" t="n">
        <f aca="false">D7/1000</f>
        <v>3483.43842</v>
      </c>
      <c r="E8" s="126" t="n">
        <f aca="false">E7/1000</f>
        <v>4985.1179</v>
      </c>
      <c r="F8" s="126" t="n">
        <f aca="false">F7/1000</f>
        <v>4311.29146</v>
      </c>
      <c r="G8" s="126" t="n">
        <f aca="false">G7/1000</f>
        <v>4635.83022</v>
      </c>
      <c r="H8" s="126" t="n">
        <f aca="false">H7/1000</f>
        <v>3530.597</v>
      </c>
      <c r="I8" s="126" t="n">
        <f aca="false">I7/1000</f>
        <v>3077.87326</v>
      </c>
    </row>
    <row r="9" customFormat="false" ht="18" hidden="false" customHeight="false" outlineLevel="0" collapsed="false">
      <c r="A9" s="125" t="s">
        <v>150</v>
      </c>
      <c r="B9" s="127" t="s">
        <v>151</v>
      </c>
      <c r="C9" s="127" t="s">
        <v>151</v>
      </c>
      <c r="D9" s="127" t="s">
        <v>151</v>
      </c>
      <c r="E9" s="127" t="s">
        <v>151</v>
      </c>
      <c r="F9" s="127" t="s">
        <v>151</v>
      </c>
      <c r="G9" s="127" t="s">
        <v>151</v>
      </c>
      <c r="H9" s="127" t="s">
        <v>151</v>
      </c>
      <c r="I9" s="127" t="s">
        <v>151</v>
      </c>
    </row>
    <row r="10" customFormat="false" ht="30" hidden="false" customHeight="false" outlineLevel="0" collapsed="false">
      <c r="A10" s="128" t="s">
        <v>152</v>
      </c>
      <c r="B10" s="129" t="s">
        <v>151</v>
      </c>
      <c r="C10" s="129" t="s">
        <v>151</v>
      </c>
      <c r="D10" s="129" t="s">
        <v>151</v>
      </c>
      <c r="E10" s="129" t="s">
        <v>151</v>
      </c>
      <c r="F10" s="129" t="s">
        <v>151</v>
      </c>
      <c r="G10" s="129" t="s">
        <v>151</v>
      </c>
      <c r="H10" s="129" t="s">
        <v>151</v>
      </c>
      <c r="I10" s="129" t="s">
        <v>151</v>
      </c>
    </row>
    <row r="11" customFormat="false" ht="15" hidden="false" customHeight="false" outlineLevel="0" collapsed="false">
      <c r="A11" s="125" t="s">
        <v>153</v>
      </c>
      <c r="B11" s="126" t="n">
        <f aca="false">'1001'!E24</f>
        <v>1336389.74</v>
      </c>
      <c r="C11" s="126" t="n">
        <f aca="false">'1101'!E24</f>
        <v>4140347.12</v>
      </c>
      <c r="D11" s="126" t="n">
        <f aca="false">'1201'!E24</f>
        <v>7623785.54</v>
      </c>
      <c r="E11" s="126" t="n">
        <f aca="false">'0102'!E23</f>
        <v>4985117.9</v>
      </c>
      <c r="F11" s="126" t="n">
        <f aca="false">'0202'!E24</f>
        <v>9296409.36</v>
      </c>
      <c r="G11" s="126" t="n">
        <f aca="false">'0302'!E24</f>
        <v>13932239.58</v>
      </c>
      <c r="H11" s="126" t="n">
        <f aca="false">'0402'!E24</f>
        <v>17462836.58</v>
      </c>
      <c r="I11" s="126" t="n">
        <f aca="false">'0502'!E24</f>
        <v>20540709.84</v>
      </c>
    </row>
    <row r="12" customFormat="false" ht="15" hidden="false" customHeight="false" outlineLevel="0" collapsed="false">
      <c r="A12" s="125" t="s">
        <v>154</v>
      </c>
      <c r="B12" s="126" t="n">
        <f aca="false">B11/1000</f>
        <v>1336.38974</v>
      </c>
      <c r="C12" s="126" t="n">
        <f aca="false">C11/1000</f>
        <v>4140.34712</v>
      </c>
      <c r="D12" s="126" t="n">
        <f aca="false">D11/1000</f>
        <v>7623.78554</v>
      </c>
      <c r="E12" s="126" t="n">
        <f aca="false">E11/1000</f>
        <v>4985.1179</v>
      </c>
      <c r="F12" s="126" t="n">
        <f aca="false">F11/1000</f>
        <v>9296.40936</v>
      </c>
      <c r="G12" s="126" t="n">
        <f aca="false">G11/1000</f>
        <v>13932.23958</v>
      </c>
      <c r="H12" s="126" t="n">
        <f aca="false">H11/1000</f>
        <v>17462.83658</v>
      </c>
      <c r="I12" s="126" t="n">
        <f aca="false">I11/1000</f>
        <v>20540.70984</v>
      </c>
    </row>
    <row r="13" customFormat="false" ht="15" hidden="false" customHeight="false" outlineLevel="0" collapsed="false">
      <c r="A13" s="130"/>
      <c r="B13" s="123"/>
      <c r="C13" s="123"/>
      <c r="D13" s="123"/>
      <c r="E13" s="131"/>
      <c r="F13" s="131"/>
      <c r="G13" s="131"/>
      <c r="H13" s="131"/>
      <c r="I13" s="19"/>
    </row>
    <row r="14" customFormat="false" ht="15.75" hidden="false" customHeight="false" outlineLevel="0" collapsed="false">
      <c r="A14" s="122" t="s">
        <v>155</v>
      </c>
      <c r="B14" s="13"/>
      <c r="C14" s="13"/>
      <c r="D14" s="13"/>
      <c r="E14" s="131"/>
      <c r="F14" s="131"/>
      <c r="G14" s="131"/>
      <c r="H14" s="131"/>
      <c r="I14" s="19"/>
    </row>
    <row r="15" customFormat="false" ht="12.75" hidden="false" customHeight="false" outlineLevel="0" collapsed="false">
      <c r="A15" s="19" t="s">
        <v>156</v>
      </c>
      <c r="B15" s="132" t="n">
        <f aca="false">'1001'!I23</f>
        <v>0.90105</v>
      </c>
      <c r="C15" s="132" t="n">
        <f aca="false">'1101'!I23</f>
        <v>0.8732</v>
      </c>
      <c r="D15" s="132" t="n">
        <f aca="false">'1201'!I23</f>
        <v>0.8589</v>
      </c>
      <c r="E15" s="132" t="n">
        <f aca="false">'0102'!I23</f>
        <v>0.917748683153416</v>
      </c>
      <c r="F15" s="132" t="n">
        <f aca="false">'0202'!I21</f>
        <v>0.956331241106606</v>
      </c>
      <c r="G15" s="132" t="n">
        <f aca="false">'0302'!I21</f>
        <v>0.932905631610994</v>
      </c>
      <c r="H15" s="132" t="n">
        <f aca="false">'0402'!I21</f>
        <v>0.955698307783451</v>
      </c>
      <c r="I15" s="132" t="n">
        <f aca="false">'0502'!I21</f>
        <v>0.93018378602781</v>
      </c>
    </row>
    <row r="16" customFormat="false" ht="12.75" hidden="false" customHeight="false" outlineLevel="0" collapsed="false">
      <c r="A16" s="19" t="s">
        <v>157</v>
      </c>
      <c r="B16" s="132" t="n">
        <f aca="false">'1001'!I24</f>
        <v>0.90105</v>
      </c>
      <c r="C16" s="132" t="n">
        <f aca="false">'1101'!I24</f>
        <v>0.887125</v>
      </c>
      <c r="D16" s="132" t="n">
        <f aca="false">'1201'!I24</f>
        <v>0.877716666666667</v>
      </c>
      <c r="E16" s="132" t="n">
        <f aca="false">'0102'!I23</f>
        <v>0.917748683153416</v>
      </c>
      <c r="F16" s="132" t="n">
        <f aca="false">'0202'!I24</f>
        <v>0.937039962130011</v>
      </c>
      <c r="G16" s="132" t="n">
        <f aca="false">'0302'!I24</f>
        <v>0.935661851957005</v>
      </c>
      <c r="H16" s="132" t="n">
        <f aca="false">'0402'!I24</f>
        <v>0.940670965913617</v>
      </c>
      <c r="I16" s="132" t="n">
        <f aca="false">'0502'!I24</f>
        <v>0.938573529936455</v>
      </c>
    </row>
    <row r="17" customFormat="false" ht="14.25" hidden="true" customHeight="false" outlineLevel="0" collapsed="false">
      <c r="A17" s="19" t="s">
        <v>158</v>
      </c>
      <c r="B17" s="131"/>
      <c r="C17" s="131"/>
      <c r="D17" s="131"/>
      <c r="E17" s="133"/>
      <c r="F17" s="133"/>
      <c r="G17" s="133"/>
      <c r="H17" s="133"/>
    </row>
    <row r="19" customFormat="false" ht="12.75" hidden="false" customHeight="false" outlineLevel="0" collapsed="false">
      <c r="A19" s="0" t="s">
        <v>159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2001-11-05T21:23:34Z</dcterms:created>
  <dc:creator>Leland Meth</dc:creator>
  <dc:description/>
  <dc:language>en-US</dc:language>
  <cp:lastModifiedBy>Mark Walker</cp:lastModifiedBy>
  <cp:lastPrinted>2002-04-15T17:43:32Z</cp:lastPrinted>
  <dcterms:modified xsi:type="dcterms:W3CDTF">2002-07-10T15:30:56Z</dcterms:modified>
  <cp:revision>0</cp:revision>
  <dc:subject/>
  <dc:title/>
</cp:coreProperties>
</file>