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 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7" name="_xlnm.Print_Area" vbProcedure="false">'Alloc Exp'!$B$2:$P$31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Expenses!$B$2:$K$36</definedName>
    <definedName function="false" hidden="false" localSheetId="3" name="_xlnm.Print_Area" vbProcedure="false">'GM-WeeklyChnge'!$A$1:$K$43</definedName>
    <definedName function="false" hidden="false" localSheetId="4" name="_xlnm.Print_Area" vbProcedure="false">GrossMargin!$B$2:$N$39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Summary'!$A$1:$V$41</definedName>
    <definedName function="false" hidden="false" localSheetId="1" name="_xlnm.Print_Area" vbProcedure="false">'QTD Mgmt Summary'!$A$1:$Q$40</definedName>
    <definedName function="false" hidden="false" name="CriteriaAll" vbProcedure="false">'[1]Mgmt Summary'!$A$11:$A$13</definedName>
    <definedName function="false" hidden="false" name="CriteriaForUK" vbProcedure="false">'[1]Mgmt Summary'!$A$16:$A$17</definedName>
    <definedName function="false" hidden="false" name="DealMakerTable" vbProcedure="false">'[1]Mgmt Summary'!$B$2:$C$105</definedName>
    <definedName function="false" hidden="false" name="Excel_BuiltIn_Criteria" vbProcedure="false">'[1]Mgmt Summary'!$A$5:$A$6</definedName>
    <definedName function="false" hidden="false" name="HedgeNames" vbProcedure="false">'[1]Mgmt Summary'!$E$92:$E$129</definedName>
    <definedName function="false" hidden="false" name="HedgeUsedMarketValue" vbProcedure="false">'[1]Mgmt Summary'!$G$92:$G$129</definedName>
    <definedName function="false" hidden="false" name="Hedge_Beta" vbProcedure="false">'[1]Mgmt Summary'!$AS$388:$AT$740</definedName>
    <definedName function="false" hidden="false" name="Hedge_Daily_P_L" vbProcedure="false">'[1]Mgmt Summary'!$I$92:$I$129</definedName>
    <definedName function="false" hidden="false" name="Hedge_QTD_P_L" vbProcedure="false">'[1]Mgmt Summary'!$J$92:$J$129</definedName>
    <definedName function="false" hidden="false" name="IndexLivePercentChange" vbProcedure="false">'[1]Mgmt Summary'!$S$60:$S$87</definedName>
    <definedName function="false" hidden="false" name="IndexSummaryTable" vbProcedure="false">'[1]Mgmt Summary'!$A$1:$I$26</definedName>
    <definedName function="false" hidden="false" name="IndexTags" vbProcedure="false">'[1]Mgmt Summary'!$F$60:$F$87</definedName>
    <definedName function="false" hidden="false" name="IndexValues" vbProcedure="false">'[1]Mgmt Summary'!$E$58:$S$87</definedName>
    <definedName function="false" hidden="false" name="NAMEECM_Non_SLP_Total" vbProcedure="false">'[1]Mgmt Summary'!$H$4:$H$18</definedName>
    <definedName function="false" hidden="false" name="NAMEECM_SLP_Total" vbProcedure="false">'[1]Mgmt Summary'!$G$4:$G$18</definedName>
    <definedName function="false" hidden="false" name="NAMEEnron_Asia_Pacific_Total" vbProcedure="false">'[1]Mgmt Summary'!$K$4:$K$18</definedName>
    <definedName function="false" hidden="false" name="NAMEEnron_Broadband_Svcs__Total" vbProcedure="false">'[1]Mgmt Summary'!$O$4:$O$18</definedName>
    <definedName function="false" hidden="false" name="NAMEEnron_CALME_Total" vbProcedure="false">'[1]Mgmt Summary'!$J$4:$J$18</definedName>
    <definedName function="false" hidden="false" name="NAMEEnron_Corp__Total" vbProcedure="false">'[1]Mgmt Summary'!$I$4:$I$18</definedName>
    <definedName function="false" hidden="false" name="NAMEEnron_Europe_Total" vbProcedure="false">'[1]Mgmt Summary'!$N$4:$N$18</definedName>
    <definedName function="false" hidden="false" name="NAMEEnron_NA_Accrual_Income" vbProcedure="false">'[1]Mgmt Summary'!$F$4:$F$18</definedName>
    <definedName function="false" hidden="false" name="NAMEEnron_NA_Funding_Cost" vbProcedure="false">'[1]Mgmt Summary'!$E$4:$E$18</definedName>
    <definedName function="false" hidden="false" name="NAMEEnron_NA_Int_l_Total" vbProcedure="false">'[1]Mgmt Summary'!$M$4:$M$18</definedName>
    <definedName function="false" hidden="false" name="NAMEEnron_NA_Total" vbProcedure="false">'[1]Mgmt Summary'!$C$4:$C$18</definedName>
    <definedName function="false" hidden="false" name="NAMEEnron_Networks_Total" vbProcedure="false">'[1]Mgmt Summary'!$P$4:$P$18</definedName>
    <definedName function="false" hidden="false" name="NAMEEnron_South_America_Total" vbProcedure="false">'[1]Mgmt Summary'!$L$4:$L$18</definedName>
    <definedName function="false" hidden="false" name="NAMEGrand_Total" vbProcedure="false">'[1]Mgmt Summary'!$Q$4:$Q$18</definedName>
    <definedName function="false" hidden="false" name="NAMEPortfolio_Insurance" vbProcedure="false">'[1]Mgmt Summary'!$D$4:$D$18</definedName>
    <definedName function="false" hidden="false" name="nr_Mgmt_Summary" vbProcedure="false">'QTD Mgmt Summary'!$A$1:$M$40</definedName>
    <definedName function="false" hidden="false" name="PL_Date" vbProcedure="false">'[1]Mgmt Summary'!$V$53</definedName>
    <definedName function="false" hidden="false" name="Position" vbProcedure="false">'[1]Mgmt Summary'!$A$1:$AE$346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Summary'!$F$18:$N$55</definedName>
    <definedName function="false" hidden="false" name="SummaryPivotPoint" vbProcedure="false">'[1]Mgmt Summary'!$A$452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Summary'!$B$1:$BE$346</definedName>
    <definedName function="false" hidden="false" name="Z_83874C97_8BB7_11D2_9732_00104B678AA7__wvu_PrintTitles" vbProcedure="false">'[1]Mgmt Summary'!$A$51:$XFD$53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39</xdr:colOff>
                <xdr:row>40</xdr:row>
                <xdr:rowOff>6</xdr:rowOff>
              </xdr:from>
              <xdr:to>
                <xdr:col>9</xdr:col>
                <xdr:colOff>57</xdr:colOff>
                <xdr:row>47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<sst xmlns="http://schemas.openxmlformats.org/spreadsheetml/2006/main" count="433" uniqueCount="125">
  <si>
    <t xml:space="preserve">ENRON GLOBAL MARKETS</t>
  </si>
  <si>
    <t xml:space="preserve">2001 EARNINGS ESTIMATE</t>
  </si>
  <si>
    <t xml:space="preserve">4th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</si>
  <si>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</si>
  <si>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</si>
  <si>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</si>
  <si>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</si>
  <si>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</si>
  <si>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</si>
  <si>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</si>
  <si>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</si>
  <si>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</si>
  <si>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</si>
  <si>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</si>
  <si>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</si>
  <si>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</si>
  <si>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</si>
  <si>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</si>
  <si>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</si>
  <si>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</si>
  <si>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</si>
  <si>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</si>
  <si>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 / Emissions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</si>
  <si>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</si>
  <si>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</si>
  <si>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</si>
  <si>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</si>
  <si>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</si>
  <si>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</t>
  </si>
  <si>
    <t xml:space="preserve">LNG</t>
  </si>
  <si>
    <t xml:space="preserve">Middle East (1Q01 only)</t>
  </si>
  <si>
    <t xml:space="preserve">Puerto Rico</t>
  </si>
  <si>
    <t xml:space="preserve">Japan</t>
  </si>
  <si>
    <t xml:space="preserve">Drift</t>
  </si>
  <si>
    <t xml:space="preserve">Finance and Structuring</t>
  </si>
  <si>
    <t xml:space="preserve">Office of the Chairman</t>
  </si>
  <si>
    <t xml:space="preserve">Overview</t>
  </si>
  <si>
    <t xml:space="preserve">Total Commercial</t>
  </si>
  <si>
    <t xml:space="preserve">Group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</si>
  <si>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</si>
  <si>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</si>
  <si>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</si>
  <si>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</si>
  <si>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</si>
  <si>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</si>
  <si>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</si>
  <si>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</si>
  <si>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</si>
  <si>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direct and allocated expenses</t>
  </si>
  <si>
    <t xml:space="preserve">Enron Global Markets</t>
  </si>
  <si>
    <t xml:space="preserve">PRIVATE &amp; CONFIDENTIAL</t>
  </si>
  <si>
    <t xml:space="preserve">4th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</si>
  <si>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</si>
  <si>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</si>
  <si>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</si>
  <si>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</si>
  <si>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</si>
  <si>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Credit Reserve</t>
  </si>
  <si>
    <t xml:space="preserve">Subtotal Commercial</t>
  </si>
  <si>
    <t xml:space="preserve">Financing Related</t>
  </si>
  <si>
    <t xml:space="preserve">4th QUARTER 2001 EARNINGS ESTIMATE</t>
  </si>
  <si>
    <t xml:space="preserve">Results based on activity through October 19, 2001</t>
  </si>
  <si>
    <t xml:space="preserve">4th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</si>
  <si>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</si>
  <si>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</si>
  <si>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</si>
  <si>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</si>
  <si>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</si>
  <si>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</si>
  <si>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</si>
  <si>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</si>
  <si>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</si>
  <si>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</si>
  <si>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</si>
  <si>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</si>
  <si>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Freight Markets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</si>
  <si>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</si>
  <si>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</si>
  <si>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</si>
  <si>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</si>
  <si>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</si>
  <si>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</si>
  <si>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</si>
  <si>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</si>
  <si>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</si>
  <si>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</si>
  <si>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</si>
  <si>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</si>
  <si>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</si>
  <si>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</si>
  <si>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</si>
  <si>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</si>
  <si>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</si>
  <si>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2001 EXPENSES</t>
  </si>
  <si>
    <t xml:space="preserve">Direct Expenses</t>
  </si>
  <si>
    <t xml:space="preserve">Variance Explanation</t>
  </si>
  <si>
    <t xml:space="preserve">McKinsey studies</t>
  </si>
  <si>
    <t xml:space="preserve">Bahamas</t>
  </si>
  <si>
    <t xml:space="preserve">Group</t>
  </si>
  <si>
    <t xml:space="preserve">Operating Expenses</t>
  </si>
  <si>
    <t xml:space="preserve">4th QUARTER 2001 EXPENSES - WEEKLY CHANGE</t>
  </si>
  <si>
    <t xml:space="preserve">Coal</t>
  </si>
  <si>
    <t xml:space="preserve">Middle East</t>
  </si>
  <si>
    <t xml:space="preserve">CAP_CHRG</t>
  </si>
  <si>
    <t xml:space="preserve">TOT_ALLOCATION</t>
  </si>
  <si>
    <t xml:space="preserve">4th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</si>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</sst>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.000_);_(* \(#,##0.000\);_(* \-??_);_(@_)"/>
    <numFmt numFmtId="178" formatCode="_(* #,##0_);_(* \(#,##0\);_(* \-??_);_(@_)"/>
    <numFmt numFmtId="179" formatCode="_(\$* #,##0.00_);_(\$* \(#,##0.00\);_(\$* \-??_);_(@_)"/>
    <numFmt numFmtId="180" formatCode="_(\$* #,##0_);_(\$* \(#,##0\);_(\$* \-??_);_(@_)"/>
    <numFmt numFmtId="181" formatCode="[$-409]mmm\-yy"/>
    <numFmt numFmtId="182" formatCode="_(* #,##0.0_);_(* \(#,##0.0\);_(* \-??_);_(@_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8" fontId="49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9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453600</xdr:colOff>
      <xdr:row>2</xdr:row>
      <xdr:rowOff>38520</xdr:rowOff>
    </xdr:to>
    <xdr:sp>
      <xdr:nvSpPr>
        <xdr:cNvPr id="0" name="Text 1"/>
        <xdr:cNvSpPr/>
      </xdr:nvSpPr>
      <xdr:spPr>
        <a:xfrm>
          <a:off x="8166960" y="76680"/>
          <a:ext cx="16902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472680</xdr:colOff>
      <xdr:row>0</xdr:row>
      <xdr:rowOff>76680</xdr:rowOff>
    </xdr:from>
    <xdr:to>
      <xdr:col>21</xdr:col>
      <xdr:colOff>453600</xdr:colOff>
      <xdr:row>2</xdr:row>
      <xdr:rowOff>38520</xdr:rowOff>
    </xdr:to>
    <xdr:sp>
      <xdr:nvSpPr>
        <xdr:cNvPr id="1" name="Text 3"/>
        <xdr:cNvSpPr/>
      </xdr:nvSpPr>
      <xdr:spPr>
        <a:xfrm>
          <a:off x="7413120" y="76680"/>
          <a:ext cx="24440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2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321480</xdr:colOff>
      <xdr:row>4</xdr:row>
      <xdr:rowOff>75960</xdr:rowOff>
    </xdr:from>
    <xdr:to>
      <xdr:col>17</xdr:col>
      <xdr:colOff>20160</xdr:colOff>
      <xdr:row>4</xdr:row>
      <xdr:rowOff>75960</xdr:rowOff>
    </xdr:to>
    <xdr:sp>
      <xdr:nvSpPr>
        <xdr:cNvPr id="3" name="Line 3"/>
        <xdr:cNvSpPr/>
      </xdr:nvSpPr>
      <xdr:spPr>
        <a:xfrm flipH="1">
          <a:off x="3158640" y="973800"/>
          <a:ext cx="683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4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0</xdr:row>
      <xdr:rowOff>76680</xdr:rowOff>
    </xdr:from>
    <xdr:to>
      <xdr:col>21</xdr:col>
      <xdr:colOff>453600</xdr:colOff>
      <xdr:row>2</xdr:row>
      <xdr:rowOff>38160</xdr:rowOff>
    </xdr:to>
    <xdr:sp>
      <xdr:nvSpPr>
        <xdr:cNvPr id="5" name="Text 1"/>
        <xdr:cNvSpPr/>
      </xdr:nvSpPr>
      <xdr:spPr>
        <a:xfrm>
          <a:off x="7039440" y="76680"/>
          <a:ext cx="21834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6" name="Text 101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150840</xdr:colOff>
      <xdr:row>1</xdr:row>
      <xdr:rowOff>76320</xdr:rowOff>
    </xdr:from>
    <xdr:to>
      <xdr:col>13</xdr:col>
      <xdr:colOff>543240</xdr:colOff>
      <xdr:row>3</xdr:row>
      <xdr:rowOff>18720</xdr:rowOff>
    </xdr:to>
    <xdr:sp>
      <xdr:nvSpPr>
        <xdr:cNvPr id="7" name="Text 5"/>
        <xdr:cNvSpPr/>
      </xdr:nvSpPr>
      <xdr:spPr>
        <a:xfrm>
          <a:off x="6387120" y="238320"/>
          <a:ext cx="1619280" cy="352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2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5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6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7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3" name="Text 29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4" name="Text 3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5" name="Text 3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342360</xdr:colOff>
      <xdr:row>1</xdr:row>
      <xdr:rowOff>86040</xdr:rowOff>
    </xdr:from>
    <xdr:to>
      <xdr:col>15</xdr:col>
      <xdr:colOff>977040</xdr:colOff>
      <xdr:row>3</xdr:row>
      <xdr:rowOff>66240</xdr:rowOff>
    </xdr:to>
    <xdr:sp>
      <xdr:nvSpPr>
        <xdr:cNvPr id="26" name="Text 1"/>
        <xdr:cNvSpPr/>
      </xdr:nvSpPr>
      <xdr:spPr>
        <a:xfrm>
          <a:off x="5764680" y="86040"/>
          <a:ext cx="16812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2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EGM%20Plan%200613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Sum-Q301-Global-no%20cap%20charg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MgmtSum-Q401-Global-101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6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9">
          <cell r="C9">
            <v>105000</v>
          </cell>
          <cell r="D9">
            <v>50616.979</v>
          </cell>
        </row>
        <row r="9">
          <cell r="G9">
            <v>0</v>
          </cell>
        </row>
        <row r="9">
          <cell r="I9">
            <v>0</v>
          </cell>
        </row>
        <row r="9">
          <cell r="M9">
            <v>20675.415</v>
          </cell>
          <cell r="N9">
            <v>29941.564</v>
          </cell>
        </row>
        <row r="9">
          <cell r="Q9">
            <v>-105000</v>
          </cell>
        </row>
        <row r="9">
          <cell r="T9">
            <v>0</v>
          </cell>
          <cell r="U9">
            <v>0</v>
          </cell>
        </row>
        <row r="10">
          <cell r="C10">
            <v>48750</v>
          </cell>
          <cell r="D10">
            <v>27197.952</v>
          </cell>
        </row>
        <row r="10">
          <cell r="G10">
            <v>0</v>
          </cell>
        </row>
        <row r="10">
          <cell r="I10">
            <v>0</v>
          </cell>
        </row>
        <row r="10">
          <cell r="M10">
            <v>15344.135</v>
          </cell>
          <cell r="N10">
            <v>11853.817</v>
          </cell>
        </row>
        <row r="10">
          <cell r="Q10">
            <v>-48750</v>
          </cell>
        </row>
        <row r="10">
          <cell r="T10">
            <v>0</v>
          </cell>
          <cell r="U10">
            <v>0</v>
          </cell>
        </row>
        <row r="11">
          <cell r="C11">
            <v>7500</v>
          </cell>
          <cell r="D11">
            <v>1450.722</v>
          </cell>
        </row>
        <row r="11">
          <cell r="G11">
            <v>0</v>
          </cell>
        </row>
        <row r="11">
          <cell r="I11">
            <v>0</v>
          </cell>
        </row>
        <row r="11">
          <cell r="M11">
            <v>696.418</v>
          </cell>
          <cell r="N11">
            <v>754.304</v>
          </cell>
        </row>
        <row r="11">
          <cell r="Q11">
            <v>-7500</v>
          </cell>
        </row>
        <row r="11">
          <cell r="T11">
            <v>0</v>
          </cell>
          <cell r="U11">
            <v>0</v>
          </cell>
        </row>
        <row r="12">
          <cell r="C12">
            <v>0</v>
          </cell>
          <cell r="D12">
            <v>0</v>
          </cell>
        </row>
        <row r="12">
          <cell r="G12">
            <v>0</v>
          </cell>
        </row>
        <row r="12">
          <cell r="I12">
            <v>0</v>
          </cell>
        </row>
        <row r="12">
          <cell r="M12">
            <v>0</v>
          </cell>
          <cell r="N12">
            <v>0</v>
          </cell>
        </row>
        <row r="12">
          <cell r="Q12">
            <v>0</v>
          </cell>
        </row>
        <row r="12">
          <cell r="T12">
            <v>0</v>
          </cell>
          <cell r="U12">
            <v>0</v>
          </cell>
        </row>
        <row r="13">
          <cell r="C13">
            <v>24247.422</v>
          </cell>
          <cell r="D13">
            <v>10595.356</v>
          </cell>
        </row>
        <row r="13">
          <cell r="G13">
            <v>0</v>
          </cell>
        </row>
        <row r="13">
          <cell r="I13">
            <v>0</v>
          </cell>
        </row>
        <row r="13">
          <cell r="M13">
            <v>4799.254</v>
          </cell>
          <cell r="N13">
            <v>5796.102</v>
          </cell>
        </row>
        <row r="13">
          <cell r="Q13">
            <v>-24247.422</v>
          </cell>
        </row>
        <row r="13">
          <cell r="T13">
            <v>0</v>
          </cell>
          <cell r="U13">
            <v>0</v>
          </cell>
        </row>
        <row r="14">
          <cell r="C14">
            <v>28625</v>
          </cell>
          <cell r="D14">
            <v>9349.252</v>
          </cell>
        </row>
        <row r="14">
          <cell r="G14">
            <v>0</v>
          </cell>
        </row>
        <row r="14">
          <cell r="I14">
            <v>0</v>
          </cell>
        </row>
        <row r="14">
          <cell r="M14">
            <v>6623.836</v>
          </cell>
          <cell r="N14">
            <v>2725.416</v>
          </cell>
        </row>
        <row r="14">
          <cell r="Q14">
            <v>-28625</v>
          </cell>
        </row>
        <row r="14">
          <cell r="T14">
            <v>0</v>
          </cell>
          <cell r="U14">
            <v>0</v>
          </cell>
        </row>
        <row r="15">
          <cell r="C15">
            <v>77500</v>
          </cell>
          <cell r="D15">
            <v>17091.458</v>
          </cell>
        </row>
        <row r="15">
          <cell r="G15">
            <v>0</v>
          </cell>
        </row>
        <row r="15">
          <cell r="I15">
            <v>0</v>
          </cell>
        </row>
        <row r="15">
          <cell r="M15">
            <v>10530.45</v>
          </cell>
          <cell r="N15">
            <v>6561.008</v>
          </cell>
        </row>
        <row r="15">
          <cell r="Q15">
            <v>-77500</v>
          </cell>
        </row>
        <row r="15">
          <cell r="T15">
            <v>0</v>
          </cell>
          <cell r="U15">
            <v>0</v>
          </cell>
        </row>
        <row r="16">
          <cell r="C16">
            <v>7516</v>
          </cell>
          <cell r="D16">
            <v>12137.092</v>
          </cell>
        </row>
        <row r="16">
          <cell r="G16">
            <v>0</v>
          </cell>
        </row>
        <row r="16">
          <cell r="I16">
            <v>0</v>
          </cell>
        </row>
        <row r="16">
          <cell r="M16">
            <v>10537.502</v>
          </cell>
          <cell r="N16">
            <v>1599.59</v>
          </cell>
        </row>
        <row r="16">
          <cell r="Q16">
            <v>-7516</v>
          </cell>
        </row>
        <row r="16">
          <cell r="T16">
            <v>0</v>
          </cell>
          <cell r="U16">
            <v>0</v>
          </cell>
        </row>
        <row r="17">
          <cell r="C17">
            <v>16000</v>
          </cell>
          <cell r="D17">
            <v>7879.373</v>
          </cell>
        </row>
        <row r="17">
          <cell r="G17">
            <v>0</v>
          </cell>
        </row>
        <row r="17">
          <cell r="I17">
            <v>0</v>
          </cell>
        </row>
        <row r="17">
          <cell r="M17">
            <v>4290.75</v>
          </cell>
          <cell r="N17">
            <v>3588.623</v>
          </cell>
        </row>
        <row r="17">
          <cell r="Q17">
            <v>-16000</v>
          </cell>
        </row>
        <row r="17">
          <cell r="T17">
            <v>0</v>
          </cell>
          <cell r="U17">
            <v>0</v>
          </cell>
        </row>
        <row r="18">
          <cell r="Q18">
            <v>-1413</v>
          </cell>
        </row>
        <row r="18">
          <cell r="T18">
            <v>0</v>
          </cell>
          <cell r="U18">
            <v>0</v>
          </cell>
        </row>
        <row r="19">
          <cell r="C19">
            <v>513.998</v>
          </cell>
          <cell r="D19">
            <v>1717.412</v>
          </cell>
        </row>
        <row r="19">
          <cell r="G19">
            <v>0</v>
          </cell>
        </row>
        <row r="19">
          <cell r="I19">
            <v>0</v>
          </cell>
        </row>
        <row r="19">
          <cell r="M19">
            <v>574.823</v>
          </cell>
          <cell r="N19">
            <v>1142.589</v>
          </cell>
        </row>
        <row r="19">
          <cell r="Q19">
            <v>-513.998</v>
          </cell>
        </row>
        <row r="19">
          <cell r="T19">
            <v>0</v>
          </cell>
          <cell r="U19">
            <v>0</v>
          </cell>
        </row>
        <row r="20">
          <cell r="C20">
            <v>3750</v>
          </cell>
          <cell r="D20">
            <v>3366.377</v>
          </cell>
        </row>
        <row r="20">
          <cell r="G20">
            <v>0</v>
          </cell>
        </row>
        <row r="20">
          <cell r="I20">
            <v>0</v>
          </cell>
        </row>
        <row r="20">
          <cell r="M20">
            <v>3366.377</v>
          </cell>
          <cell r="N20">
            <v>0</v>
          </cell>
        </row>
        <row r="20">
          <cell r="Q20">
            <v>-3750</v>
          </cell>
        </row>
        <row r="20">
          <cell r="T20">
            <v>0</v>
          </cell>
          <cell r="U20">
            <v>0</v>
          </cell>
        </row>
        <row r="21">
          <cell r="C21">
            <v>0</v>
          </cell>
          <cell r="D21">
            <v>2316.62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2103.902</v>
          </cell>
          <cell r="N21">
            <v>212.718</v>
          </cell>
        </row>
        <row r="21">
          <cell r="Q21">
            <v>0</v>
          </cell>
        </row>
        <row r="21">
          <cell r="T21">
            <v>0</v>
          </cell>
          <cell r="U21">
            <v>0</v>
          </cell>
        </row>
        <row r="22">
          <cell r="C22">
            <v>0</v>
          </cell>
          <cell r="D22">
            <v>3031.467</v>
          </cell>
        </row>
        <row r="22">
          <cell r="G22">
            <v>0</v>
          </cell>
        </row>
        <row r="22">
          <cell r="I22">
            <v>0</v>
          </cell>
        </row>
        <row r="22">
          <cell r="M22">
            <v>1607.775</v>
          </cell>
          <cell r="N22">
            <v>1423.692</v>
          </cell>
        </row>
        <row r="22">
          <cell r="Q22">
            <v>0</v>
          </cell>
        </row>
        <row r="22">
          <cell r="T22">
            <v>0</v>
          </cell>
          <cell r="U22">
            <v>0</v>
          </cell>
        </row>
        <row r="23">
          <cell r="C23">
            <v>8602.104</v>
          </cell>
          <cell r="D23">
            <v>0</v>
          </cell>
        </row>
        <row r="23">
          <cell r="M23">
            <v>0</v>
          </cell>
          <cell r="N23">
            <v>0</v>
          </cell>
        </row>
        <row r="23">
          <cell r="Q23">
            <v>-8602.104</v>
          </cell>
        </row>
        <row r="23">
          <cell r="T23">
            <v>0</v>
          </cell>
          <cell r="U23">
            <v>0</v>
          </cell>
        </row>
        <row r="27">
          <cell r="C27">
            <v>0</v>
          </cell>
          <cell r="D27">
            <v>84298.577</v>
          </cell>
        </row>
        <row r="27">
          <cell r="G27">
            <v>0</v>
          </cell>
        </row>
        <row r="27">
          <cell r="I27">
            <v>0</v>
          </cell>
        </row>
        <row r="27">
          <cell r="M27">
            <v>84298.577</v>
          </cell>
          <cell r="N27">
            <v>0</v>
          </cell>
        </row>
        <row r="27">
          <cell r="Q27">
            <v>0</v>
          </cell>
        </row>
        <row r="28">
          <cell r="C28">
            <v>0</v>
          </cell>
          <cell r="D28">
            <v>-66390.846</v>
          </cell>
        </row>
        <row r="28">
          <cell r="G28">
            <v>0</v>
          </cell>
        </row>
        <row r="28">
          <cell r="I28">
            <v>0</v>
          </cell>
        </row>
        <row r="28">
          <cell r="M28">
            <v>0</v>
          </cell>
          <cell r="N28">
            <v>-66390.846</v>
          </cell>
        </row>
        <row r="28">
          <cell r="Q28">
            <v>0</v>
          </cell>
        </row>
        <row r="29">
          <cell r="D29">
            <v>0</v>
          </cell>
        </row>
        <row r="34">
          <cell r="C34">
            <v>0</v>
          </cell>
          <cell r="D34">
            <v>20500</v>
          </cell>
        </row>
        <row r="34">
          <cell r="M34">
            <v>20500</v>
          </cell>
          <cell r="N34">
            <v>0</v>
          </cell>
        </row>
        <row r="34">
          <cell r="Q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8">
          <cell r="C18">
            <v>1413</v>
          </cell>
          <cell r="D18">
            <v>1600.847</v>
          </cell>
        </row>
        <row r="18">
          <cell r="G18">
            <v>0</v>
          </cell>
        </row>
        <row r="18">
          <cell r="I18">
            <v>0</v>
          </cell>
        </row>
        <row r="18">
          <cell r="M18">
            <v>809.424</v>
          </cell>
          <cell r="N18">
            <v>791.423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22">
          <cell r="T22">
            <v>0</v>
          </cell>
          <cell r="U22">
            <v>0</v>
          </cell>
        </row>
        <row r="24">
          <cell r="T24">
            <v>0</v>
          </cell>
          <cell r="U24">
            <v>0</v>
          </cell>
        </row>
        <row r="27">
          <cell r="C27">
            <v>0</v>
          </cell>
          <cell r="D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L27">
            <v>0</v>
          </cell>
          <cell r="M27">
            <v>0</v>
          </cell>
          <cell r="N27">
            <v>0</v>
          </cell>
        </row>
        <row r="27">
          <cell r="Q27">
            <v>0</v>
          </cell>
        </row>
        <row r="29">
          <cell r="T29">
            <v>0</v>
          </cell>
          <cell r="U29">
            <v>0</v>
          </cell>
        </row>
        <row r="33">
          <cell r="S33">
            <v>0</v>
          </cell>
          <cell r="T33">
            <v>0</v>
          </cell>
          <cell r="U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  <sheetName val="MgmtSum-Q401-Global-101201"/>
    </sheetNames>
    <sheetDataSet>
      <sheetData sheetId="0"/>
      <sheetData sheetId="1">
        <row r="9">
          <cell r="G9">
            <v>16921.743</v>
          </cell>
        </row>
        <row r="10">
          <cell r="G10">
            <v>8899.487</v>
          </cell>
        </row>
        <row r="11">
          <cell r="G11">
            <v>723.274</v>
          </cell>
        </row>
        <row r="12">
          <cell r="G12">
            <v>0</v>
          </cell>
        </row>
        <row r="13">
          <cell r="G13">
            <v>3636.833</v>
          </cell>
        </row>
        <row r="14">
          <cell r="G14">
            <v>3470.408</v>
          </cell>
        </row>
        <row r="15">
          <cell r="G15">
            <v>3130.547</v>
          </cell>
        </row>
        <row r="16">
          <cell r="G16">
            <v>8763.21</v>
          </cell>
        </row>
        <row r="17">
          <cell r="G17">
            <v>4459.428</v>
          </cell>
        </row>
        <row r="18">
          <cell r="G18">
            <v>0</v>
          </cell>
        </row>
        <row r="19">
          <cell r="G19">
            <v>3366.378</v>
          </cell>
        </row>
        <row r="20">
          <cell r="G20">
            <v>138.45</v>
          </cell>
        </row>
        <row r="21">
          <cell r="G21">
            <v>765.961</v>
          </cell>
        </row>
        <row r="22">
          <cell r="G22">
            <v>0</v>
          </cell>
        </row>
        <row r="23">
          <cell r="G23">
            <v>1010.956</v>
          </cell>
        </row>
        <row r="24">
          <cell r="G24">
            <v>0</v>
          </cell>
        </row>
        <row r="28">
          <cell r="G28">
            <v>0</v>
          </cell>
        </row>
        <row r="29">
          <cell r="G29">
            <v>42641.985</v>
          </cell>
        </row>
        <row r="30">
          <cell r="G30">
            <v>-23192.098</v>
          </cell>
        </row>
        <row r="31">
          <cell r="G31">
            <v>0</v>
          </cell>
        </row>
        <row r="32">
          <cell r="G32">
            <v>0</v>
          </cell>
        </row>
        <row r="36">
          <cell r="G36">
            <v>6400</v>
          </cell>
        </row>
      </sheetData>
      <sheetData sheetId="2"/>
      <sheetData sheetId="3"/>
      <sheetData sheetId="4">
        <row r="10">
          <cell r="D10">
            <v>-4982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1496</v>
          </cell>
          <cell r="E11">
            <v>1520.007</v>
          </cell>
        </row>
        <row r="11">
          <cell r="G11">
            <v>0</v>
          </cell>
        </row>
        <row r="11">
          <cell r="K11">
            <v>0</v>
          </cell>
        </row>
        <row r="12">
          <cell r="D12">
            <v>-263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1367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28</v>
          </cell>
          <cell r="E15">
            <v>6.04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1370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1289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1578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-9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23</v>
          </cell>
          <cell r="E23">
            <v>-2.263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271</v>
          </cell>
          <cell r="E24">
            <v>0</v>
          </cell>
        </row>
        <row r="24">
          <cell r="G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  <row r="29">
          <cell r="D29">
            <v>-30000</v>
          </cell>
          <cell r="E29">
            <v>0</v>
          </cell>
        </row>
        <row r="29">
          <cell r="G29">
            <v>0</v>
          </cell>
        </row>
        <row r="29">
          <cell r="K29">
            <v>0</v>
          </cell>
        </row>
        <row r="30">
          <cell r="D30">
            <v>0</v>
          </cell>
          <cell r="E30">
            <v>0</v>
          </cell>
        </row>
        <row r="30">
          <cell r="G30">
            <v>0</v>
          </cell>
        </row>
        <row r="30">
          <cell r="K30">
            <v>0</v>
          </cell>
        </row>
        <row r="31">
          <cell r="D31">
            <v>0</v>
          </cell>
          <cell r="E31">
            <v>0</v>
          </cell>
        </row>
        <row r="31">
          <cell r="G31">
            <v>0</v>
          </cell>
        </row>
        <row r="31">
          <cell r="K31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/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false" hidden="false" outlineLevel="0" max="13" min="13" style="1" width="9.14"/>
    <col collapsed="false" customWidth="true" hidden="false" outlineLevel="0" max="14" min="14" style="1" width="8.85"/>
    <col collapsed="false" customWidth="true" hidden="false" outlineLevel="0" max="15" min="15" style="1" width="9.56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"/>
    </row>
    <row r="4" customFormat="false" ht="3" hidden="false" customHeight="true" outlineLevel="0" collapsed="false"/>
    <row r="5" customFormat="false" ht="15" hidden="false" customHeight="true" outlineLevel="0" collapsed="false">
      <c r="A5" s="7"/>
      <c r="B5" s="8"/>
      <c r="C5" s="9" t="s">
        <v>3</v>
      </c>
      <c r="D5" s="9"/>
      <c r="E5" s="9"/>
      <c r="F5" s="8"/>
      <c r="G5" s="9" t="s">
        <v>4</v>
      </c>
      <c r="H5" s="9"/>
      <c r="I5" s="9"/>
      <c r="J5" s="9"/>
      <c r="K5" s="9"/>
      <c r="L5" s="9"/>
      <c r="M5" s="9"/>
      <c r="N5" s="9"/>
      <c r="O5" s="9"/>
      <c r="P5" s="8"/>
      <c r="Q5" s="9" t="s">
        <v>5</v>
      </c>
      <c r="R5" s="9"/>
      <c r="S5" s="9"/>
      <c r="T5" s="9"/>
      <c r="U5" s="9"/>
      <c r="V5" s="9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true" outlineLevel="0" collapsed="false">
      <c r="A6" s="10"/>
      <c r="B6" s="8"/>
      <c r="C6" s="11"/>
      <c r="D6" s="12"/>
      <c r="E6" s="11"/>
      <c r="F6" s="8"/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/>
      <c r="P6" s="8"/>
      <c r="Q6" s="11" t="s">
        <v>9</v>
      </c>
      <c r="R6" s="11" t="s">
        <v>10</v>
      </c>
      <c r="S6" s="13" t="s">
        <v>11</v>
      </c>
      <c r="T6" s="11" t="s">
        <v>12</v>
      </c>
      <c r="U6" s="11" t="s">
        <v>13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true" outlineLevel="0" collapsed="false">
      <c r="A7" s="13" t="s">
        <v>14</v>
      </c>
      <c r="B7" s="10"/>
      <c r="C7" s="14" t="s">
        <v>15</v>
      </c>
      <c r="D7" s="15" t="s">
        <v>16</v>
      </c>
      <c r="E7" s="14" t="s">
        <v>17</v>
      </c>
      <c r="F7" s="16"/>
      <c r="G7" s="13" t="s">
        <v>15</v>
      </c>
      <c r="H7" s="13" t="s">
        <v>18</v>
      </c>
      <c r="I7" s="13" t="s">
        <v>15</v>
      </c>
      <c r="J7" s="13" t="s">
        <v>15</v>
      </c>
      <c r="K7" s="14" t="s">
        <v>19</v>
      </c>
      <c r="L7" s="13" t="s">
        <v>20</v>
      </c>
      <c r="M7" s="13" t="s">
        <v>19</v>
      </c>
      <c r="N7" s="13" t="s">
        <v>19</v>
      </c>
      <c r="O7" s="13" t="s">
        <v>9</v>
      </c>
      <c r="P7" s="8"/>
      <c r="Q7" s="13" t="s">
        <v>15</v>
      </c>
      <c r="R7" s="13" t="s">
        <v>19</v>
      </c>
      <c r="S7" s="13" t="s">
        <v>20</v>
      </c>
      <c r="T7" s="13" t="s">
        <v>19</v>
      </c>
      <c r="U7" s="13" t="s">
        <v>19</v>
      </c>
      <c r="V7" s="13" t="s">
        <v>9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7"/>
      <c r="B8" s="18"/>
      <c r="C8" s="19"/>
      <c r="D8" s="20"/>
      <c r="E8" s="21"/>
      <c r="F8" s="18"/>
      <c r="G8" s="19"/>
      <c r="H8" s="20"/>
      <c r="I8" s="20"/>
      <c r="J8" s="17"/>
      <c r="K8" s="20"/>
      <c r="L8" s="19"/>
      <c r="M8" s="20"/>
      <c r="N8" s="20"/>
      <c r="O8" s="17"/>
      <c r="P8" s="22"/>
      <c r="Q8" s="19"/>
      <c r="R8" s="20"/>
      <c r="S8" s="20"/>
      <c r="T8" s="20"/>
      <c r="U8" s="20"/>
      <c r="V8" s="21"/>
      <c r="W8" s="22"/>
    </row>
    <row r="9" customFormat="false" ht="13.5" hidden="false" customHeight="true" outlineLevel="0" collapsed="false">
      <c r="A9" s="10" t="s">
        <v>21</v>
      </c>
      <c r="B9" s="23"/>
      <c r="C9" s="24" t="n">
        <f aca="false">+'Mgmt Summary'!C9+'[2]YTD Mgmt Summary'!C9</f>
        <v>150000</v>
      </c>
      <c r="D9" s="25" t="n">
        <f aca="false">+'Mgmt Summary'!D9+'[2]YTD Mgmt Summary'!D9</f>
        <v>67538.722</v>
      </c>
      <c r="E9" s="26" t="n">
        <f aca="false">C9-D9</f>
        <v>82461.278</v>
      </c>
      <c r="F9" s="25"/>
      <c r="G9" s="24" t="n">
        <f aca="false">+'Mgmt Summary'!G9+'[2]YTD Mgmt Summary'!G9</f>
        <v>-7726</v>
      </c>
      <c r="H9" s="25" t="n">
        <f aca="false">GrossMargin!J10</f>
        <v>0</v>
      </c>
      <c r="I9" s="25" t="n">
        <f aca="false">+'Mgmt Summary'!I9+'[2]YTD Mgmt Summary'!I9</f>
        <v>0</v>
      </c>
      <c r="J9" s="27" t="n">
        <f aca="false">SUM(G9:I9)</f>
        <v>-7726</v>
      </c>
      <c r="K9" s="28"/>
      <c r="L9" s="24"/>
      <c r="M9" s="25" t="n">
        <f aca="false">+'Mgmt Summary'!M9+'[2]YTD Mgmt Summary'!M9</f>
        <v>27578.534</v>
      </c>
      <c r="N9" s="25" t="n">
        <f aca="false">+'Mgmt Summary'!N9+'[2]YTD Mgmt Summary'!N9</f>
        <v>39960.188</v>
      </c>
      <c r="O9" s="27" t="n">
        <f aca="false">J9-K9-M9-N9-L9</f>
        <v>-75264.722</v>
      </c>
      <c r="P9" s="29"/>
      <c r="Q9" s="30" t="n">
        <f aca="false">+'Mgmt Summary'!Q9+'[2]YTD Mgmt Summary'!Q9</f>
        <v>-157726</v>
      </c>
      <c r="R9" s="29"/>
      <c r="S9" s="29"/>
      <c r="T9" s="29" t="n">
        <f aca="false">+'Mgmt Summary'!T9+'[2]YTD Mgmt Summary'!T9</f>
        <v>0</v>
      </c>
      <c r="U9" s="29" t="n">
        <f aca="false">+'Mgmt Summary'!U9+'[2]YTD Mgmt Summary'!U9</f>
        <v>0</v>
      </c>
      <c r="V9" s="31" t="n">
        <f aca="false">ROUND(SUM(Q9:U9),0)</f>
        <v>-157726</v>
      </c>
      <c r="W9" s="22"/>
    </row>
    <row r="10" customFormat="false" ht="13.5" hidden="false" customHeight="true" outlineLevel="0" collapsed="false">
      <c r="A10" s="10" t="s">
        <v>22</v>
      </c>
      <c r="B10" s="23"/>
      <c r="C10" s="24" t="n">
        <f aca="false">+'Mgmt Summary'!C10+'[2]YTD Mgmt Summary'!C10</f>
        <v>65000</v>
      </c>
      <c r="D10" s="25" t="n">
        <f aca="false">+'Mgmt Summary'!D10+'[2]YTD Mgmt Summary'!D10</f>
        <v>36097.439</v>
      </c>
      <c r="E10" s="26" t="n">
        <f aca="false">C10-D10</f>
        <v>28902.561</v>
      </c>
      <c r="F10" s="25"/>
      <c r="G10" s="24" t="n">
        <f aca="false">+'Mgmt Summary'!G10+'[2]YTD Mgmt Summary'!G10</f>
        <v>1514.246</v>
      </c>
      <c r="H10" s="25" t="n">
        <f aca="false">GrossMargin!J11</f>
        <v>0</v>
      </c>
      <c r="I10" s="25" t="n">
        <f aca="false">+'Mgmt Summary'!I10+'[2]YTD Mgmt Summary'!I10</f>
        <v>0</v>
      </c>
      <c r="J10" s="27" t="n">
        <f aca="false">SUM(G10:I10)</f>
        <v>1514.246</v>
      </c>
      <c r="K10" s="28"/>
      <c r="L10" s="24"/>
      <c r="M10" s="25" t="n">
        <f aca="false">+'Mgmt Summary'!M10+'[2]YTD Mgmt Summary'!M10</f>
        <v>20454.668</v>
      </c>
      <c r="N10" s="25" t="n">
        <f aca="false">+'Mgmt Summary'!N10+'[2]YTD Mgmt Summary'!N10</f>
        <v>15642.771</v>
      </c>
      <c r="O10" s="27" t="n">
        <f aca="false">J10-K10-M10-N10-L10</f>
        <v>-34583.193</v>
      </c>
      <c r="P10" s="29"/>
      <c r="Q10" s="30" t="n">
        <f aca="false">+'Mgmt Summary'!Q10+'[2]YTD Mgmt Summary'!Q10</f>
        <v>-63485.754</v>
      </c>
      <c r="R10" s="29"/>
      <c r="S10" s="29"/>
      <c r="T10" s="29" t="n">
        <f aca="false">+'Mgmt Summary'!T10+'[2]YTD Mgmt Summary'!T10</f>
        <v>0</v>
      </c>
      <c r="U10" s="29" t="n">
        <f aca="false">+'Mgmt Summary'!U10+'[2]YTD Mgmt Summary'!U10</f>
        <v>0</v>
      </c>
      <c r="V10" s="31" t="n">
        <f aca="false">ROUND(SUM(Q10:U10),0)</f>
        <v>-63486</v>
      </c>
      <c r="W10" s="22"/>
    </row>
    <row r="11" customFormat="false" ht="13.5" hidden="false" customHeight="true" outlineLevel="0" collapsed="false">
      <c r="A11" s="10" t="s">
        <v>23</v>
      </c>
      <c r="B11" s="23"/>
      <c r="C11" s="24" t="n">
        <f aca="false">+'Mgmt Summary'!C11+'[2]YTD Mgmt Summary'!C11</f>
        <v>10000</v>
      </c>
      <c r="D11" s="25" t="n">
        <f aca="false">+'Mgmt Summary'!D11+'[2]YTD Mgmt Summary'!D11</f>
        <v>2173.996</v>
      </c>
      <c r="E11" s="26" t="n">
        <f aca="false">C11-D11</f>
        <v>7826.004</v>
      </c>
      <c r="F11" s="25"/>
      <c r="G11" s="24" t="n">
        <f aca="false">+'Mgmt Summary'!G11+'[2]YTD Mgmt Summary'!G11</f>
        <v>-394</v>
      </c>
      <c r="H11" s="25" t="n">
        <f aca="false">GrossMargin!J12</f>
        <v>0</v>
      </c>
      <c r="I11" s="25" t="n">
        <f aca="false">+'Mgmt Summary'!I11+'[2]YTD Mgmt Summary'!I11</f>
        <v>0</v>
      </c>
      <c r="J11" s="27" t="n">
        <f aca="false">SUM(G11:I11)</f>
        <v>-394</v>
      </c>
      <c r="K11" s="28"/>
      <c r="L11" s="24"/>
      <c r="M11" s="25" t="n">
        <f aca="false">+'Mgmt Summary'!M11+'[2]YTD Mgmt Summary'!M11</f>
        <v>1044.627</v>
      </c>
      <c r="N11" s="25" t="n">
        <f aca="false">+'Mgmt Summary'!N11+'[2]YTD Mgmt Summary'!N11</f>
        <v>1129.369</v>
      </c>
      <c r="O11" s="27" t="n">
        <f aca="false">J11-K11-M11-N11-L11</f>
        <v>-2567.996</v>
      </c>
      <c r="P11" s="29"/>
      <c r="Q11" s="30" t="n">
        <f aca="false">+'Mgmt Summary'!Q11+'[2]YTD Mgmt Summary'!Q11</f>
        <v>-10394</v>
      </c>
      <c r="R11" s="29"/>
      <c r="S11" s="29"/>
      <c r="T11" s="29" t="n">
        <f aca="false">+'Mgmt Summary'!T11+'[2]YTD Mgmt Summary'!T11</f>
        <v>0</v>
      </c>
      <c r="U11" s="29" t="n">
        <f aca="false">+'Mgmt Summary'!U11+'[2]YTD Mgmt Summary'!U11</f>
        <v>0</v>
      </c>
      <c r="V11" s="31" t="n">
        <f aca="false">ROUND(SUM(Q11:U11),0)</f>
        <v>-10394</v>
      </c>
      <c r="W11" s="22"/>
    </row>
    <row r="12" customFormat="false" ht="13.5" hidden="true" customHeight="true" outlineLevel="0" collapsed="false">
      <c r="A12" s="10" t="s">
        <v>24</v>
      </c>
      <c r="B12" s="23"/>
      <c r="C12" s="24" t="n">
        <f aca="false">+'Mgmt Summary'!C12+'[2]YTD Mgmt Summary'!C12</f>
        <v>0</v>
      </c>
      <c r="D12" s="25" t="n">
        <f aca="false">+'Mgmt Summary'!D12+'[2]YTD Mgmt Summary'!D12</f>
        <v>0</v>
      </c>
      <c r="E12" s="26" t="n">
        <f aca="false">C12-D12</f>
        <v>0</v>
      </c>
      <c r="F12" s="25"/>
      <c r="G12" s="24" t="n">
        <f aca="false">+'Mgmt Summary'!G12+'[2]YTD Mgmt Summary'!G12</f>
        <v>0</v>
      </c>
      <c r="H12" s="25" t="n">
        <f aca="false">GrossMargin!J13</f>
        <v>0</v>
      </c>
      <c r="I12" s="25" t="n">
        <f aca="false">+'Mgmt Summary'!I12+'[2]YTD Mgmt Summary'!I12</f>
        <v>0</v>
      </c>
      <c r="J12" s="27" t="n">
        <f aca="false">SUM(G12:I12)</f>
        <v>0</v>
      </c>
      <c r="K12" s="28"/>
      <c r="L12" s="24"/>
      <c r="M12" s="25" t="n">
        <f aca="false">+'Mgmt Summary'!M12+'[2]YTD Mgmt Summary'!M12</f>
        <v>0</v>
      </c>
      <c r="N12" s="25" t="n">
        <f aca="false">+'Mgmt Summary'!N12+'[2]YTD Mgmt Summary'!N12</f>
        <v>0</v>
      </c>
      <c r="O12" s="27" t="n">
        <f aca="false">J12-K12-M12-N12-L12</f>
        <v>0</v>
      </c>
      <c r="P12" s="29"/>
      <c r="Q12" s="30" t="n">
        <f aca="false">+'Mgmt Summary'!Q12+'[2]YTD Mgmt Summary'!Q12</f>
        <v>0</v>
      </c>
      <c r="R12" s="29"/>
      <c r="S12" s="29"/>
      <c r="T12" s="29" t="n">
        <f aca="false">+'Mgmt Summary'!T12+'[2]YTD Mgmt Summary'!T12</f>
        <v>0</v>
      </c>
      <c r="U12" s="29" t="n">
        <f aca="false">+'Mgmt Summary'!U12+'[2]YTD Mgmt Summary'!U12</f>
        <v>0</v>
      </c>
      <c r="V12" s="31" t="n">
        <f aca="false">ROUND(SUM(Q12:U12),0)</f>
        <v>0</v>
      </c>
      <c r="W12" s="22"/>
    </row>
    <row r="13" customFormat="false" ht="13.5" hidden="false" customHeight="true" outlineLevel="0" collapsed="false">
      <c r="A13" s="10" t="s">
        <v>25</v>
      </c>
      <c r="B13" s="23"/>
      <c r="C13" s="24" t="n">
        <f aca="false">+'Mgmt Summary'!C13+'[2]YTD Mgmt Summary'!C13</f>
        <v>33000.002</v>
      </c>
      <c r="D13" s="25" t="n">
        <f aca="false">+'Mgmt Summary'!D13+'[2]YTD Mgmt Summary'!D13</f>
        <v>13932.189</v>
      </c>
      <c r="E13" s="26" t="n">
        <f aca="false">C13-D13</f>
        <v>19067.813</v>
      </c>
      <c r="F13" s="25"/>
      <c r="G13" s="24" t="n">
        <f aca="false">+'Mgmt Summary'!G13+'[2]YTD Mgmt Summary'!G13</f>
        <v>1431</v>
      </c>
      <c r="H13" s="25" t="n">
        <f aca="false">GrossMargin!J14</f>
        <v>0</v>
      </c>
      <c r="I13" s="25" t="n">
        <f aca="false">+'Mgmt Summary'!I13+'[2]YTD Mgmt Summary'!I13</f>
        <v>0</v>
      </c>
      <c r="J13" s="27" t="n">
        <f aca="false">SUM(G13:I13)</f>
        <v>1431</v>
      </c>
      <c r="K13" s="28"/>
      <c r="L13" s="24"/>
      <c r="M13" s="25" t="n">
        <f aca="false">+'Mgmt Summary'!M13+'[2]YTD Mgmt Summary'!M13</f>
        <v>6659.335</v>
      </c>
      <c r="N13" s="25" t="n">
        <f aca="false">+'Mgmt Summary'!N13+'[2]YTD Mgmt Summary'!N13</f>
        <v>7572.854</v>
      </c>
      <c r="O13" s="27" t="n">
        <f aca="false">J13-K13-M13-N13-L13</f>
        <v>-12801.189</v>
      </c>
      <c r="P13" s="29"/>
      <c r="Q13" s="30" t="n">
        <f aca="false">+'Mgmt Summary'!Q13+'[2]YTD Mgmt Summary'!Q13</f>
        <v>-31569.002</v>
      </c>
      <c r="R13" s="29"/>
      <c r="S13" s="29"/>
      <c r="T13" s="29" t="n">
        <f aca="false">+'Mgmt Summary'!T13+'[2]YTD Mgmt Summary'!T13</f>
        <v>-300</v>
      </c>
      <c r="U13" s="29" t="n">
        <f aca="false">+'Mgmt Summary'!U13+'[2]YTD Mgmt Summary'!U13</f>
        <v>0</v>
      </c>
      <c r="V13" s="31" t="n">
        <f aca="false">ROUND(SUM(Q13:U13),0)</f>
        <v>-31869</v>
      </c>
      <c r="W13" s="22"/>
    </row>
    <row r="14" customFormat="false" ht="13.5" hidden="false" customHeight="true" outlineLevel="0" collapsed="false">
      <c r="A14" s="10" t="s">
        <v>26</v>
      </c>
      <c r="B14" s="23"/>
      <c r="C14" s="24" t="n">
        <f aca="false">+'Mgmt Summary'!C14+'[2]YTD Mgmt Summary'!C14</f>
        <v>37500</v>
      </c>
      <c r="D14" s="25" t="n">
        <f aca="false">+'Mgmt Summary'!D14+'[2]YTD Mgmt Summary'!D14</f>
        <v>12819.66</v>
      </c>
      <c r="E14" s="26" t="n">
        <f aca="false">C14-D14</f>
        <v>24680.34</v>
      </c>
      <c r="F14" s="25"/>
      <c r="G14" s="24" t="n">
        <f aca="false">+'Mgmt Summary'!G14+'[2]YTD Mgmt Summary'!G14</f>
        <v>46.04</v>
      </c>
      <c r="H14" s="25" t="n">
        <f aca="false">GrossMargin!J15</f>
        <v>0</v>
      </c>
      <c r="I14" s="25" t="n">
        <f aca="false">+'Mgmt Summary'!I14+'[2]YTD Mgmt Summary'!I14</f>
        <v>0</v>
      </c>
      <c r="J14" s="27" t="n">
        <f aca="false">SUM(G14:I14)</f>
        <v>46.04</v>
      </c>
      <c r="K14" s="28"/>
      <c r="L14" s="24"/>
      <c r="M14" s="25" t="n">
        <f aca="false">+'Mgmt Summary'!M14+'[2]YTD Mgmt Summary'!M14</f>
        <v>9140.902</v>
      </c>
      <c r="N14" s="25" t="n">
        <f aca="false">+'Mgmt Summary'!N14+'[2]YTD Mgmt Summary'!N14</f>
        <v>3678.758</v>
      </c>
      <c r="O14" s="27" t="n">
        <f aca="false">J14-K14-M14-N14-L14</f>
        <v>-12773.62</v>
      </c>
      <c r="P14" s="29"/>
      <c r="Q14" s="30" t="n">
        <f aca="false">+'Mgmt Summary'!Q14+'[2]YTD Mgmt Summary'!Q14</f>
        <v>-37453.96</v>
      </c>
      <c r="R14" s="29"/>
      <c r="S14" s="29"/>
      <c r="T14" s="29" t="n">
        <f aca="false">+'Mgmt Summary'!T14+'[2]YTD Mgmt Summary'!T14</f>
        <v>0</v>
      </c>
      <c r="U14" s="29" t="n">
        <f aca="false">+'Mgmt Summary'!U14+'[2]YTD Mgmt Summary'!U14</f>
        <v>0</v>
      </c>
      <c r="V14" s="31" t="n">
        <f aca="false">ROUND(SUM(Q14:U14),0)</f>
        <v>-37454</v>
      </c>
      <c r="W14" s="22"/>
    </row>
    <row r="15" customFormat="false" ht="13.5" hidden="false" customHeight="true" outlineLevel="0" collapsed="false">
      <c r="A15" s="32" t="s">
        <v>27</v>
      </c>
      <c r="B15" s="33"/>
      <c r="C15" s="24" t="n">
        <f aca="false">+'Mgmt Summary'!C15+'[2]YTD Mgmt Summary'!C15</f>
        <v>107045</v>
      </c>
      <c r="D15" s="25" t="n">
        <f aca="false">+'Mgmt Summary'!D15+'[2]YTD Mgmt Summary'!D15</f>
        <v>20222.005</v>
      </c>
      <c r="E15" s="26" t="n">
        <f aca="false">C15-D15</f>
        <v>86822.995</v>
      </c>
      <c r="F15" s="25"/>
      <c r="G15" s="24" t="n">
        <f aca="false">+'Mgmt Summary'!G15+'[2]YTD Mgmt Summary'!G15</f>
        <v>4499</v>
      </c>
      <c r="H15" s="25" t="n">
        <f aca="false">GrossMargin!J16</f>
        <v>0</v>
      </c>
      <c r="I15" s="25" t="n">
        <f aca="false">+'Mgmt Summary'!I15+'[2]YTD Mgmt Summary'!I15</f>
        <v>0</v>
      </c>
      <c r="J15" s="27" t="n">
        <f aca="false">SUM(G15:I15)</f>
        <v>4499</v>
      </c>
      <c r="K15" s="28"/>
      <c r="L15" s="24"/>
      <c r="M15" s="25" t="n">
        <f aca="false">+'Mgmt Summary'!M15+'[2]YTD Mgmt Summary'!M15</f>
        <v>12379.586</v>
      </c>
      <c r="N15" s="25" t="n">
        <f aca="false">+'Mgmt Summary'!N15+'[2]YTD Mgmt Summary'!N15</f>
        <v>7842.419</v>
      </c>
      <c r="O15" s="27" t="n">
        <f aca="false">J15-K15-M15-N15-L15</f>
        <v>-15723.005</v>
      </c>
      <c r="P15" s="29"/>
      <c r="Q15" s="30" t="n">
        <f aca="false">+'Mgmt Summary'!Q15+'[2]YTD Mgmt Summary'!Q15</f>
        <v>-102546</v>
      </c>
      <c r="R15" s="29"/>
      <c r="S15" s="29"/>
      <c r="T15" s="29" t="n">
        <f aca="false">+'Mgmt Summary'!T15+'[2]YTD Mgmt Summary'!T15</f>
        <v>0</v>
      </c>
      <c r="U15" s="29" t="n">
        <f aca="false">+'Mgmt Summary'!U15+'[2]YTD Mgmt Summary'!U15</f>
        <v>0</v>
      </c>
      <c r="V15" s="31" t="n">
        <f aca="false">ROUND(SUM(Q15:U15),0)</f>
        <v>-102546</v>
      </c>
      <c r="W15" s="34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3.5" hidden="false" customHeight="true" outlineLevel="0" collapsed="false">
      <c r="A16" s="32" t="s">
        <v>28</v>
      </c>
      <c r="B16" s="33"/>
      <c r="C16" s="24" t="n">
        <f aca="false">+'Mgmt Summary'!C16+'[2]YTD Mgmt Summary'!C16</f>
        <v>20821.5</v>
      </c>
      <c r="D16" s="25" t="n">
        <f aca="false">+'Mgmt Summary'!D16+'[2]YTD Mgmt Summary'!D16</f>
        <v>20900.302</v>
      </c>
      <c r="E16" s="26" t="n">
        <f aca="false">C16-D16</f>
        <v>-78.8019999999997</v>
      </c>
      <c r="F16" s="25"/>
      <c r="G16" s="24" t="n">
        <f aca="false">+'Mgmt Summary'!G16+'[2]YTD Mgmt Summary'!G16</f>
        <v>-38.317</v>
      </c>
      <c r="H16" s="25" t="n">
        <f aca="false">GrossMargin!J17</f>
        <v>0</v>
      </c>
      <c r="I16" s="25" t="n">
        <f aca="false">+'Mgmt Summary'!I16+'[2]YTD Mgmt Summary'!I16</f>
        <v>0</v>
      </c>
      <c r="J16" s="27" t="n">
        <f aca="false">SUM(G16:I16)</f>
        <v>-38.317</v>
      </c>
      <c r="K16" s="28"/>
      <c r="L16" s="24"/>
      <c r="M16" s="25" t="n">
        <f aca="false">+'Mgmt Summary'!M16+'[2]YTD Mgmt Summary'!M16</f>
        <v>17859.678</v>
      </c>
      <c r="N16" s="25" t="n">
        <f aca="false">+'Mgmt Summary'!N16+'[2]YTD Mgmt Summary'!N16</f>
        <v>3040.624</v>
      </c>
      <c r="O16" s="27" t="n">
        <f aca="false">J16-K16-M16-N16-L16</f>
        <v>-20938.619</v>
      </c>
      <c r="P16" s="29"/>
      <c r="Q16" s="30" t="n">
        <f aca="false">+'Mgmt Summary'!Q16+'[2]YTD Mgmt Summary'!Q16</f>
        <v>-20859.817</v>
      </c>
      <c r="R16" s="29"/>
      <c r="S16" s="29"/>
      <c r="T16" s="29" t="n">
        <f aca="false">+'Mgmt Summary'!T16+'[2]YTD Mgmt Summary'!T16</f>
        <v>0</v>
      </c>
      <c r="U16" s="29" t="n">
        <f aca="false">+'Mgmt Summary'!U16+'[2]YTD Mgmt Summary'!U16</f>
        <v>0</v>
      </c>
      <c r="V16" s="31" t="n">
        <f aca="false">ROUND(SUM(Q16:U16),0)</f>
        <v>-20860</v>
      </c>
      <c r="W16" s="34"/>
      <c r="X16" s="35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3.5" hidden="false" customHeight="true" outlineLevel="0" collapsed="false">
      <c r="A17" s="32" t="s">
        <v>29</v>
      </c>
      <c r="B17" s="33"/>
      <c r="C17" s="24" t="n">
        <f aca="false">+'Mgmt Summary'!C17+'[2]YTD Mgmt Summary'!C17</f>
        <v>60000</v>
      </c>
      <c r="D17" s="25" t="n">
        <f aca="false">+'Mgmt Summary'!D17+'[2]YTD Mgmt Summary'!D17</f>
        <v>10498.801</v>
      </c>
      <c r="E17" s="26" t="n">
        <f aca="false">C17-D17</f>
        <v>49501.199</v>
      </c>
      <c r="F17" s="25"/>
      <c r="G17" s="24" t="n">
        <f aca="false">+'Mgmt Summary'!G17+'[2]YTD Mgmt Summary'!G17</f>
        <v>376</v>
      </c>
      <c r="H17" s="25" t="n">
        <f aca="false">GrossMargin!J18</f>
        <v>0</v>
      </c>
      <c r="I17" s="25" t="n">
        <f aca="false">+'Mgmt Summary'!I17+'[2]YTD Mgmt Summary'!I17</f>
        <v>0</v>
      </c>
      <c r="J17" s="27" t="n">
        <f aca="false">SUM(G17:I17)</f>
        <v>376</v>
      </c>
      <c r="K17" s="28"/>
      <c r="L17" s="24"/>
      <c r="M17" s="25" t="n">
        <f aca="false">+'Mgmt Summary'!M17+'[2]YTD Mgmt Summary'!M17</f>
        <v>7561</v>
      </c>
      <c r="N17" s="25" t="n">
        <f aca="false">+'Mgmt Summary'!N17+'[2]YTD Mgmt Summary'!N17</f>
        <v>4777.801</v>
      </c>
      <c r="O17" s="27" t="n">
        <f aca="false">J17-K17-M17-N17-L17</f>
        <v>-11962.801</v>
      </c>
      <c r="P17" s="29"/>
      <c r="Q17" s="30" t="n">
        <f aca="false">+'Mgmt Summary'!Q17+'[2]YTD Mgmt Summary'!Q17</f>
        <v>-59624</v>
      </c>
      <c r="R17" s="29"/>
      <c r="S17" s="29"/>
      <c r="T17" s="29" t="n">
        <f aca="false">+'Mgmt Summary'!T17+'[2]YTD Mgmt Summary'!T17</f>
        <v>-1840</v>
      </c>
      <c r="U17" s="29" t="n">
        <f aca="false">+'Mgmt Summary'!U17+'[2]YTD Mgmt Summary'!U17</f>
        <v>0</v>
      </c>
      <c r="V17" s="31" t="n">
        <f aca="false">ROUND(SUM(Q17:U17),0)</f>
        <v>-61464</v>
      </c>
      <c r="W17" s="34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3.5" hidden="false" customHeight="true" outlineLevel="0" collapsed="false">
      <c r="A18" s="32" t="s">
        <v>30</v>
      </c>
      <c r="B18" s="33"/>
      <c r="C18" s="24" t="n">
        <f aca="false">+'[3]YTD Mgmt Summary'!C18</f>
        <v>1413</v>
      </c>
      <c r="D18" s="25" t="n">
        <f aca="false">+'[3]YTD Mgmt Summary'!D18</f>
        <v>1600.847</v>
      </c>
      <c r="E18" s="26" t="n">
        <f aca="false">C18-D18</f>
        <v>-187.847</v>
      </c>
      <c r="F18" s="25"/>
      <c r="G18" s="24" t="n">
        <f aca="false">+'[3]YTD Mgmt Summary'!G18</f>
        <v>0</v>
      </c>
      <c r="H18" s="25" t="n">
        <f aca="false">GrossMargin!J19</f>
        <v>0</v>
      </c>
      <c r="I18" s="25" t="n">
        <f aca="false">+'[3]YTD Mgmt Summary'!I18</f>
        <v>0</v>
      </c>
      <c r="J18" s="27" t="n">
        <f aca="false">SUM(G18:I18)</f>
        <v>0</v>
      </c>
      <c r="K18" s="28"/>
      <c r="L18" s="24"/>
      <c r="M18" s="25" t="n">
        <f aca="false">+'[3]YTD Mgmt Summary'!M18</f>
        <v>809.424</v>
      </c>
      <c r="N18" s="25" t="n">
        <f aca="false">+'[3]YTD Mgmt Summary'!N18</f>
        <v>791.423</v>
      </c>
      <c r="O18" s="27" t="n">
        <f aca="false">J18-K18-M18-N18-L18</f>
        <v>-1600.847</v>
      </c>
      <c r="P18" s="29"/>
      <c r="Q18" s="30" t="n">
        <f aca="false">+'[2]YTD Mgmt Summary'!Q18</f>
        <v>-1413</v>
      </c>
      <c r="R18" s="29"/>
      <c r="S18" s="29"/>
      <c r="T18" s="29" t="n">
        <f aca="false">+'[2]YTD Mgmt Summary'!T18</f>
        <v>0</v>
      </c>
      <c r="U18" s="29" t="n">
        <f aca="false">+'[2]YTD Mgmt Summary'!U18</f>
        <v>0</v>
      </c>
      <c r="V18" s="31" t="n">
        <f aca="false">ROUND(SUM(Q18:U18),0)</f>
        <v>-1413</v>
      </c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3.5" hidden="false" customHeight="true" outlineLevel="0" collapsed="false">
      <c r="A19" s="32" t="s">
        <v>31</v>
      </c>
      <c r="B19" s="33"/>
      <c r="C19" s="24" t="n">
        <f aca="false">+'Mgmt Summary'!C18+'[2]YTD Mgmt Summary'!C19</f>
        <v>513.998</v>
      </c>
      <c r="D19" s="25" t="n">
        <f aca="false">+'Mgmt Summary'!D18+'[2]YTD Mgmt Summary'!D19</f>
        <v>1717.412</v>
      </c>
      <c r="E19" s="26" t="n">
        <f aca="false">C19-D19</f>
        <v>-1203.414</v>
      </c>
      <c r="F19" s="25"/>
      <c r="G19" s="24" t="n">
        <f aca="false">+'Mgmt Summary'!G18+'[2]YTD Mgmt Summary'!G19</f>
        <v>0</v>
      </c>
      <c r="H19" s="25" t="n">
        <f aca="false">GrossMargin!J20</f>
        <v>0</v>
      </c>
      <c r="I19" s="25" t="n">
        <f aca="false">+'Mgmt Summary'!I18+'[2]YTD Mgmt Summary'!I19</f>
        <v>0</v>
      </c>
      <c r="J19" s="27" t="n">
        <f aca="false">SUM(G19:I19)</f>
        <v>0</v>
      </c>
      <c r="K19" s="28"/>
      <c r="L19" s="24"/>
      <c r="M19" s="25" t="n">
        <f aca="false">+'Mgmt Summary'!M18+'[2]YTD Mgmt Summary'!M19</f>
        <v>574.823</v>
      </c>
      <c r="N19" s="25" t="n">
        <f aca="false">+'Mgmt Summary'!N18+'[2]YTD Mgmt Summary'!N19</f>
        <v>1142.589</v>
      </c>
      <c r="O19" s="27" t="n">
        <f aca="false">J19-K19-M19-N19-L19</f>
        <v>-1717.412</v>
      </c>
      <c r="P19" s="29"/>
      <c r="Q19" s="30" t="n">
        <f aca="false">+'Mgmt Summary'!Q18+'[2]YTD Mgmt Summary'!Q19</f>
        <v>-513.998</v>
      </c>
      <c r="R19" s="29"/>
      <c r="S19" s="29"/>
      <c r="T19" s="29" t="n">
        <f aca="false">+'Mgmt Summary'!T18+'[2]YTD Mgmt Summary'!T19</f>
        <v>0</v>
      </c>
      <c r="U19" s="29" t="n">
        <f aca="false">+'Mgmt Summary'!U18+'[2]YTD Mgmt Summary'!U19</f>
        <v>0</v>
      </c>
      <c r="V19" s="31" t="n">
        <f aca="false">ROUND(SUM(Q19:U19),0)</f>
        <v>-514</v>
      </c>
      <c r="W19" s="34"/>
      <c r="X19" s="35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3.5" hidden="false" customHeight="true" outlineLevel="0" collapsed="false">
      <c r="A20" s="32" t="s">
        <v>32</v>
      </c>
      <c r="B20" s="33"/>
      <c r="C20" s="24" t="n">
        <f aca="false">+'Mgmt Summary'!C19+'[2]YTD Mgmt Summary'!C20</f>
        <v>7500</v>
      </c>
      <c r="D20" s="25" t="n">
        <f aca="false">+'Mgmt Summary'!D19+'[2]YTD Mgmt Summary'!D20</f>
        <v>6732.755</v>
      </c>
      <c r="E20" s="26" t="n">
        <f aca="false">C20-D20</f>
        <v>767.245</v>
      </c>
      <c r="F20" s="25"/>
      <c r="G20" s="24" t="n">
        <f aca="false">+'Mgmt Summary'!G19+'[2]YTD Mgmt Summary'!G20</f>
        <v>0</v>
      </c>
      <c r="H20" s="25" t="n">
        <f aca="false">GrossMargin!J21</f>
        <v>0</v>
      </c>
      <c r="I20" s="25" t="n">
        <f aca="false">+'Mgmt Summary'!I19+'[2]YTD Mgmt Summary'!I20</f>
        <v>0</v>
      </c>
      <c r="J20" s="27" t="n">
        <f aca="false">SUM(G20:I20)</f>
        <v>0</v>
      </c>
      <c r="K20" s="28"/>
      <c r="L20" s="24"/>
      <c r="M20" s="25" t="n">
        <f aca="false">+'Mgmt Summary'!M19+'[2]YTD Mgmt Summary'!M20</f>
        <v>4908.863</v>
      </c>
      <c r="N20" s="25" t="n">
        <f aca="false">+'Mgmt Summary'!N19+'[2]YTD Mgmt Summary'!N20</f>
        <v>1823.892</v>
      </c>
      <c r="O20" s="27" t="n">
        <f aca="false">J20-K20-M20-N20-L20</f>
        <v>-6732.755</v>
      </c>
      <c r="P20" s="29"/>
      <c r="Q20" s="30" t="n">
        <f aca="false">+'Mgmt Summary'!Q19+'[2]YTD Mgmt Summary'!Q20</f>
        <v>-7500</v>
      </c>
      <c r="R20" s="29"/>
      <c r="S20" s="29"/>
      <c r="T20" s="29" t="n">
        <f aca="false">+'Mgmt Summary'!T19+'[2]YTD Mgmt Summary'!T20</f>
        <v>0</v>
      </c>
      <c r="U20" s="29" t="n">
        <f aca="false">+'Mgmt Summary'!U19+'[2]YTD Mgmt Summary'!U20</f>
        <v>0</v>
      </c>
      <c r="V20" s="31" t="n">
        <f aca="false">ROUND(SUM(Q20:U20),0)</f>
        <v>-7500</v>
      </c>
      <c r="W20" s="34"/>
      <c r="X20" s="35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3.5" hidden="false" customHeight="true" outlineLevel="0" collapsed="false">
      <c r="A21" s="32" t="s">
        <v>33</v>
      </c>
      <c r="B21" s="33"/>
      <c r="C21" s="24"/>
      <c r="D21" s="25"/>
      <c r="E21" s="26"/>
      <c r="F21" s="25"/>
      <c r="G21" s="24"/>
      <c r="H21" s="25"/>
      <c r="I21" s="25"/>
      <c r="J21" s="27"/>
      <c r="K21" s="28"/>
      <c r="L21" s="24"/>
      <c r="M21" s="25"/>
      <c r="N21" s="25"/>
      <c r="O21" s="27"/>
      <c r="P21" s="29"/>
      <c r="Q21" s="30"/>
      <c r="R21" s="29"/>
      <c r="S21" s="29"/>
      <c r="T21" s="29"/>
      <c r="U21" s="29"/>
      <c r="V21" s="31"/>
      <c r="W21" s="34"/>
      <c r="X21" s="35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3.5" hidden="false" customHeight="true" outlineLevel="0" collapsed="false">
      <c r="A22" s="32" t="s">
        <v>34</v>
      </c>
      <c r="B22" s="33"/>
      <c r="C22" s="24" t="n">
        <f aca="false">+'Mgmt Summary'!C21+'[2]YTD Mgmt Summary'!C21</f>
        <v>0</v>
      </c>
      <c r="D22" s="25" t="n">
        <f aca="false">+'Mgmt Summary'!D21+'[2]YTD Mgmt Summary'!D21</f>
        <v>3082.581</v>
      </c>
      <c r="E22" s="26" t="n">
        <f aca="false">C22-D22</f>
        <v>-3082.581</v>
      </c>
      <c r="F22" s="25"/>
      <c r="G22" s="24" t="n">
        <f aca="false">+'Mgmt Summary'!G21+'[2]YTD Mgmt Summary'!G20</f>
        <v>0</v>
      </c>
      <c r="H22" s="25" t="n">
        <f aca="false">GrossMargin!J21</f>
        <v>0</v>
      </c>
      <c r="I22" s="25" t="n">
        <f aca="false">+'Mgmt Summary'!I21+'[2]YTD Mgmt Summary'!I20</f>
        <v>0</v>
      </c>
      <c r="J22" s="27" t="n">
        <f aca="false">SUM(G22:I22)</f>
        <v>0</v>
      </c>
      <c r="K22" s="28"/>
      <c r="L22" s="24"/>
      <c r="M22" s="25" t="n">
        <f aca="false">+'Mgmt Summary'!M21+'[2]YTD Mgmt Summary'!M21</f>
        <v>2799.769</v>
      </c>
      <c r="N22" s="25" t="n">
        <f aca="false">+'Mgmt Summary'!N21+'[2]YTD Mgmt Summary'!N21</f>
        <v>282.812</v>
      </c>
      <c r="O22" s="27" t="n">
        <f aca="false">J22-K22-M22-N22-L22</f>
        <v>-3082.581</v>
      </c>
      <c r="P22" s="29"/>
      <c r="Q22" s="30" t="n">
        <f aca="false">+'Mgmt Summary'!Q21+'[2]YTD Mgmt Summary'!Q21</f>
        <v>0</v>
      </c>
      <c r="R22" s="29"/>
      <c r="S22" s="29"/>
      <c r="T22" s="29" t="n">
        <f aca="false">+'Mgmt Summary'!T21+'[2]YTD Mgmt Summary'!T21</f>
        <v>0</v>
      </c>
      <c r="U22" s="29" t="n">
        <f aca="false">+'Mgmt Summary'!U21+'[2]YTD Mgmt Summary'!U21</f>
        <v>0</v>
      </c>
      <c r="V22" s="31" t="n">
        <f aca="false">ROUND(SUM(Q22:U22),0)</f>
        <v>0</v>
      </c>
      <c r="W22" s="34"/>
      <c r="X22" s="35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3.5" hidden="false" customHeight="true" outlineLevel="0" collapsed="false">
      <c r="A23" s="32" t="s">
        <v>35</v>
      </c>
      <c r="B23" s="33"/>
      <c r="C23" s="24" t="n">
        <f aca="false">+'Mgmt Summary'!C23+'[2]YTD Mgmt Summary'!C22</f>
        <v>0</v>
      </c>
      <c r="D23" s="25" t="n">
        <f aca="false">+'Mgmt Summary'!D23+'[2]YTD Mgmt Summary'!D22</f>
        <v>4042.423</v>
      </c>
      <c r="E23" s="26" t="n">
        <f aca="false">C23-D23</f>
        <v>-4042.423</v>
      </c>
      <c r="F23" s="25"/>
      <c r="G23" s="24" t="n">
        <f aca="false">+'Mgmt Summary'!G23+'[2]YTD Mgmt Summary'!G21</f>
        <v>0</v>
      </c>
      <c r="H23" s="25" t="n">
        <f aca="false">GrossMargin!J22</f>
        <v>0</v>
      </c>
      <c r="I23" s="25" t="n">
        <f aca="false">+'Mgmt Summary'!I23+'[2]YTD Mgmt Summary'!I21</f>
        <v>0</v>
      </c>
      <c r="J23" s="27" t="n">
        <f aca="false">SUM(G23:I23)</f>
        <v>0</v>
      </c>
      <c r="K23" s="28"/>
      <c r="L23" s="24"/>
      <c r="M23" s="25" t="n">
        <f aca="false">+'Mgmt Summary'!M23+'[2]YTD Mgmt Summary'!M22</f>
        <v>2144.979</v>
      </c>
      <c r="N23" s="25" t="n">
        <f aca="false">+'Mgmt Summary'!N23+'[2]YTD Mgmt Summary'!N22</f>
        <v>1897.444</v>
      </c>
      <c r="O23" s="27" t="n">
        <f aca="false">J23-K23-M23-N23-L23</f>
        <v>-4042.423</v>
      </c>
      <c r="P23" s="29"/>
      <c r="Q23" s="30" t="n">
        <f aca="false">+'Mgmt Summary'!Q23+'[2]YTD Mgmt Summary'!Q22</f>
        <v>0</v>
      </c>
      <c r="R23" s="29"/>
      <c r="S23" s="29"/>
      <c r="T23" s="29" t="n">
        <f aca="false">+'Mgmt Summary'!T23+'[2]YTD Mgmt Summary'!T22</f>
        <v>0</v>
      </c>
      <c r="U23" s="29" t="n">
        <f aca="false">+'Mgmt Summary'!U23+'[2]YTD Mgmt Summary'!U22</f>
        <v>0</v>
      </c>
      <c r="V23" s="31" t="n">
        <f aca="false">ROUND(SUM(Q23:U23),0)</f>
        <v>0</v>
      </c>
      <c r="W23" s="34"/>
      <c r="X23" s="35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3.5" hidden="false" customHeight="true" outlineLevel="0" collapsed="false">
      <c r="A24" s="32" t="s">
        <v>36</v>
      </c>
      <c r="B24" s="33"/>
      <c r="C24" s="24" t="n">
        <f aca="false">+'Mgmt Summary'!C24+'[2]YTD Mgmt Summary'!C23</f>
        <v>10332.795</v>
      </c>
      <c r="D24" s="25" t="n">
        <f aca="false">+'Mgmt Summary'!D24+'[2]YTD Mgmt Summary'!D23</f>
        <v>0</v>
      </c>
      <c r="E24" s="26" t="n">
        <f aca="false">C24-D24</f>
        <v>10332.795</v>
      </c>
      <c r="F24" s="25"/>
      <c r="G24" s="24" t="n">
        <f aca="false">+'Mgmt Summary'!G24+'[2]YTD Mgmt Summary'!G22</f>
        <v>0</v>
      </c>
      <c r="H24" s="25" t="n">
        <f aca="false">GrossMargin!J23</f>
        <v>0</v>
      </c>
      <c r="I24" s="25" t="n">
        <f aca="false">+'Mgmt Summary'!I24+'[2]YTD Mgmt Summary'!I22</f>
        <v>0</v>
      </c>
      <c r="J24" s="27" t="n">
        <f aca="false">SUM(G24:I24)</f>
        <v>0</v>
      </c>
      <c r="K24" s="28"/>
      <c r="L24" s="24"/>
      <c r="M24" s="25" t="n">
        <f aca="false">+'Mgmt Summary'!M24+'[2]YTD Mgmt Summary'!M23</f>
        <v>0</v>
      </c>
      <c r="N24" s="25" t="n">
        <f aca="false">+'Mgmt Summary'!N24+'[2]YTD Mgmt Summary'!N23</f>
        <v>0</v>
      </c>
      <c r="O24" s="27" t="n">
        <f aca="false">J24-K24-M24-N24-L24</f>
        <v>0</v>
      </c>
      <c r="P24" s="29"/>
      <c r="Q24" s="30" t="n">
        <f aca="false">+'Mgmt Summary'!Q24+'[2]YTD Mgmt Summary'!Q23</f>
        <v>-10332.795</v>
      </c>
      <c r="R24" s="29"/>
      <c r="S24" s="29"/>
      <c r="T24" s="29" t="n">
        <f aca="false">+'Mgmt Summary'!T24+'[2]YTD Mgmt Summary'!T23</f>
        <v>0</v>
      </c>
      <c r="U24" s="29" t="n">
        <f aca="false">+'Mgmt Summary'!U24+'[2]YTD Mgmt Summary'!U23</f>
        <v>0</v>
      </c>
      <c r="V24" s="31" t="n">
        <f aca="false">ROUND(SUM(Q24:U24),0)</f>
        <v>-10333</v>
      </c>
      <c r="W24" s="34"/>
      <c r="X24" s="35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3" hidden="false" customHeight="true" outlineLevel="0" collapsed="false">
      <c r="A25" s="10"/>
      <c r="B25" s="23"/>
      <c r="C25" s="24"/>
      <c r="D25" s="25"/>
      <c r="E25" s="26"/>
      <c r="F25" s="25"/>
      <c r="G25" s="24"/>
      <c r="H25" s="25"/>
      <c r="I25" s="25"/>
      <c r="J25" s="27"/>
      <c r="K25" s="28"/>
      <c r="L25" s="37"/>
      <c r="M25" s="25"/>
      <c r="N25" s="25"/>
      <c r="O25" s="27"/>
      <c r="P25" s="29"/>
      <c r="Q25" s="30"/>
      <c r="R25" s="29"/>
      <c r="S25" s="29"/>
      <c r="T25" s="29"/>
      <c r="U25" s="29"/>
      <c r="V25" s="31"/>
      <c r="W25" s="22"/>
    </row>
    <row r="26" customFormat="false" ht="12" hidden="false" customHeight="true" outlineLevel="0" collapsed="false">
      <c r="A26" s="38" t="s">
        <v>37</v>
      </c>
      <c r="B26" s="23"/>
      <c r="C26" s="39" t="n">
        <f aca="false">SUM(C9:C25)</f>
        <v>503126.295</v>
      </c>
      <c r="D26" s="40" t="n">
        <f aca="false">SUM(D9:D25)</f>
        <v>201359.132</v>
      </c>
      <c r="E26" s="41" t="n">
        <f aca="false">SUM(E9:E25)</f>
        <v>301767.163</v>
      </c>
      <c r="F26" s="25"/>
      <c r="G26" s="39" t="n">
        <f aca="false">SUM(G9:G25)</f>
        <v>-292.031</v>
      </c>
      <c r="H26" s="40" t="n">
        <f aca="false">SUM(H9:H25)</f>
        <v>0</v>
      </c>
      <c r="I26" s="40" t="n">
        <f aca="false">SUM(I9:I25)</f>
        <v>0</v>
      </c>
      <c r="J26" s="42" t="n">
        <f aca="false">SUM(J9:J25)</f>
        <v>-292.031</v>
      </c>
      <c r="K26" s="40" t="n">
        <f aca="false">SUM(K9:K25)</f>
        <v>0</v>
      </c>
      <c r="L26" s="39" t="n">
        <f aca="false">SUM(L9:L25)</f>
        <v>0</v>
      </c>
      <c r="M26" s="40" t="n">
        <f aca="false">SUM(M9:M25)</f>
        <v>113916.188</v>
      </c>
      <c r="N26" s="40" t="n">
        <f aca="false">SUM(N9:N25)</f>
        <v>89582.944</v>
      </c>
      <c r="O26" s="42" t="n">
        <f aca="false">SUM(O9:O25)</f>
        <v>-203791.163</v>
      </c>
      <c r="P26" s="29"/>
      <c r="Q26" s="43" t="n">
        <f aca="false">SUM(Q9:Q25)</f>
        <v>-503418.326</v>
      </c>
      <c r="R26" s="44" t="n">
        <f aca="false">SUM(R9:R25)</f>
        <v>0</v>
      </c>
      <c r="S26" s="44" t="n">
        <f aca="false">SUM(S9:S25)</f>
        <v>0</v>
      </c>
      <c r="T26" s="44" t="n">
        <f aca="false">SUM(T9:T25)</f>
        <v>-2140</v>
      </c>
      <c r="U26" s="44" t="n">
        <f aca="false">SUM(U9:U25)</f>
        <v>0</v>
      </c>
      <c r="V26" s="45" t="n">
        <f aca="false">SUM(V9:V25)</f>
        <v>-505559</v>
      </c>
      <c r="W26" s="2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" hidden="false" customHeight="true" outlineLevel="0" collapsed="false">
      <c r="A27" s="10"/>
      <c r="B27" s="23"/>
      <c r="C27" s="24"/>
      <c r="D27" s="25"/>
      <c r="E27" s="26"/>
      <c r="F27" s="25"/>
      <c r="G27" s="24"/>
      <c r="H27" s="25"/>
      <c r="I27" s="25"/>
      <c r="J27" s="27"/>
      <c r="K27" s="28"/>
      <c r="L27" s="37"/>
      <c r="M27" s="25"/>
      <c r="N27" s="25"/>
      <c r="O27" s="27"/>
      <c r="P27" s="29"/>
      <c r="Q27" s="30"/>
      <c r="R27" s="29"/>
      <c r="S27" s="29"/>
      <c r="T27" s="29"/>
      <c r="U27" s="29"/>
      <c r="V27" s="31"/>
      <c r="W27" s="22"/>
    </row>
    <row r="28" customFormat="false" ht="13.5" hidden="false" customHeight="true" outlineLevel="0" collapsed="false">
      <c r="A28" s="32" t="s">
        <v>38</v>
      </c>
      <c r="B28" s="33"/>
      <c r="C28" s="24" t="n">
        <f aca="false">+'Mgmt Summary'!C28+'[2]YTD Mgmt Summary'!$C$27</f>
        <v>0</v>
      </c>
      <c r="D28" s="25" t="n">
        <f aca="false">+'Mgmt Summary'!D28+'[2]YTD Mgmt Summary'!D27</f>
        <v>126940.562</v>
      </c>
      <c r="E28" s="26" t="n">
        <f aca="false">C28-D28</f>
        <v>-126940.562</v>
      </c>
      <c r="F28" s="25"/>
      <c r="G28" s="24" t="n">
        <f aca="false">+'Mgmt Summary'!G28+'[2]YTD Mgmt Summary'!G26</f>
        <v>0</v>
      </c>
      <c r="H28" s="25" t="n">
        <f aca="false">GrossMargin!J30</f>
        <v>0</v>
      </c>
      <c r="I28" s="25" t="n">
        <f aca="false">+'Mgmt Summary'!I28+'[2]YTD Mgmt Summary'!I26</f>
        <v>0</v>
      </c>
      <c r="J28" s="27" t="n">
        <f aca="false">SUM(G28:I28)</f>
        <v>0</v>
      </c>
      <c r="K28" s="28"/>
      <c r="L28" s="24"/>
      <c r="M28" s="25" t="n">
        <f aca="false">+'Mgmt Summary'!M28+'[2]YTD Mgmt Summary'!M27</f>
        <v>126940.562</v>
      </c>
      <c r="N28" s="25" t="n">
        <f aca="false">+'Mgmt Summary'!N28+'[2]YTD Mgmt Summary'!N27</f>
        <v>0</v>
      </c>
      <c r="O28" s="27" t="n">
        <f aca="false">J28-K28-M28-N28-L28</f>
        <v>-126940.562</v>
      </c>
      <c r="P28" s="29"/>
      <c r="Q28" s="30" t="n">
        <f aca="false">+'Mgmt Summary'!Q28+'[2]YTD Mgmt Summary'!Q27</f>
        <v>0</v>
      </c>
      <c r="R28" s="29"/>
      <c r="S28" s="29"/>
      <c r="T28" s="29" t="n">
        <f aca="false">+'Mgmt Summary'!T28+'[4]YTD Mgmt Summary'!T22</f>
        <v>0</v>
      </c>
      <c r="U28" s="29" t="n">
        <f aca="false">+'Mgmt Summary'!U28+'[4]YTD Mgmt Summary'!U22</f>
        <v>0</v>
      </c>
      <c r="V28" s="31" t="n">
        <f aca="false">ROUND(SUM(Q28:U28),0)</f>
        <v>0</v>
      </c>
      <c r="W28" s="34"/>
      <c r="X28" s="35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3.5" hidden="false" customHeight="true" outlineLevel="0" collapsed="false">
      <c r="A29" s="32" t="s">
        <v>39</v>
      </c>
      <c r="B29" s="33"/>
      <c r="C29" s="24" t="n">
        <f aca="false">+'Mgmt Summary'!C29+'[2]YTD Mgmt Summary'!C28</f>
        <v>0</v>
      </c>
      <c r="D29" s="25" t="n">
        <f aca="false">+'Mgmt Summary'!D29+'[2]YTD Mgmt Summary'!D28</f>
        <v>-89582.944</v>
      </c>
      <c r="E29" s="26" t="n">
        <f aca="false">C29-D29</f>
        <v>89582.944</v>
      </c>
      <c r="F29" s="25"/>
      <c r="G29" s="24" t="n">
        <f aca="false">+'Mgmt Summary'!G29+'[2]YTD Mgmt Summary'!G27</f>
        <v>0</v>
      </c>
      <c r="H29" s="25" t="n">
        <f aca="false">GrossMargin!J31</f>
        <v>0</v>
      </c>
      <c r="I29" s="25" t="n">
        <f aca="false">+'Mgmt Summary'!I29+'[2]YTD Mgmt Summary'!I27</f>
        <v>0</v>
      </c>
      <c r="J29" s="27" t="n">
        <f aca="false">SUM(G29:I29)</f>
        <v>0</v>
      </c>
      <c r="K29" s="28"/>
      <c r="L29" s="24"/>
      <c r="M29" s="25" t="n">
        <f aca="false">+'Mgmt Summary'!M29+'[2]YTD Mgmt Summary'!M28</f>
        <v>0</v>
      </c>
      <c r="N29" s="25" t="n">
        <f aca="false">+'Mgmt Summary'!N29+'[2]YTD Mgmt Summary'!N28</f>
        <v>-89582.944</v>
      </c>
      <c r="O29" s="27" t="n">
        <f aca="false">J29-K29-M29-N29-L29</f>
        <v>89582.944</v>
      </c>
      <c r="P29" s="29"/>
      <c r="Q29" s="30" t="n">
        <f aca="false">+'Mgmt Summary'!Q29+'[2]YTD Mgmt Summary'!Q28</f>
        <v>0</v>
      </c>
      <c r="R29" s="29"/>
      <c r="S29" s="29"/>
      <c r="T29" s="29" t="n">
        <f aca="false">+'Mgmt Summary'!T29+'[4]YTD Mgmt Summary'!T23</f>
        <v>0</v>
      </c>
      <c r="U29" s="29" t="n">
        <f aca="false">+'Mgmt Summary'!U29+'[4]YTD Mgmt Summary'!U23</f>
        <v>0</v>
      </c>
      <c r="V29" s="31" t="n">
        <f aca="false">ROUND(SUM(Q29:U29),0)</f>
        <v>0</v>
      </c>
      <c r="W29" s="34"/>
      <c r="X29" s="35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3.5" hidden="true" customHeight="true" outlineLevel="0" collapsed="false">
      <c r="A30" s="32" t="s">
        <v>40</v>
      </c>
      <c r="B30" s="33"/>
      <c r="C30" s="24" t="n">
        <f aca="false">+'Mgmt Summary'!C30+'[2]YTD Mgmt Summary'!C28</f>
        <v>0</v>
      </c>
      <c r="D30" s="25" t="n">
        <f aca="false">+'Mgmt Summary'!D30+'[2]YTD Mgmt Summary'!D29</f>
        <v>0</v>
      </c>
      <c r="E30" s="26" t="n">
        <f aca="false">C30-D30</f>
        <v>0</v>
      </c>
      <c r="F30" s="25"/>
      <c r="G30" s="24" t="n">
        <f aca="false">+'Mgmt Summary'!G30+'[2]YTD Mgmt Summary'!G28</f>
        <v>0</v>
      </c>
      <c r="H30" s="25" t="n">
        <f aca="false">GrossMargin!J32</f>
        <v>0</v>
      </c>
      <c r="I30" s="25" t="n">
        <f aca="false">+'Mgmt Summary'!I30+'[2]YTD Mgmt Summary'!I28</f>
        <v>0</v>
      </c>
      <c r="J30" s="27" t="n">
        <f aca="false">SUM(G30:I30)</f>
        <v>0</v>
      </c>
      <c r="K30" s="28"/>
      <c r="L30" s="24"/>
      <c r="M30" s="25" t="n">
        <f aca="false">+'Mgmt Summary'!M30+'[2]YTD Mgmt Summary'!M28</f>
        <v>0</v>
      </c>
      <c r="N30" s="25" t="n">
        <f aca="false">+'Mgmt Summary'!N30+'[2]YTD Mgmt Summary'!N28</f>
        <v>-66390.846</v>
      </c>
      <c r="O30" s="27" t="n">
        <f aca="false">J30-K30-M30-N30-L30</f>
        <v>66390.846</v>
      </c>
      <c r="P30" s="29"/>
      <c r="Q30" s="30" t="n">
        <f aca="false">+'Mgmt Summary'!Q30+'[2]YTD Mgmt Summary'!Q28</f>
        <v>0</v>
      </c>
      <c r="R30" s="29"/>
      <c r="S30" s="29"/>
      <c r="T30" s="29" t="n">
        <f aca="false">+'Mgmt Summary'!T30+'[4]YTD Mgmt Summary'!T24</f>
        <v>0</v>
      </c>
      <c r="U30" s="29" t="n">
        <f aca="false">+'Mgmt Summary'!U30+'[4]YTD Mgmt Summary'!U24</f>
        <v>0</v>
      </c>
      <c r="V30" s="31" t="n">
        <f aca="false">ROUND(SUM(Q30:U30),0)</f>
        <v>0</v>
      </c>
      <c r="W30" s="34"/>
      <c r="X30" s="35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3.5" hidden="true" customHeight="true" outlineLevel="0" collapsed="false">
      <c r="A31" s="10" t="s">
        <v>41</v>
      </c>
      <c r="B31" s="23"/>
      <c r="C31" s="24" t="n">
        <f aca="false">+'Mgmt Summary'!C31+'[4]YTD Mgmt Summary'!C27</f>
        <v>0</v>
      </c>
      <c r="D31" s="25" t="n">
        <f aca="false">+'Mgmt Summary'!D31+'[4]YTD Mgmt Summary'!D27</f>
        <v>0</v>
      </c>
      <c r="E31" s="26" t="n">
        <f aca="false">C31-D31</f>
        <v>0</v>
      </c>
      <c r="F31" s="25"/>
      <c r="G31" s="24" t="n">
        <f aca="false">+'Mgmt Summary'!G31+'[4]YTD Mgmt Summary'!G27</f>
        <v>0</v>
      </c>
      <c r="H31" s="25" t="n">
        <f aca="false">GrossMargin!J32</f>
        <v>0</v>
      </c>
      <c r="I31" s="25" t="n">
        <f aca="false">+'Mgmt Summary'!I31+'[4]YTD Mgmt Summary'!I27</f>
        <v>0</v>
      </c>
      <c r="J31" s="27" t="n">
        <f aca="false">SUM(G31:I31)</f>
        <v>0</v>
      </c>
      <c r="K31" s="28"/>
      <c r="L31" s="24" t="n">
        <f aca="false">+'Mgmt Summary'!L31+'[4]YTD Mgmt Summary'!L27</f>
        <v>0</v>
      </c>
      <c r="M31" s="25" t="n">
        <f aca="false">+'Mgmt Summary'!M31+'[4]YTD Mgmt Summary'!M27</f>
        <v>0</v>
      </c>
      <c r="N31" s="25" t="n">
        <f aca="false">+'Mgmt Summary'!N31+'[4]YTD Mgmt Summary'!N27</f>
        <v>0</v>
      </c>
      <c r="O31" s="27" t="n">
        <f aca="false">J31-K31-M31-N31-L31</f>
        <v>0</v>
      </c>
      <c r="P31" s="29"/>
      <c r="Q31" s="30" t="n">
        <f aca="false">+'Mgmt Summary'!Q31+'[4]YTD Mgmt Summary'!Q27</f>
        <v>0</v>
      </c>
      <c r="R31" s="29"/>
      <c r="S31" s="29" t="n">
        <f aca="false">+'Mgmt Summary'!S31+'[4]YTD Mgmt Summary'!S33</f>
        <v>0</v>
      </c>
      <c r="T31" s="29" t="n">
        <f aca="false">+'Mgmt Summary'!T31+'[4]YTD Mgmt Summary'!T33</f>
        <v>0</v>
      </c>
      <c r="U31" s="29" t="n">
        <f aca="false">+'Mgmt Summary'!U31+'[4]YTD Mgmt Summary'!U33</f>
        <v>0</v>
      </c>
      <c r="V31" s="31" t="n">
        <f aca="false">ROUND(SUM(Q31:U31),0)</f>
        <v>0</v>
      </c>
      <c r="W31" s="22"/>
    </row>
    <row r="32" customFormat="false" ht="3" hidden="false" customHeight="true" outlineLevel="0" collapsed="false">
      <c r="A32" s="10"/>
      <c r="B32" s="23"/>
      <c r="C32" s="24"/>
      <c r="D32" s="25"/>
      <c r="E32" s="26"/>
      <c r="F32" s="25"/>
      <c r="G32" s="24"/>
      <c r="H32" s="25"/>
      <c r="I32" s="25"/>
      <c r="J32" s="27"/>
      <c r="K32" s="28"/>
      <c r="L32" s="37"/>
      <c r="M32" s="25"/>
      <c r="N32" s="25"/>
      <c r="O32" s="27"/>
      <c r="P32" s="29"/>
      <c r="Q32" s="30"/>
      <c r="R32" s="29"/>
      <c r="S32" s="29"/>
      <c r="T32" s="29"/>
      <c r="U32" s="29"/>
      <c r="V32" s="31" t="n">
        <f aca="false">ROUND(SUM(Q32:U32),0)</f>
        <v>0</v>
      </c>
      <c r="W32" s="22"/>
    </row>
    <row r="33" customFormat="false" ht="12" hidden="false" customHeight="true" outlineLevel="0" collapsed="false">
      <c r="A33" s="38" t="s">
        <v>42</v>
      </c>
      <c r="B33" s="23"/>
      <c r="C33" s="39" t="n">
        <f aca="false">SUM(C26:C32)</f>
        <v>503126.295</v>
      </c>
      <c r="D33" s="40" t="n">
        <f aca="false">SUM(D26:D32)</f>
        <v>238716.75</v>
      </c>
      <c r="E33" s="41" t="n">
        <f aca="false">SUM(E26:E32)</f>
        <v>264409.545</v>
      </c>
      <c r="F33" s="25"/>
      <c r="G33" s="39" t="n">
        <f aca="false">SUM(G26:G32)</f>
        <v>-292.031</v>
      </c>
      <c r="H33" s="40" t="n">
        <f aca="false">SUM(H26:H32)</f>
        <v>0</v>
      </c>
      <c r="I33" s="40" t="n">
        <f aca="false">SUM(I26:I32)</f>
        <v>0</v>
      </c>
      <c r="J33" s="42" t="n">
        <f aca="false">SUM(J26:J32)</f>
        <v>-292.031</v>
      </c>
      <c r="K33" s="40" t="n">
        <f aca="false">SUM(K26:K32)</f>
        <v>0</v>
      </c>
      <c r="L33" s="39" t="n">
        <f aca="false">SUM(L26:L32)</f>
        <v>0</v>
      </c>
      <c r="M33" s="40" t="n">
        <f aca="false">SUM(M26:M32)</f>
        <v>240856.75</v>
      </c>
      <c r="N33" s="40" t="n">
        <f aca="false">SUM(N26:N32)</f>
        <v>-66390.846</v>
      </c>
      <c r="O33" s="42" t="n">
        <f aca="false">J33-K33-M33-N33-L33</f>
        <v>-174757.935</v>
      </c>
      <c r="P33" s="29"/>
      <c r="Q33" s="43" t="n">
        <f aca="false">SUM(Q26:Q32)</f>
        <v>-503418.326</v>
      </c>
      <c r="R33" s="44" t="n">
        <f aca="false">SUM(R26:R32)</f>
        <v>0</v>
      </c>
      <c r="S33" s="44" t="n">
        <f aca="false">SUM(S26:S32)</f>
        <v>0</v>
      </c>
      <c r="T33" s="44" t="n">
        <f aca="false">SUM(T26:T32)</f>
        <v>-2140</v>
      </c>
      <c r="U33" s="44" t="n">
        <f aca="false">SUM(U26:U32)</f>
        <v>0</v>
      </c>
      <c r="V33" s="45" t="n">
        <f aca="false">SUM(V26:V32)</f>
        <v>-505559</v>
      </c>
      <c r="W33" s="2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3" hidden="false" customHeight="true" outlineLevel="0" collapsed="false">
      <c r="A34" s="10"/>
      <c r="B34" s="23"/>
      <c r="C34" s="24"/>
      <c r="D34" s="25"/>
      <c r="E34" s="26"/>
      <c r="F34" s="25"/>
      <c r="G34" s="24" t="s">
        <v>43</v>
      </c>
      <c r="H34" s="25"/>
      <c r="I34" s="25"/>
      <c r="J34" s="27"/>
      <c r="K34" s="28"/>
      <c r="L34" s="37"/>
      <c r="M34" s="25" t="s">
        <v>44</v>
      </c>
      <c r="N34" s="25"/>
      <c r="O34" s="27"/>
      <c r="P34" s="29"/>
      <c r="Q34" s="30"/>
      <c r="R34" s="29"/>
      <c r="S34" s="29"/>
      <c r="T34" s="29"/>
      <c r="U34" s="29"/>
      <c r="V34" s="31"/>
      <c r="W34" s="22"/>
    </row>
    <row r="35" customFormat="false" ht="12" hidden="false" customHeight="true" outlineLevel="0" collapsed="false">
      <c r="A35" s="10" t="s">
        <v>45</v>
      </c>
      <c r="B35" s="23"/>
      <c r="C35" s="24" t="n">
        <f aca="false">+'Mgmt Summary'!C35+'[2]YTD Mgmt Summary'!C34</f>
        <v>0</v>
      </c>
      <c r="D35" s="25" t="n">
        <f aca="false">+'Mgmt Summary'!D35+'[2]YTD Mgmt Summary'!D34</f>
        <v>26900</v>
      </c>
      <c r="E35" s="26" t="n">
        <f aca="false">C35-D35</f>
        <v>-26900</v>
      </c>
      <c r="F35" s="25"/>
      <c r="G35" s="24" t="n">
        <f aca="false">+'Mgmt Summary'!G35+'[2]YTD Mgmt Summary'!G33</f>
        <v>0</v>
      </c>
      <c r="H35" s="25" t="n">
        <f aca="false">GrossMargin!J37</f>
        <v>0</v>
      </c>
      <c r="I35" s="25" t="n">
        <f aca="false">+'Mgmt Summary'!I35+'[2]YTD Mgmt Summary'!I33</f>
        <v>0</v>
      </c>
      <c r="J35" s="27" t="n">
        <f aca="false">SUM(G35:I35)</f>
        <v>0</v>
      </c>
      <c r="K35" s="28"/>
      <c r="L35" s="24"/>
      <c r="M35" s="25" t="n">
        <f aca="false">+'Mgmt Summary'!M35+'[2]YTD Mgmt Summary'!M34</f>
        <v>26900</v>
      </c>
      <c r="N35" s="25" t="n">
        <f aca="false">+'Mgmt Summary'!N35+'[2]YTD Mgmt Summary'!N34</f>
        <v>0</v>
      </c>
      <c r="O35" s="27" t="n">
        <f aca="false">J35-K35-M35-N35-L35</f>
        <v>-26900</v>
      </c>
      <c r="P35" s="29"/>
      <c r="Q35" s="30" t="n">
        <f aca="false">+'Mgmt Summary'!Q35+'[2]YTD Mgmt Summary'!Q34</f>
        <v>0</v>
      </c>
      <c r="R35" s="29"/>
      <c r="S35" s="29"/>
      <c r="T35" s="29" t="n">
        <f aca="false">+'Mgmt Summary'!T35+'[4]YTD Mgmt Summary'!T29</f>
        <v>0</v>
      </c>
      <c r="U35" s="29" t="n">
        <f aca="false">+'Mgmt Summary'!U35+'[4]YTD Mgmt Summary'!U29</f>
        <v>0</v>
      </c>
      <c r="V35" s="31" t="n">
        <f aca="false">ROUND(SUM(Q35:U35),0)</f>
        <v>0</v>
      </c>
      <c r="W35" s="22"/>
    </row>
    <row r="36" customFormat="false" ht="3" hidden="false" customHeight="true" outlineLevel="0" collapsed="false">
      <c r="A36" s="10"/>
      <c r="B36" s="23"/>
      <c r="C36" s="24"/>
      <c r="D36" s="25"/>
      <c r="E36" s="26"/>
      <c r="F36" s="25"/>
      <c r="G36" s="24"/>
      <c r="H36" s="25"/>
      <c r="I36" s="25"/>
      <c r="J36" s="27"/>
      <c r="K36" s="28"/>
      <c r="L36" s="37"/>
      <c r="M36" s="25"/>
      <c r="N36" s="25"/>
      <c r="O36" s="27"/>
      <c r="P36" s="29"/>
      <c r="Q36" s="30"/>
      <c r="R36" s="29"/>
      <c r="S36" s="29"/>
      <c r="T36" s="29"/>
      <c r="U36" s="29"/>
      <c r="V36" s="31"/>
      <c r="W36" s="22"/>
    </row>
    <row r="37" customFormat="false" ht="12" hidden="false" customHeight="true" outlineLevel="0" collapsed="false">
      <c r="A37" s="38" t="s">
        <v>46</v>
      </c>
      <c r="B37" s="23"/>
      <c r="C37" s="46" t="n">
        <f aca="false">SUM(C33:C35)</f>
        <v>503126.295</v>
      </c>
      <c r="D37" s="47" t="n">
        <f aca="false">SUM(D33:D35)</f>
        <v>265616.75</v>
      </c>
      <c r="E37" s="48" t="n">
        <f aca="false">SUM(E33:E35)</f>
        <v>237509.545</v>
      </c>
      <c r="F37" s="25"/>
      <c r="G37" s="46" t="n">
        <f aca="false">SUM(G33:G35)</f>
        <v>-292.031</v>
      </c>
      <c r="H37" s="47" t="n">
        <f aca="false">SUM(H33:H35)</f>
        <v>0</v>
      </c>
      <c r="I37" s="47" t="n">
        <f aca="false">SUM(I33:I35)</f>
        <v>0</v>
      </c>
      <c r="J37" s="49" t="n">
        <f aca="false">SUM(J33:J35)</f>
        <v>-292.031</v>
      </c>
      <c r="K37" s="47" t="n">
        <f aca="false">SUM(K33:K35)</f>
        <v>0</v>
      </c>
      <c r="L37" s="46" t="n">
        <f aca="false">SUM(L33:L35)</f>
        <v>0</v>
      </c>
      <c r="M37" s="47" t="n">
        <f aca="false">SUM(M33:M35)</f>
        <v>267756.75</v>
      </c>
      <c r="N37" s="47" t="n">
        <f aca="false">SUM(N33:N35)</f>
        <v>-66390.846</v>
      </c>
      <c r="O37" s="49" t="n">
        <f aca="false">J37-K37-M37-N37-L37</f>
        <v>-201657.935</v>
      </c>
      <c r="P37" s="29"/>
      <c r="Q37" s="50" t="n">
        <f aca="false">SUM(Q33:Q35)</f>
        <v>-503418.326</v>
      </c>
      <c r="R37" s="51" t="n">
        <f aca="false">SUM(R33:R35)</f>
        <v>0</v>
      </c>
      <c r="S37" s="51" t="n">
        <f aca="false">SUM(S33:S35)</f>
        <v>0</v>
      </c>
      <c r="T37" s="51" t="n">
        <f aca="false">SUM(T33:T35)</f>
        <v>-2140</v>
      </c>
      <c r="U37" s="51" t="n">
        <f aca="false">SUM(U33:U35)</f>
        <v>0</v>
      </c>
      <c r="V37" s="52" t="n">
        <f aca="false">SUM(V33:V35)</f>
        <v>-505559</v>
      </c>
      <c r="W37" s="22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3" hidden="false" customHeight="true" outlineLevel="0" collapsed="false">
      <c r="A38" s="53"/>
      <c r="B38" s="54"/>
      <c r="C38" s="55"/>
      <c r="D38" s="56"/>
      <c r="E38" s="57"/>
      <c r="F38" s="58"/>
      <c r="G38" s="59"/>
      <c r="H38" s="60"/>
      <c r="I38" s="60"/>
      <c r="J38" s="53"/>
      <c r="K38" s="60"/>
      <c r="L38" s="59"/>
      <c r="M38" s="60"/>
      <c r="N38" s="60"/>
      <c r="O38" s="53"/>
      <c r="P38" s="61"/>
      <c r="Q38" s="59"/>
      <c r="R38" s="60"/>
      <c r="S38" s="60"/>
      <c r="T38" s="60"/>
      <c r="U38" s="60"/>
      <c r="V38" s="62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3.5" hidden="true" customHeight="false" outlineLevel="0" collapsed="false">
      <c r="A39" s="63"/>
      <c r="C39" s="64"/>
      <c r="D39" s="58"/>
      <c r="E39" s="63" t="s">
        <v>47</v>
      </c>
      <c r="F39" s="58"/>
      <c r="G39" s="65" t="n">
        <f aca="false">+'GM-WeeklyChnge'!C48</f>
        <v>0</v>
      </c>
    </row>
    <row r="40" customFormat="false" ht="6" hidden="false" customHeight="true" outlineLevel="0" collapsed="false">
      <c r="C40" s="58"/>
      <c r="D40" s="58"/>
      <c r="E40" s="58"/>
      <c r="F40" s="58"/>
    </row>
    <row r="41" customFormat="false" ht="12.75" hidden="false" customHeight="false" outlineLevel="0" collapsed="false">
      <c r="A41" s="66" t="s">
        <v>48</v>
      </c>
      <c r="C41" s="58"/>
      <c r="D41" s="58"/>
      <c r="E41" s="58"/>
      <c r="F41" s="58"/>
      <c r="M41" s="67"/>
      <c r="T41" s="67"/>
    </row>
    <row r="42" customFormat="false" ht="12.75" hidden="false" customHeight="false" outlineLevel="0" collapsed="false">
      <c r="C42" s="58"/>
      <c r="D42" s="58"/>
      <c r="E42" s="58"/>
      <c r="F42" s="58"/>
      <c r="G42" s="67"/>
    </row>
    <row r="43" customFormat="false" ht="12.75" hidden="false" customHeight="false" outlineLevel="0" collapsed="false">
      <c r="C43" s="58"/>
      <c r="D43" s="58"/>
      <c r="E43" s="58"/>
      <c r="F43" s="58"/>
      <c r="V43" s="67"/>
    </row>
    <row r="44" customFormat="false" ht="12.75" hidden="false" customHeight="false" outlineLevel="0" collapsed="false">
      <c r="C44" s="58"/>
      <c r="D44" s="58"/>
      <c r="E44" s="58"/>
      <c r="F44" s="58"/>
    </row>
    <row r="45" customFormat="false" ht="12.75" hidden="false" customHeight="false" outlineLevel="0" collapsed="false">
      <c r="C45" s="58"/>
      <c r="D45" s="58"/>
      <c r="E45" s="58"/>
      <c r="F45" s="58"/>
    </row>
    <row r="46" customFormat="false" ht="12.75" hidden="false" customHeight="false" outlineLevel="0" collapsed="false">
      <c r="C46" s="58"/>
      <c r="D46" s="58"/>
      <c r="E46" s="58"/>
      <c r="F46" s="58"/>
    </row>
    <row r="47" customFormat="false" ht="12.75" hidden="false" customHeight="false" outlineLevel="0" collapsed="false">
      <c r="C47" s="58"/>
      <c r="D47" s="58"/>
      <c r="E47" s="58"/>
      <c r="F47" s="58"/>
    </row>
    <row r="48" customFormat="false" ht="12.75" hidden="false" customHeight="false" outlineLevel="0" collapsed="false">
      <c r="C48" s="58"/>
      <c r="D48" s="58"/>
      <c r="E48" s="58"/>
      <c r="F48" s="58"/>
    </row>
    <row r="49" customFormat="false" ht="12.75" hidden="false" customHeight="false" outlineLevel="0" collapsed="false">
      <c r="C49" s="58"/>
      <c r="D49" s="58"/>
      <c r="E49" s="58"/>
    </row>
    <row r="50" customFormat="false" ht="12.75" hidden="false" customHeight="false" outlineLevel="0" collapsed="false">
      <c r="C50" s="58"/>
      <c r="D50" s="58"/>
      <c r="E50" s="58"/>
    </row>
    <row r="51" customFormat="false" ht="12.75" hidden="false" customHeight="false" outlineLevel="0" collapsed="false">
      <c r="C51" s="58"/>
      <c r="D51" s="58"/>
      <c r="E51" s="58"/>
    </row>
    <row r="52" customFormat="false" ht="12.75" hidden="false" customHeight="false" outlineLevel="0" collapsed="false">
      <c r="C52" s="58"/>
      <c r="D52" s="58"/>
      <c r="E52" s="58"/>
    </row>
    <row r="53" customFormat="false" ht="12.75" hidden="false" customHeight="false" outlineLevel="0" collapsed="false">
      <c r="C53" s="58"/>
      <c r="D53" s="58"/>
      <c r="E53" s="58"/>
    </row>
    <row r="54" customFormat="false" ht="12.75" hidden="false" customHeight="false" outlineLevel="0" collapsed="false">
      <c r="C54" s="58"/>
      <c r="D54" s="58"/>
      <c r="E54" s="58"/>
    </row>
    <row r="55" customFormat="false" ht="12.75" hidden="true" customHeight="false" outlineLevel="0" collapsed="false">
      <c r="C55" s="58"/>
      <c r="D55" s="58"/>
      <c r="E55" s="58"/>
      <c r="F55" s="58"/>
    </row>
    <row r="56" customFormat="false" ht="12.75" hidden="true" customHeight="false" outlineLevel="0" collapsed="false">
      <c r="A56" s="58"/>
    </row>
    <row r="57" customFormat="false" ht="12.75" hidden="true" customHeight="false" outlineLevel="0" collapsed="false">
      <c r="A57" s="58"/>
    </row>
    <row r="58" customFormat="false" ht="12.75" hidden="true" customHeight="false" outlineLevel="0" collapsed="false">
      <c r="A58" s="58"/>
    </row>
    <row r="59" customFormat="false" ht="12.75" hidden="true" customHeight="false" outlineLevel="0" collapsed="false">
      <c r="A59" s="58"/>
    </row>
    <row r="60" customFormat="false" ht="12.75" hidden="true" customHeight="false" outlineLevel="0" collapsed="false">
      <c r="A60" s="58"/>
    </row>
    <row r="61" customFormat="false" ht="12.75" hidden="true" customHeight="false" outlineLevel="0" collapsed="false">
      <c r="A61" s="58"/>
    </row>
    <row r="62" customFormat="false" ht="12.75" hidden="true" customHeight="false" outlineLevel="0" collapsed="false">
      <c r="C62" s="58"/>
      <c r="D62" s="58"/>
      <c r="E62" s="58"/>
      <c r="F62" s="58"/>
    </row>
    <row r="63" customFormat="false" ht="12.75" hidden="true" customHeight="false" outlineLevel="0" collapsed="false">
      <c r="C63" s="58"/>
      <c r="D63" s="58"/>
      <c r="E63" s="58"/>
      <c r="F63" s="58"/>
    </row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8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</row>
    <row r="2" customFormat="false" ht="29.25" hidden="false" customHeight="true" outlineLevel="0" collapsed="false">
      <c r="A2" s="70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71"/>
      <c r="O2" s="71"/>
      <c r="P2" s="71"/>
      <c r="Q2" s="73" t="s">
        <v>50</v>
      </c>
      <c r="R2" s="71"/>
      <c r="S2" s="71"/>
      <c r="T2" s="71"/>
      <c r="U2" s="74"/>
      <c r="V2" s="75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76"/>
      <c r="N3" s="0"/>
      <c r="O3" s="0"/>
      <c r="P3" s="0"/>
      <c r="Q3" s="76" t="s">
        <v>51</v>
      </c>
      <c r="R3" s="0"/>
      <c r="S3" s="0"/>
      <c r="T3" s="0"/>
      <c r="U3" s="69"/>
      <c r="V3" s="75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76"/>
      <c r="N4" s="0"/>
      <c r="O4" s="0"/>
      <c r="P4" s="0"/>
      <c r="Q4" s="76" t="str">
        <f aca="false">+'Mgmt Summary'!A3</f>
        <v>Results based on activity through October 19, 2001</v>
      </c>
      <c r="R4" s="0"/>
      <c r="S4" s="0"/>
      <c r="T4" s="0"/>
      <c r="U4" s="69"/>
      <c r="V4" s="75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77"/>
      <c r="O5" s="0"/>
      <c r="P5" s="0"/>
      <c r="Q5" s="0"/>
      <c r="R5" s="0"/>
      <c r="S5" s="0"/>
      <c r="T5" s="0"/>
      <c r="U5" s="0"/>
      <c r="V5" s="78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</row>
    <row r="6" customFormat="false" ht="18" hidden="false" customHeight="true" outlineLevel="0" collapsed="false">
      <c r="A6" s="79"/>
      <c r="B6" s="80"/>
      <c r="C6" s="81" t="s">
        <v>15</v>
      </c>
      <c r="D6" s="81"/>
      <c r="E6" s="81"/>
      <c r="F6" s="82"/>
      <c r="G6" s="81" t="s">
        <v>52</v>
      </c>
      <c r="H6" s="81"/>
      <c r="I6" s="81"/>
      <c r="J6" s="83"/>
      <c r="K6" s="81" t="s">
        <v>53</v>
      </c>
      <c r="L6" s="81"/>
      <c r="M6" s="81"/>
      <c r="N6" s="84"/>
      <c r="O6" s="81" t="s">
        <v>54</v>
      </c>
      <c r="P6" s="81"/>
      <c r="Q6" s="81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customFormat="false" ht="18.75" hidden="false" customHeight="true" outlineLevel="0" collapsed="false">
      <c r="A7" s="86" t="s">
        <v>14</v>
      </c>
      <c r="B7" s="87"/>
      <c r="C7" s="88" t="s">
        <v>6</v>
      </c>
      <c r="D7" s="89" t="s">
        <v>3</v>
      </c>
      <c r="E7" s="90" t="s">
        <v>55</v>
      </c>
      <c r="F7" s="91"/>
      <c r="G7" s="88" t="s">
        <v>8</v>
      </c>
      <c r="H7" s="89" t="s">
        <v>3</v>
      </c>
      <c r="I7" s="90" t="s">
        <v>55</v>
      </c>
      <c r="J7" s="91"/>
      <c r="K7" s="88" t="s">
        <v>8</v>
      </c>
      <c r="L7" s="89" t="s">
        <v>3</v>
      </c>
      <c r="M7" s="90" t="s">
        <v>55</v>
      </c>
      <c r="N7" s="92"/>
      <c r="O7" s="88" t="s">
        <v>15</v>
      </c>
      <c r="P7" s="89" t="s">
        <v>56</v>
      </c>
      <c r="Q7" s="90" t="s">
        <v>9</v>
      </c>
    </row>
    <row r="8" customFormat="false" ht="4.5" hidden="false" customHeight="true" outlineLevel="0" collapsed="false">
      <c r="A8" s="93"/>
      <c r="B8" s="87"/>
      <c r="C8" s="94"/>
      <c r="D8" s="54"/>
      <c r="E8" s="95"/>
      <c r="F8" s="96"/>
      <c r="G8" s="94"/>
      <c r="H8" s="54"/>
      <c r="I8" s="95"/>
      <c r="J8" s="96"/>
      <c r="K8" s="94"/>
      <c r="L8" s="54"/>
      <c r="M8" s="95"/>
      <c r="N8" s="92"/>
      <c r="O8" s="94"/>
      <c r="P8" s="54"/>
      <c r="Q8" s="95"/>
    </row>
    <row r="9" customFormat="false" ht="13.5" hidden="false" customHeight="true" outlineLevel="0" collapsed="false">
      <c r="A9" s="97" t="s">
        <v>21</v>
      </c>
      <c r="B9" s="98"/>
      <c r="C9" s="99" t="n">
        <f aca="false">+'Mgmt Summary'!J9</f>
        <v>-7726</v>
      </c>
      <c r="D9" s="100" t="n">
        <f aca="false">+'Mgmt Summary'!C9</f>
        <v>45000</v>
      </c>
      <c r="E9" s="101" t="n">
        <f aca="false">-D9+C9</f>
        <v>-52726</v>
      </c>
      <c r="F9" s="102"/>
      <c r="G9" s="99" t="n">
        <f aca="false">+Expenses!D9+'Alloc Exp'!K10+'Alloc Exp'!D10</f>
        <v>16921.743</v>
      </c>
      <c r="H9" s="100" t="n">
        <f aca="false">+Expenses!E9+'Alloc Exp'!L10+'Alloc Exp'!E10</f>
        <v>16921.743</v>
      </c>
      <c r="I9" s="101" t="n">
        <f aca="false">+H9-G9</f>
        <v>0</v>
      </c>
      <c r="J9" s="102"/>
      <c r="K9" s="99" t="n">
        <f aca="false">+C9-G9</f>
        <v>-24647.743</v>
      </c>
      <c r="L9" s="100" t="n">
        <f aca="false">D9-H9</f>
        <v>28078.257</v>
      </c>
      <c r="M9" s="101" t="n">
        <f aca="false">K9-L9</f>
        <v>-52726</v>
      </c>
      <c r="N9" s="103"/>
      <c r="O9" s="99" t="n">
        <f aca="false">+'GM-WeeklyChnge'!K9</f>
        <v>-2744</v>
      </c>
      <c r="P9" s="100" t="n">
        <f aca="false">-G9+'[5]QTD Mgmt Summary'!G9</f>
        <v>0</v>
      </c>
      <c r="Q9" s="101" t="n">
        <f aca="false">+O9+P9</f>
        <v>-2744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3.5" hidden="false" customHeight="true" outlineLevel="0" collapsed="false">
      <c r="A10" s="97" t="s">
        <v>22</v>
      </c>
      <c r="B10" s="98"/>
      <c r="C10" s="99" t="n">
        <f aca="false">+'Mgmt Summary'!J10</f>
        <v>1514.246</v>
      </c>
      <c r="D10" s="100" t="n">
        <f aca="false">+'Mgmt Summary'!C10</f>
        <v>16250</v>
      </c>
      <c r="E10" s="101" t="n">
        <f aca="false">-D10+C10</f>
        <v>-14735.754</v>
      </c>
      <c r="F10" s="102"/>
      <c r="G10" s="99" t="n">
        <f aca="false">+Expenses!D10+'Alloc Exp'!K11+'Alloc Exp'!D11</f>
        <v>8899.487</v>
      </c>
      <c r="H10" s="100" t="n">
        <f aca="false">+Expenses!E10+'Alloc Exp'!L11+'Alloc Exp'!E11</f>
        <v>8899.487</v>
      </c>
      <c r="I10" s="101" t="n">
        <f aca="false">+H10-G10</f>
        <v>0</v>
      </c>
      <c r="J10" s="102"/>
      <c r="K10" s="99" t="n">
        <f aca="false">C10-G10</f>
        <v>-7385.241</v>
      </c>
      <c r="L10" s="100" t="n">
        <f aca="false">D10-H10</f>
        <v>7350.513</v>
      </c>
      <c r="M10" s="101" t="n">
        <f aca="false">K10-L10</f>
        <v>-14735.754</v>
      </c>
      <c r="N10" s="103"/>
      <c r="O10" s="99" t="n">
        <f aca="false">+'GM-WeeklyChnge'!K10</f>
        <v>-1501.761</v>
      </c>
      <c r="P10" s="100" t="n">
        <f aca="false">-G10+'[5]QTD Mgmt Summary'!G10</f>
        <v>0</v>
      </c>
      <c r="Q10" s="101" t="n">
        <f aca="false">+O10+P10</f>
        <v>-1501.761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3.5" hidden="false" customHeight="true" outlineLevel="0" collapsed="false">
      <c r="A11" s="97" t="s">
        <v>23</v>
      </c>
      <c r="B11" s="98"/>
      <c r="C11" s="99" t="n">
        <f aca="false">+'Mgmt Summary'!J11</f>
        <v>-394</v>
      </c>
      <c r="D11" s="100" t="n">
        <f aca="false">+'Mgmt Summary'!C11</f>
        <v>2500</v>
      </c>
      <c r="E11" s="101" t="n">
        <f aca="false">-D11+C11</f>
        <v>-2894</v>
      </c>
      <c r="F11" s="102"/>
      <c r="G11" s="99" t="n">
        <f aca="false">+Expenses!D11+'Alloc Exp'!K12+'Alloc Exp'!D12</f>
        <v>723.274</v>
      </c>
      <c r="H11" s="100" t="n">
        <f aca="false">+Expenses!E11+'Alloc Exp'!L12+'Alloc Exp'!E12</f>
        <v>723.274</v>
      </c>
      <c r="I11" s="101" t="n">
        <f aca="false">+H11-G11</f>
        <v>0</v>
      </c>
      <c r="J11" s="102"/>
      <c r="K11" s="99" t="n">
        <f aca="false">C11-G11</f>
        <v>-1117.274</v>
      </c>
      <c r="L11" s="100" t="n">
        <f aca="false">D11-H11</f>
        <v>1776.726</v>
      </c>
      <c r="M11" s="101" t="n">
        <f aca="false">K11-L11</f>
        <v>-2894</v>
      </c>
      <c r="N11" s="103"/>
      <c r="O11" s="99" t="n">
        <f aca="false">+'GM-WeeklyChnge'!K11</f>
        <v>-131</v>
      </c>
      <c r="P11" s="100" t="n">
        <f aca="false">-G11+'[5]QTD Mgmt Summary'!G11</f>
        <v>0</v>
      </c>
      <c r="Q11" s="101" t="n">
        <f aca="false">+O11+P11</f>
        <v>-131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3.5" hidden="true" customHeight="true" outlineLevel="0" collapsed="false">
      <c r="A12" s="97" t="s">
        <v>24</v>
      </c>
      <c r="B12" s="98"/>
      <c r="C12" s="99" t="n">
        <f aca="false">+'Mgmt Summary'!J12</f>
        <v>0</v>
      </c>
      <c r="D12" s="100" t="n">
        <f aca="false">+'Mgmt Summary'!C12</f>
        <v>0</v>
      </c>
      <c r="E12" s="101" t="n">
        <f aca="false">-D12+C12</f>
        <v>0</v>
      </c>
      <c r="F12" s="102"/>
      <c r="G12" s="99" t="n">
        <f aca="false">+Expenses!D12+'Alloc Exp'!K13+'Alloc Exp'!D13</f>
        <v>0</v>
      </c>
      <c r="H12" s="100" t="n">
        <f aca="false">+Expenses!E12+'Alloc Exp'!L13+'Alloc Exp'!E13</f>
        <v>0</v>
      </c>
      <c r="I12" s="101" t="n">
        <f aca="false">+H12-G12</f>
        <v>0</v>
      </c>
      <c r="J12" s="102"/>
      <c r="K12" s="99" t="n">
        <f aca="false">C12-G12</f>
        <v>0</v>
      </c>
      <c r="L12" s="100" t="n">
        <f aca="false">D12-H12</f>
        <v>0</v>
      </c>
      <c r="M12" s="101" t="n">
        <f aca="false">K12-L12</f>
        <v>0</v>
      </c>
      <c r="N12" s="103"/>
      <c r="O12" s="99" t="n">
        <f aca="false">+'GM-WeeklyChnge'!K12</f>
        <v>0</v>
      </c>
      <c r="P12" s="100" t="n">
        <f aca="false">+G12-'[5]QTD Mgmt Summary'!G12</f>
        <v>0</v>
      </c>
      <c r="Q12" s="101" t="n">
        <f aca="false">+O12+P12</f>
        <v>0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3.5" hidden="false" customHeight="true" outlineLevel="0" collapsed="false">
      <c r="A13" s="97" t="s">
        <v>25</v>
      </c>
      <c r="B13" s="98"/>
      <c r="C13" s="99" t="n">
        <f aca="false">+'Mgmt Summary'!J13</f>
        <v>1431</v>
      </c>
      <c r="D13" s="100" t="n">
        <f aca="false">+'Mgmt Summary'!C13</f>
        <v>8752.58</v>
      </c>
      <c r="E13" s="101" t="n">
        <f aca="false">-D13+C13</f>
        <v>-7321.58</v>
      </c>
      <c r="F13" s="102"/>
      <c r="G13" s="99" t="n">
        <f aca="false">+Expenses!D13+'Alloc Exp'!K14+'Alloc Exp'!D14</f>
        <v>3636.833</v>
      </c>
      <c r="H13" s="100" t="n">
        <f aca="false">+Expenses!E13+'Alloc Exp'!L14+'Alloc Exp'!E14</f>
        <v>3336.833</v>
      </c>
      <c r="I13" s="101" t="n">
        <f aca="false">+H13-G13</f>
        <v>-300</v>
      </c>
      <c r="J13" s="102"/>
      <c r="K13" s="99" t="n">
        <f aca="false">C13-G13</f>
        <v>-2205.833</v>
      </c>
      <c r="L13" s="100" t="n">
        <f aca="false">D13-H13</f>
        <v>5415.747</v>
      </c>
      <c r="M13" s="101" t="n">
        <f aca="false">K13-L13</f>
        <v>-7621.58</v>
      </c>
      <c r="N13" s="103"/>
      <c r="O13" s="99" t="n">
        <f aca="false">+'GM-WeeklyChnge'!K13</f>
        <v>64</v>
      </c>
      <c r="P13" s="100" t="n">
        <f aca="false">-G13+'[5]QTD Mgmt Summary'!G13</f>
        <v>0</v>
      </c>
      <c r="Q13" s="101" t="n">
        <f aca="false">+O13+P13</f>
        <v>64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3.5" hidden="false" customHeight="true" outlineLevel="0" collapsed="false">
      <c r="A14" s="97" t="s">
        <v>26</v>
      </c>
      <c r="B14" s="98"/>
      <c r="C14" s="99" t="n">
        <f aca="false">+'Mgmt Summary'!J14</f>
        <v>46.04</v>
      </c>
      <c r="D14" s="100" t="n">
        <f aca="false">+'Mgmt Summary'!C14</f>
        <v>8875</v>
      </c>
      <c r="E14" s="101" t="n">
        <f aca="false">-D14+C14</f>
        <v>-8828.96</v>
      </c>
      <c r="F14" s="102"/>
      <c r="G14" s="99" t="n">
        <f aca="false">+Expenses!D14+'Alloc Exp'!K15+'Alloc Exp'!D15</f>
        <v>3470.408</v>
      </c>
      <c r="H14" s="100" t="n">
        <f aca="false">+Expenses!E14+'Alloc Exp'!L15+'Alloc Exp'!E15</f>
        <v>3470.408</v>
      </c>
      <c r="I14" s="101" t="n">
        <f aca="false">+H14-G14</f>
        <v>0</v>
      </c>
      <c r="J14" s="102"/>
      <c r="K14" s="99" t="n">
        <f aca="false">C14-G14</f>
        <v>-3424.368</v>
      </c>
      <c r="L14" s="100" t="n">
        <f aca="false">D14-H14</f>
        <v>5404.592</v>
      </c>
      <c r="M14" s="101" t="n">
        <f aca="false">K14-L14</f>
        <v>-8828.96</v>
      </c>
      <c r="N14" s="103"/>
      <c r="O14" s="99" t="n">
        <f aca="false">+'GM-WeeklyChnge'!K14</f>
        <v>12</v>
      </c>
      <c r="P14" s="100" t="n">
        <f aca="false">-G14+'[5]QTD Mgmt Summary'!G14</f>
        <v>0</v>
      </c>
      <c r="Q14" s="101" t="n">
        <f aca="false">+O14+P14</f>
        <v>12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3.5" hidden="false" customHeight="true" outlineLevel="0" collapsed="false">
      <c r="A15" s="97" t="s">
        <v>27</v>
      </c>
      <c r="B15" s="98"/>
      <c r="C15" s="99" t="n">
        <f aca="false">+'Mgmt Summary'!J15</f>
        <v>4499</v>
      </c>
      <c r="D15" s="100" t="n">
        <f aca="false">+'Mgmt Summary'!C15</f>
        <v>29545</v>
      </c>
      <c r="E15" s="101" t="n">
        <f aca="false">-D15+C15</f>
        <v>-25046</v>
      </c>
      <c r="F15" s="102"/>
      <c r="G15" s="99" t="n">
        <f aca="false">+Expenses!D15+'Alloc Exp'!K16+'Alloc Exp'!D16</f>
        <v>3130.547</v>
      </c>
      <c r="H15" s="100" t="n">
        <f aca="false">+Expenses!E15+'Alloc Exp'!L16+'Alloc Exp'!E16</f>
        <v>3130.547</v>
      </c>
      <c r="I15" s="101" t="n">
        <f aca="false">+H15-G15</f>
        <v>0</v>
      </c>
      <c r="J15" s="102"/>
      <c r="K15" s="99" t="n">
        <f aca="false">C15-G15</f>
        <v>1368.453</v>
      </c>
      <c r="L15" s="100" t="n">
        <f aca="false">D15-H15</f>
        <v>26414.453</v>
      </c>
      <c r="M15" s="101" t="n">
        <f aca="false">K15-L15</f>
        <v>-25046</v>
      </c>
      <c r="N15" s="103"/>
      <c r="O15" s="99" t="n">
        <f aca="false">+'GM-WeeklyChnge'!K21</f>
        <v>271</v>
      </c>
      <c r="P15" s="100" t="n">
        <f aca="false">-G15+'[5]QTD Mgmt Summary'!G15</f>
        <v>0</v>
      </c>
      <c r="Q15" s="101" t="n">
        <f aca="false">+O15+P15</f>
        <v>271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3.5" hidden="false" customHeight="true" outlineLevel="0" collapsed="false">
      <c r="A16" s="97" t="s">
        <v>28</v>
      </c>
      <c r="B16" s="98"/>
      <c r="C16" s="99" t="n">
        <f aca="false">+'Mgmt Summary'!J16</f>
        <v>-38.317</v>
      </c>
      <c r="D16" s="100" t="n">
        <f aca="false">+'Mgmt Summary'!C16</f>
        <v>13305.5</v>
      </c>
      <c r="E16" s="101" t="n">
        <f aca="false">-D16+C16</f>
        <v>-13343.817</v>
      </c>
      <c r="F16" s="102"/>
      <c r="G16" s="99" t="n">
        <f aca="false">+Expenses!D16+'Alloc Exp'!K17+'Alloc Exp'!D17</f>
        <v>8763.21</v>
      </c>
      <c r="H16" s="100" t="n">
        <f aca="false">+Expenses!E16+'Alloc Exp'!L17+'Alloc Exp'!E17</f>
        <v>8763.21</v>
      </c>
      <c r="I16" s="101" t="n">
        <f aca="false">+H16-G16</f>
        <v>0</v>
      </c>
      <c r="J16" s="102"/>
      <c r="K16" s="99" t="n">
        <f aca="false">C16-G16</f>
        <v>-8801.527</v>
      </c>
      <c r="L16" s="100" t="n">
        <f aca="false">D16-H16</f>
        <v>4542.29</v>
      </c>
      <c r="M16" s="101" t="n">
        <f aca="false">K16-L16</f>
        <v>-13343.817</v>
      </c>
      <c r="N16" s="103"/>
      <c r="O16" s="99" t="n">
        <f aca="false">+'GM-WeeklyChnge'!K22</f>
        <v>-59.054</v>
      </c>
      <c r="P16" s="100" t="n">
        <f aca="false">-G16+'[5]QTD Mgmt Summary'!G16</f>
        <v>0</v>
      </c>
      <c r="Q16" s="101" t="n">
        <f aca="false">+O16+P16</f>
        <v>-59.054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3.5" hidden="false" customHeight="true" outlineLevel="0" collapsed="false">
      <c r="A17" s="97" t="s">
        <v>29</v>
      </c>
      <c r="B17" s="98"/>
      <c r="C17" s="99" t="n">
        <f aca="false">+'Mgmt Summary'!J17</f>
        <v>376</v>
      </c>
      <c r="D17" s="100" t="n">
        <f aca="false">+'Mgmt Summary'!C17</f>
        <v>44000</v>
      </c>
      <c r="E17" s="101" t="n">
        <f aca="false">-D17+C17</f>
        <v>-43624</v>
      </c>
      <c r="F17" s="102"/>
      <c r="G17" s="99" t="n">
        <f aca="false">+Expenses!D17+'Alloc Exp'!K18+'Alloc Exp'!D18</f>
        <v>4459.428</v>
      </c>
      <c r="H17" s="100" t="n">
        <f aca="false">+Expenses!E17+'Alloc Exp'!L18+'Alloc Exp'!E18</f>
        <v>2619.428</v>
      </c>
      <c r="I17" s="101" t="n">
        <f aca="false">+H17-G17</f>
        <v>-1840</v>
      </c>
      <c r="J17" s="102"/>
      <c r="K17" s="99" t="n">
        <f aca="false">C17-G17</f>
        <v>-4083.428</v>
      </c>
      <c r="L17" s="100" t="n">
        <f aca="false">D17-H17</f>
        <v>41380.572</v>
      </c>
      <c r="M17" s="101" t="n">
        <f aca="false">K17-L17</f>
        <v>-45464</v>
      </c>
      <c r="N17" s="103"/>
      <c r="O17" s="99" t="n">
        <f aca="false">+'GM-WeeklyChnge'!K23</f>
        <v>105</v>
      </c>
      <c r="P17" s="100" t="n">
        <f aca="false">-G17+'[5]QTD Mgmt Summary'!G17</f>
        <v>0</v>
      </c>
      <c r="Q17" s="101" t="n">
        <f aca="false">+O17+P17</f>
        <v>105</v>
      </c>
      <c r="R17" s="22"/>
      <c r="S17" s="10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3.5" hidden="true" customHeight="true" outlineLevel="0" collapsed="false">
      <c r="A18" s="97" t="s">
        <v>31</v>
      </c>
      <c r="B18" s="98"/>
      <c r="C18" s="99" t="n">
        <f aca="false">+'Mgmt Summary'!J18</f>
        <v>0</v>
      </c>
      <c r="D18" s="100" t="n">
        <f aca="false">+'Mgmt Summary'!C18</f>
        <v>0</v>
      </c>
      <c r="E18" s="101" t="n">
        <f aca="false">-D18+C18</f>
        <v>0</v>
      </c>
      <c r="F18" s="102"/>
      <c r="G18" s="99" t="n">
        <f aca="false">+Expenses!D18+'Alloc Exp'!K19+'Alloc Exp'!D19</f>
        <v>0</v>
      </c>
      <c r="H18" s="100" t="n">
        <f aca="false">+Expenses!E18+'Alloc Exp'!L19+'Alloc Exp'!E19</f>
        <v>0</v>
      </c>
      <c r="I18" s="101" t="n">
        <f aca="false">+H18-G18</f>
        <v>0</v>
      </c>
      <c r="J18" s="102"/>
      <c r="K18" s="99" t="n">
        <f aca="false">C18-G18</f>
        <v>0</v>
      </c>
      <c r="L18" s="100" t="n">
        <f aca="false">D18-H18</f>
        <v>0</v>
      </c>
      <c r="M18" s="101" t="n">
        <f aca="false">K18-L18</f>
        <v>0</v>
      </c>
      <c r="N18" s="103"/>
      <c r="O18" s="99" t="n">
        <f aca="false">+'GM-WeeklyChnge'!K24</f>
        <v>0</v>
      </c>
      <c r="P18" s="100" t="n">
        <f aca="false">+G18-'[5]QTD Mgmt Summary'!G18</f>
        <v>0</v>
      </c>
      <c r="Q18" s="101" t="n">
        <f aca="false">+O18+P18</f>
        <v>0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3.5" hidden="false" customHeight="true" outlineLevel="0" collapsed="false">
      <c r="A19" s="97" t="s">
        <v>32</v>
      </c>
      <c r="B19" s="98"/>
      <c r="C19" s="99" t="n">
        <f aca="false">+'Mgmt Summary'!J19</f>
        <v>0</v>
      </c>
      <c r="D19" s="100" t="n">
        <f aca="false">+'Mgmt Summary'!C19</f>
        <v>3750</v>
      </c>
      <c r="E19" s="101" t="n">
        <f aca="false">-D19+C19</f>
        <v>-3750</v>
      </c>
      <c r="F19" s="102"/>
      <c r="G19" s="99" t="n">
        <f aca="false">+Expenses!D19+'Alloc Exp'!K20+'Alloc Exp'!D20</f>
        <v>3366.378</v>
      </c>
      <c r="H19" s="100" t="n">
        <f aca="false">+Expenses!E19+'Alloc Exp'!L20+'Alloc Exp'!E20</f>
        <v>3366.378</v>
      </c>
      <c r="I19" s="101" t="n">
        <f aca="false">+H19-G19</f>
        <v>0</v>
      </c>
      <c r="J19" s="102"/>
      <c r="K19" s="99" t="n">
        <f aca="false">C19-G19</f>
        <v>-3366.378</v>
      </c>
      <c r="L19" s="100" t="n">
        <f aca="false">D19-H19</f>
        <v>383.622</v>
      </c>
      <c r="M19" s="101" t="n">
        <f aca="false">K19-L19</f>
        <v>-3750</v>
      </c>
      <c r="N19" s="103"/>
      <c r="O19" s="99" t="n">
        <f aca="false">+'GM-WeeklyChnge'!K25</f>
        <v>0</v>
      </c>
      <c r="P19" s="100" t="n">
        <f aca="false">-G19+'[5]QTD Mgmt Summary'!G19</f>
        <v>0</v>
      </c>
      <c r="Q19" s="101" t="n">
        <f aca="false">+O19+P19</f>
        <v>0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3.5" hidden="false" customHeight="true" outlineLevel="0" collapsed="false">
      <c r="A20" s="97" t="s">
        <v>33</v>
      </c>
      <c r="B20" s="98"/>
      <c r="C20" s="99" t="n">
        <f aca="false">+'Mgmt Summary'!J20</f>
        <v>0</v>
      </c>
      <c r="D20" s="100" t="n">
        <f aca="false">+'Mgmt Summary'!C20</f>
        <v>1602.701</v>
      </c>
      <c r="E20" s="101" t="n">
        <f aca="false">-D20+C20</f>
        <v>-1602.701</v>
      </c>
      <c r="F20" s="102"/>
      <c r="G20" s="99" t="n">
        <f aca="false">+Expenses!D20+'Alloc Exp'!K21+'Alloc Exp'!D21</f>
        <v>138.45</v>
      </c>
      <c r="H20" s="100" t="n">
        <f aca="false">+Expenses!E20+'Alloc Exp'!L21+'Alloc Exp'!E21</f>
        <v>138.45</v>
      </c>
      <c r="I20" s="101" t="n">
        <f aca="false">+H20-G20</f>
        <v>0</v>
      </c>
      <c r="J20" s="102"/>
      <c r="K20" s="99" t="n">
        <f aca="false">C20-G20</f>
        <v>-138.45</v>
      </c>
      <c r="L20" s="100" t="n">
        <f aca="false">D20-H20</f>
        <v>1464.251</v>
      </c>
      <c r="M20" s="101" t="n">
        <f aca="false">K20-L20</f>
        <v>-1602.701</v>
      </c>
      <c r="N20" s="103"/>
      <c r="O20" s="99" t="n">
        <f aca="false">+'GM-WeeklyChnge'!K26</f>
        <v>0</v>
      </c>
      <c r="P20" s="100" t="n">
        <f aca="false">-G20+'[5]QTD Mgmt Summary'!G20</f>
        <v>0</v>
      </c>
      <c r="Q20" s="101" t="n">
        <f aca="false">+O20+P20</f>
        <v>0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3.5" hidden="false" customHeight="true" outlineLevel="0" collapsed="false">
      <c r="A21" s="97" t="s">
        <v>34</v>
      </c>
      <c r="B21" s="98"/>
      <c r="C21" s="99" t="n">
        <f aca="false">+'Mgmt Summary'!J21</f>
        <v>0</v>
      </c>
      <c r="D21" s="100" t="n">
        <f aca="false">+'Mgmt Summary'!C21</f>
        <v>0</v>
      </c>
      <c r="E21" s="101" t="n">
        <f aca="false">-D21+C21</f>
        <v>0</v>
      </c>
      <c r="F21" s="102"/>
      <c r="G21" s="99" t="n">
        <f aca="false">+Expenses!D21+'Alloc Exp'!K22+'Alloc Exp'!D22</f>
        <v>765.961</v>
      </c>
      <c r="H21" s="100" t="n">
        <f aca="false">+Expenses!E21+'Alloc Exp'!L22+'Alloc Exp'!E22</f>
        <v>765.961</v>
      </c>
      <c r="I21" s="101" t="n">
        <f aca="false">+H21-G21</f>
        <v>0</v>
      </c>
      <c r="J21" s="102"/>
      <c r="K21" s="99" t="n">
        <f aca="false">C21-G21</f>
        <v>-765.961</v>
      </c>
      <c r="L21" s="100" t="n">
        <f aca="false">D21-H21</f>
        <v>-765.961</v>
      </c>
      <c r="M21" s="101" t="n">
        <f aca="false">K21-L21</f>
        <v>0</v>
      </c>
      <c r="N21" s="103"/>
      <c r="O21" s="99" t="n">
        <f aca="false">+'GM-WeeklyChnge'!K27</f>
        <v>0</v>
      </c>
      <c r="P21" s="100" t="n">
        <f aca="false">-G21+'[5]QTD Mgmt Summary'!G21</f>
        <v>0</v>
      </c>
      <c r="Q21" s="101" t="n">
        <f aca="false">+O21+P21</f>
        <v>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3.5" hidden="false" customHeight="true" outlineLevel="0" collapsed="false">
      <c r="A22" s="105" t="s">
        <v>57</v>
      </c>
      <c r="B22" s="98"/>
      <c r="C22" s="99" t="n">
        <f aca="false">+'Mgmt Summary'!J22</f>
        <v>-30000</v>
      </c>
      <c r="D22" s="100" t="n">
        <f aca="false">+'Mgmt Summary'!C22</f>
        <v>0</v>
      </c>
      <c r="E22" s="101" t="n">
        <f aca="false">-D22+C22</f>
        <v>-30000</v>
      </c>
      <c r="F22" s="102"/>
      <c r="G22" s="99" t="n">
        <v>0</v>
      </c>
      <c r="H22" s="100" t="n">
        <v>0</v>
      </c>
      <c r="I22" s="101" t="n">
        <f aca="false">+H22-G22</f>
        <v>0</v>
      </c>
      <c r="J22" s="102"/>
      <c r="K22" s="99" t="n">
        <f aca="false">C22-G22</f>
        <v>-30000</v>
      </c>
      <c r="L22" s="100" t="n">
        <f aca="false">D22-H22</f>
        <v>0</v>
      </c>
      <c r="M22" s="101" t="n">
        <f aca="false">K22-L22</f>
        <v>-30000</v>
      </c>
      <c r="N22" s="103"/>
      <c r="O22" s="99" t="n">
        <f aca="false">+'GM-WeeklyChnge'!K28</f>
        <v>0</v>
      </c>
      <c r="P22" s="100" t="n">
        <f aca="false">-G22+'[5]QTD Mgmt Summary'!G22</f>
        <v>0</v>
      </c>
      <c r="Q22" s="101" t="n">
        <v>0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3.5" hidden="false" customHeight="true" outlineLevel="0" collapsed="false">
      <c r="A23" s="97" t="s">
        <v>35</v>
      </c>
      <c r="B23" s="98"/>
      <c r="C23" s="99" t="n">
        <f aca="false">+'Mgmt Summary'!J23</f>
        <v>0</v>
      </c>
      <c r="D23" s="100" t="n">
        <f aca="false">+'Mgmt Summary'!C23</f>
        <v>0</v>
      </c>
      <c r="E23" s="101" t="n">
        <f aca="false">-D23+C23</f>
        <v>0</v>
      </c>
      <c r="F23" s="102"/>
      <c r="G23" s="99" t="n">
        <f aca="false">+Expenses!D22+'Alloc Exp'!K23+'Alloc Exp'!D23</f>
        <v>1010.956</v>
      </c>
      <c r="H23" s="100" t="n">
        <f aca="false">+Expenses!E22+'Alloc Exp'!L23+'Alloc Exp'!E23</f>
        <v>1010.956</v>
      </c>
      <c r="I23" s="101" t="n">
        <f aca="false">+H23-G23</f>
        <v>0</v>
      </c>
      <c r="J23" s="102"/>
      <c r="K23" s="99" t="n">
        <f aca="false">C23-G23</f>
        <v>-1010.956</v>
      </c>
      <c r="L23" s="100" t="n">
        <f aca="false">D23-H23</f>
        <v>-1010.956</v>
      </c>
      <c r="M23" s="101" t="n">
        <f aca="false">K23-L23</f>
        <v>0</v>
      </c>
      <c r="N23" s="103"/>
      <c r="O23" s="99" t="n">
        <f aca="false">+'GM-WeeklyChnge'!K29</f>
        <v>0</v>
      </c>
      <c r="P23" s="100" t="n">
        <f aca="false">-G23+'[5]QTD Mgmt Summary'!G23</f>
        <v>0</v>
      </c>
      <c r="Q23" s="101" t="n">
        <f aca="false">+O23+P23</f>
        <v>0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3.5" hidden="false" customHeight="true" outlineLevel="0" collapsed="false">
      <c r="A24" s="97" t="s">
        <v>36</v>
      </c>
      <c r="B24" s="98"/>
      <c r="C24" s="99" t="n">
        <f aca="false">+'Mgmt Summary'!J24</f>
        <v>0</v>
      </c>
      <c r="D24" s="100" t="n">
        <f aca="false">+'Mgmt Summary'!C24</f>
        <v>1730.691</v>
      </c>
      <c r="E24" s="101" t="n">
        <f aca="false">-D24+C24</f>
        <v>-1730.691</v>
      </c>
      <c r="F24" s="102"/>
      <c r="G24" s="99" t="n">
        <f aca="false">+Expenses!D23+'Alloc Exp'!K24+'Alloc Exp'!D24</f>
        <v>0</v>
      </c>
      <c r="H24" s="100" t="n">
        <f aca="false">+Expenses!E23+'Alloc Exp'!L24+'Alloc Exp'!E24</f>
        <v>0</v>
      </c>
      <c r="I24" s="101" t="n">
        <f aca="false">+H24-G24</f>
        <v>0</v>
      </c>
      <c r="J24" s="102"/>
      <c r="K24" s="99" t="n">
        <f aca="false">C24-G24</f>
        <v>0</v>
      </c>
      <c r="L24" s="100" t="n">
        <f aca="false">D24-H24</f>
        <v>1730.691</v>
      </c>
      <c r="M24" s="101" t="n">
        <f aca="false">K24-L24</f>
        <v>-1730.691</v>
      </c>
      <c r="N24" s="103"/>
      <c r="O24" s="99" t="n">
        <f aca="false">+'GM-WeeklyChnge'!K30</f>
        <v>0</v>
      </c>
      <c r="P24" s="100" t="n">
        <f aca="false">-G24+'[5]QTD Mgmt Summary'!G24</f>
        <v>0</v>
      </c>
      <c r="Q24" s="101" t="n">
        <f aca="false">+O24+P24</f>
        <v>0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4.5" hidden="false" customHeight="true" outlineLevel="0" collapsed="false">
      <c r="A25" s="93"/>
      <c r="B25" s="87"/>
      <c r="C25" s="106"/>
      <c r="D25" s="107"/>
      <c r="E25" s="108"/>
      <c r="F25" s="109"/>
      <c r="G25" s="110"/>
      <c r="H25" s="107"/>
      <c r="I25" s="108"/>
      <c r="J25" s="109"/>
      <c r="K25" s="106"/>
      <c r="L25" s="107"/>
      <c r="M25" s="108"/>
      <c r="N25" s="92"/>
      <c r="O25" s="106"/>
      <c r="P25" s="107"/>
      <c r="Q25" s="108"/>
    </row>
    <row r="26" customFormat="false" ht="16.5" hidden="false" customHeight="false" outlineLevel="0" collapsed="false">
      <c r="A26" s="111" t="s">
        <v>58</v>
      </c>
      <c r="B26" s="112"/>
      <c r="C26" s="113" t="n">
        <f aca="false">SUM(C9:C25)</f>
        <v>-30292.031</v>
      </c>
      <c r="D26" s="114" t="n">
        <f aca="false">SUM(D9:D25)</f>
        <v>175311.472</v>
      </c>
      <c r="E26" s="115" t="n">
        <f aca="false">SUM(E9:E25)</f>
        <v>-205603.503</v>
      </c>
      <c r="F26" s="116"/>
      <c r="G26" s="113" t="n">
        <f aca="false">SUM(G9:G25)</f>
        <v>55286.675</v>
      </c>
      <c r="H26" s="114" t="n">
        <f aca="false">SUM(H9:H25)</f>
        <v>53146.675</v>
      </c>
      <c r="I26" s="115" t="n">
        <f aca="false">SUM(I9:I25)</f>
        <v>-2140</v>
      </c>
      <c r="J26" s="116"/>
      <c r="K26" s="113" t="n">
        <f aca="false">SUM(K9:K25)</f>
        <v>-85578.706</v>
      </c>
      <c r="L26" s="114" t="n">
        <f aca="false">SUM(L9:L25)</f>
        <v>122164.797</v>
      </c>
      <c r="M26" s="115" t="n">
        <f aca="false">SUM(M9:M25)</f>
        <v>-207743.503</v>
      </c>
      <c r="N26" s="117"/>
      <c r="O26" s="113" t="n">
        <f aca="false">SUM(O9:O25)</f>
        <v>-3983.815</v>
      </c>
      <c r="P26" s="114" t="n">
        <f aca="false">SUM(P9:P25)</f>
        <v>0</v>
      </c>
      <c r="Q26" s="115" t="n">
        <f aca="false">SUM(Q9:Q25)</f>
        <v>-3983.815</v>
      </c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  <c r="IW26" s="118"/>
    </row>
    <row r="27" customFormat="false" ht="4.5" hidden="false" customHeight="true" outlineLevel="0" collapsed="false">
      <c r="A27" s="93"/>
      <c r="B27" s="87"/>
      <c r="C27" s="106"/>
      <c r="D27" s="107"/>
      <c r="E27" s="108"/>
      <c r="F27" s="109"/>
      <c r="G27" s="110"/>
      <c r="H27" s="107"/>
      <c r="I27" s="108"/>
      <c r="J27" s="109"/>
      <c r="K27" s="106"/>
      <c r="L27" s="107"/>
      <c r="M27" s="108"/>
      <c r="N27" s="92"/>
      <c r="O27" s="106"/>
      <c r="P27" s="107"/>
      <c r="Q27" s="108"/>
    </row>
    <row r="28" customFormat="false" ht="13.5" hidden="false" customHeight="false" outlineLevel="0" collapsed="false">
      <c r="A28" s="97" t="s">
        <v>59</v>
      </c>
      <c r="B28" s="87"/>
      <c r="C28" s="99" t="n">
        <v>0</v>
      </c>
      <c r="D28" s="100" t="n">
        <v>0</v>
      </c>
      <c r="E28" s="101" t="n">
        <f aca="false">-D28+C28</f>
        <v>0</v>
      </c>
      <c r="F28" s="109"/>
      <c r="G28" s="99" t="n">
        <v>0</v>
      </c>
      <c r="H28" s="100" t="n">
        <v>0</v>
      </c>
      <c r="I28" s="101" t="n">
        <f aca="false">+H28-G28</f>
        <v>0</v>
      </c>
      <c r="J28" s="109"/>
      <c r="K28" s="99" t="n">
        <f aca="false">C28-G28</f>
        <v>0</v>
      </c>
      <c r="L28" s="100" t="n">
        <f aca="false">D28-H28</f>
        <v>0</v>
      </c>
      <c r="M28" s="101" t="n">
        <f aca="false">K28-L28</f>
        <v>0</v>
      </c>
      <c r="N28" s="92"/>
      <c r="O28" s="99" t="n">
        <v>0</v>
      </c>
      <c r="P28" s="100" t="n">
        <f aca="false">-G28+'[5]QTD Mgmt Summary'!G28</f>
        <v>0</v>
      </c>
      <c r="Q28" s="101" t="n">
        <f aca="false">+O28+P28</f>
        <v>0</v>
      </c>
    </row>
    <row r="29" customFormat="false" ht="13.5" hidden="false" customHeight="true" outlineLevel="0" collapsed="false">
      <c r="A29" s="97" t="s">
        <v>38</v>
      </c>
      <c r="B29" s="98"/>
      <c r="C29" s="99" t="n">
        <v>0</v>
      </c>
      <c r="D29" s="100" t="n">
        <v>0</v>
      </c>
      <c r="E29" s="101" t="n">
        <f aca="false">-D29+C29</f>
        <v>0</v>
      </c>
      <c r="F29" s="102"/>
      <c r="G29" s="99" t="n">
        <f aca="false">+'Mgmt Summary'!L28+'Mgmt Summary'!M28+'Mgmt Summary'!N28</f>
        <v>42641.985</v>
      </c>
      <c r="H29" s="100" t="n">
        <f aca="false">+'Mgmt Summary'!D28</f>
        <v>42641.985</v>
      </c>
      <c r="I29" s="101" t="n">
        <f aca="false">+H29-G29</f>
        <v>0</v>
      </c>
      <c r="J29" s="102"/>
      <c r="K29" s="99" t="n">
        <f aca="false">C29-G29</f>
        <v>-42641.985</v>
      </c>
      <c r="L29" s="100" t="n">
        <f aca="false">D29-H29</f>
        <v>-42641.985</v>
      </c>
      <c r="M29" s="101" t="n">
        <f aca="false">K29-L29</f>
        <v>0</v>
      </c>
      <c r="N29" s="103"/>
      <c r="O29" s="99" t="n">
        <v>0</v>
      </c>
      <c r="P29" s="100" t="n">
        <f aca="false">-G29+'[5]QTD Mgmt Summary'!G29</f>
        <v>0</v>
      </c>
      <c r="Q29" s="101" t="n">
        <f aca="false">+O29+P29</f>
        <v>0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3.5" hidden="false" customHeight="true" outlineLevel="0" collapsed="false">
      <c r="A30" s="97" t="s">
        <v>39</v>
      </c>
      <c r="B30" s="98"/>
      <c r="C30" s="99" t="n">
        <v>0</v>
      </c>
      <c r="D30" s="100" t="n">
        <v>0</v>
      </c>
      <c r="E30" s="101" t="n">
        <f aca="false">-D30+C30</f>
        <v>0</v>
      </c>
      <c r="F30" s="102"/>
      <c r="G30" s="99" t="n">
        <f aca="false">+'Mgmt Summary'!L29+'Mgmt Summary'!M29+'Mgmt Summary'!N29</f>
        <v>-23192.098</v>
      </c>
      <c r="H30" s="100" t="n">
        <f aca="false">+'Mgmt Summary'!D29</f>
        <v>-23192.098</v>
      </c>
      <c r="I30" s="101" t="n">
        <f aca="false">+H30-G30</f>
        <v>0</v>
      </c>
      <c r="J30" s="102"/>
      <c r="K30" s="99" t="n">
        <f aca="false">C30-G30</f>
        <v>23192.098</v>
      </c>
      <c r="L30" s="100" t="n">
        <f aca="false">D30-H30</f>
        <v>23192.098</v>
      </c>
      <c r="M30" s="101" t="n">
        <f aca="false">K30-L30</f>
        <v>0</v>
      </c>
      <c r="N30" s="103"/>
      <c r="O30" s="99" t="n">
        <v>0</v>
      </c>
      <c r="P30" s="100" t="n">
        <f aca="false">-G30+'[5]QTD Mgmt Summary'!G30</f>
        <v>0</v>
      </c>
      <c r="Q30" s="101" t="n">
        <f aca="false">+O30+P30</f>
        <v>0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3.5" hidden="true" customHeight="true" outlineLevel="0" collapsed="false">
      <c r="A31" s="97" t="s">
        <v>40</v>
      </c>
      <c r="B31" s="98"/>
      <c r="C31" s="99" t="n">
        <f aca="false">+'Mgmt Summary'!J30</f>
        <v>0</v>
      </c>
      <c r="D31" s="100" t="n">
        <f aca="false">+'Mgmt Summary'!C30</f>
        <v>0</v>
      </c>
      <c r="E31" s="101" t="n">
        <f aca="false">-D31+C31</f>
        <v>0</v>
      </c>
      <c r="F31" s="102"/>
      <c r="G31" s="99" t="n">
        <f aca="false">+Expenses!D27</f>
        <v>0</v>
      </c>
      <c r="H31" s="100" t="n">
        <f aca="false">+Expenses!E27</f>
        <v>0</v>
      </c>
      <c r="I31" s="101" t="n">
        <f aca="false">+H31-G31</f>
        <v>0</v>
      </c>
      <c r="J31" s="102"/>
      <c r="K31" s="99" t="n">
        <f aca="false">C31-G31</f>
        <v>0</v>
      </c>
      <c r="L31" s="100" t="n">
        <f aca="false">D31-H31</f>
        <v>0</v>
      </c>
      <c r="M31" s="101" t="n">
        <f aca="false">K31-L31</f>
        <v>0</v>
      </c>
      <c r="N31" s="103"/>
      <c r="O31" s="99" t="n">
        <v>0</v>
      </c>
      <c r="P31" s="100" t="n">
        <f aca="false">+G31-'[5]QTD Mgmt Summary'!G31</f>
        <v>0</v>
      </c>
      <c r="Q31" s="101" t="n">
        <f aca="false">+O31+P31</f>
        <v>0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3.5" hidden="true" customHeight="true" outlineLevel="0" collapsed="false">
      <c r="A32" s="97" t="s">
        <v>41</v>
      </c>
      <c r="B32" s="98"/>
      <c r="C32" s="99" t="n">
        <f aca="false">+'Mgmt Summary'!J31</f>
        <v>0</v>
      </c>
      <c r="D32" s="100" t="n">
        <f aca="false">+'Mgmt Summary'!C31</f>
        <v>0</v>
      </c>
      <c r="E32" s="101" t="n">
        <f aca="false">-D32+C32</f>
        <v>0</v>
      </c>
      <c r="F32" s="102"/>
      <c r="G32" s="99" t="n">
        <f aca="false">+'Alloc Exp'!D27</f>
        <v>-0</v>
      </c>
      <c r="H32" s="100" t="n">
        <f aca="false">+'Alloc Exp'!E27</f>
        <v>-0</v>
      </c>
      <c r="I32" s="101" t="n">
        <f aca="false">+H32-G32</f>
        <v>0</v>
      </c>
      <c r="J32" s="102"/>
      <c r="K32" s="99" t="n">
        <f aca="false">C32-G32</f>
        <v>0</v>
      </c>
      <c r="L32" s="100" t="n">
        <f aca="false">D32-H32</f>
        <v>0</v>
      </c>
      <c r="M32" s="101" t="n">
        <f aca="false">K32-L32</f>
        <v>0</v>
      </c>
      <c r="N32" s="103"/>
      <c r="O32" s="99" t="n">
        <v>0</v>
      </c>
      <c r="P32" s="100" t="n">
        <f aca="false">+G32-'[5]QTD Mgmt Summary'!G32</f>
        <v>-0</v>
      </c>
      <c r="Q32" s="101" t="n">
        <f aca="false">+O32+P32</f>
        <v>0</v>
      </c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4.5" hidden="false" customHeight="true" outlineLevel="0" collapsed="false">
      <c r="A33" s="93"/>
      <c r="B33" s="87"/>
      <c r="C33" s="106"/>
      <c r="D33" s="107"/>
      <c r="E33" s="108"/>
      <c r="F33" s="109"/>
      <c r="G33" s="110"/>
      <c r="H33" s="107"/>
      <c r="I33" s="108"/>
      <c r="J33" s="109"/>
      <c r="K33" s="106"/>
      <c r="L33" s="107"/>
      <c r="M33" s="108"/>
      <c r="N33" s="92"/>
      <c r="O33" s="99"/>
      <c r="P33" s="100"/>
      <c r="Q33" s="101"/>
    </row>
    <row r="34" customFormat="false" ht="16.5" hidden="false" customHeight="false" outlineLevel="0" collapsed="false">
      <c r="A34" s="111" t="s">
        <v>42</v>
      </c>
      <c r="B34" s="112"/>
      <c r="C34" s="113" t="n">
        <f aca="false">SUM(C26:C32)</f>
        <v>-30292.031</v>
      </c>
      <c r="D34" s="114" t="n">
        <f aca="false">SUM(D26:D32)</f>
        <v>175311.472</v>
      </c>
      <c r="E34" s="115" t="n">
        <f aca="false">SUM(E26:E32)</f>
        <v>-205603.503</v>
      </c>
      <c r="F34" s="116"/>
      <c r="G34" s="113" t="n">
        <f aca="false">SUM(G26:G32)</f>
        <v>74736.562</v>
      </c>
      <c r="H34" s="114" t="n">
        <f aca="false">SUM(H26:H32)</f>
        <v>72596.562</v>
      </c>
      <c r="I34" s="115" t="n">
        <f aca="false">SUM(I26:I32)</f>
        <v>-2140</v>
      </c>
      <c r="J34" s="116"/>
      <c r="K34" s="113" t="n">
        <f aca="false">SUM(K26:K32)</f>
        <v>-105028.593</v>
      </c>
      <c r="L34" s="114" t="n">
        <f aca="false">SUM(L26:L32)</f>
        <v>102714.91</v>
      </c>
      <c r="M34" s="115" t="n">
        <f aca="false">SUM(M26:M32)</f>
        <v>-207743.503</v>
      </c>
      <c r="N34" s="117"/>
      <c r="O34" s="113" t="n">
        <f aca="false">SUM(O26:O32)</f>
        <v>-3983.815</v>
      </c>
      <c r="P34" s="114" t="n">
        <f aca="false">SUM(P26:P32)</f>
        <v>0</v>
      </c>
      <c r="Q34" s="115" t="n">
        <f aca="false">SUM(Q26:Q32)</f>
        <v>-3983.815</v>
      </c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  <c r="IV34" s="118"/>
      <c r="IW34" s="118"/>
    </row>
    <row r="35" customFormat="false" ht="4.5" hidden="false" customHeight="true" outlineLevel="0" collapsed="false">
      <c r="A35" s="93"/>
      <c r="B35" s="87"/>
      <c r="C35" s="99"/>
      <c r="D35" s="100"/>
      <c r="E35" s="101"/>
      <c r="F35" s="102"/>
      <c r="G35" s="119"/>
      <c r="H35" s="100"/>
      <c r="I35" s="101"/>
      <c r="J35" s="102"/>
      <c r="K35" s="99"/>
      <c r="L35" s="100"/>
      <c r="M35" s="101"/>
      <c r="N35" s="92"/>
      <c r="O35" s="99"/>
      <c r="P35" s="100"/>
      <c r="Q35" s="101"/>
    </row>
    <row r="36" customFormat="false" ht="13.5" hidden="false" customHeight="true" outlineLevel="0" collapsed="false">
      <c r="A36" s="97" t="s">
        <v>45</v>
      </c>
      <c r="B36" s="98"/>
      <c r="C36" s="99" t="n">
        <f aca="false">+'Mgmt Summary'!J35</f>
        <v>0</v>
      </c>
      <c r="D36" s="100" t="n">
        <f aca="false">+'Mgmt Summary'!C35</f>
        <v>0</v>
      </c>
      <c r="E36" s="101" t="n">
        <f aca="false">D36-C36</f>
        <v>0</v>
      </c>
      <c r="F36" s="102"/>
      <c r="G36" s="99" t="n">
        <f aca="false">+'Mgmt Summary'!M35</f>
        <v>6400</v>
      </c>
      <c r="H36" s="100" t="n">
        <f aca="false">+'Mgmt Summary'!D35</f>
        <v>6400</v>
      </c>
      <c r="I36" s="101" t="n">
        <f aca="false">+H36-G36</f>
        <v>0</v>
      </c>
      <c r="J36" s="102"/>
      <c r="K36" s="99" t="n">
        <f aca="false">C36-G36</f>
        <v>-6400</v>
      </c>
      <c r="L36" s="100" t="n">
        <f aca="false">D36-H36</f>
        <v>-6400</v>
      </c>
      <c r="M36" s="101" t="n">
        <f aca="false">K36-L36</f>
        <v>0</v>
      </c>
      <c r="N36" s="103"/>
      <c r="O36" s="99" t="n">
        <v>0</v>
      </c>
      <c r="P36" s="100" t="n">
        <f aca="false">-G36+'[5]QTD Mgmt Summary'!G36</f>
        <v>0</v>
      </c>
      <c r="Q36" s="101" t="n">
        <f aca="false">+O36+P36</f>
        <v>0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4.5" hidden="false" customHeight="true" outlineLevel="0" collapsed="false">
      <c r="A37" s="93"/>
      <c r="B37" s="87"/>
      <c r="C37" s="99"/>
      <c r="D37" s="100"/>
      <c r="E37" s="101"/>
      <c r="F37" s="102"/>
      <c r="G37" s="119"/>
      <c r="H37" s="100"/>
      <c r="I37" s="101"/>
      <c r="J37" s="102"/>
      <c r="K37" s="99"/>
      <c r="L37" s="100"/>
      <c r="M37" s="101"/>
      <c r="N37" s="92"/>
      <c r="O37" s="99"/>
      <c r="P37" s="100"/>
      <c r="Q37" s="101"/>
    </row>
    <row r="38" customFormat="false" ht="17.25" hidden="false" customHeight="false" outlineLevel="0" collapsed="false">
      <c r="A38" s="120" t="s">
        <v>46</v>
      </c>
      <c r="B38" s="121"/>
      <c r="C38" s="122" t="n">
        <f aca="false">+C34-C36</f>
        <v>-30292.031</v>
      </c>
      <c r="D38" s="123" t="n">
        <f aca="false">+D34-D36</f>
        <v>175311.472</v>
      </c>
      <c r="E38" s="124" t="n">
        <f aca="false">+E34-E36</f>
        <v>-205603.503</v>
      </c>
      <c r="F38" s="125"/>
      <c r="G38" s="122" t="n">
        <f aca="false">SUM(G34:G36)</f>
        <v>81136.562</v>
      </c>
      <c r="H38" s="123" t="n">
        <f aca="false">SUM(H34:H36)</f>
        <v>78996.562</v>
      </c>
      <c r="I38" s="124" t="n">
        <f aca="false">SUM(I34:I36)</f>
        <v>-2140</v>
      </c>
      <c r="J38" s="125"/>
      <c r="K38" s="122" t="n">
        <f aca="false">SUM(K34:K36)</f>
        <v>-111428.593</v>
      </c>
      <c r="L38" s="123" t="n">
        <f aca="false">SUM(L34:L36)</f>
        <v>96314.91</v>
      </c>
      <c r="M38" s="124" t="n">
        <f aca="false">SUM(M34:M36)</f>
        <v>-207743.503</v>
      </c>
      <c r="N38" s="117"/>
      <c r="O38" s="122" t="n">
        <f aca="false">SUM(O34:O36)</f>
        <v>-3983.815</v>
      </c>
      <c r="P38" s="123" t="n">
        <f aca="false">SUM(P34:P36)</f>
        <v>0</v>
      </c>
      <c r="Q38" s="124" t="n">
        <f aca="false">SUM(Q34:Q36)</f>
        <v>-3983.815</v>
      </c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  <c r="IW38" s="118"/>
    </row>
    <row r="39" customFormat="false" ht="3" hidden="false" customHeight="true" outlineLevel="0" collapsed="false">
      <c r="A39" s="63"/>
      <c r="C39" s="64"/>
      <c r="D39" s="58"/>
      <c r="E39" s="63"/>
      <c r="F39" s="58"/>
      <c r="I39" s="63"/>
    </row>
    <row r="40" customFormat="false" ht="12.75" hidden="false" customHeight="false" outlineLevel="0" collapsed="false">
      <c r="A40" s="1" t="s">
        <v>48</v>
      </c>
      <c r="C40" s="58"/>
      <c r="D40" s="58"/>
      <c r="E40" s="58"/>
      <c r="F40" s="58"/>
      <c r="I40" s="58"/>
    </row>
    <row r="41" customFormat="false" ht="12.75" hidden="false" customHeight="false" outlineLevel="0" collapsed="false">
      <c r="M41" s="126"/>
      <c r="Q41" s="126"/>
    </row>
    <row r="42" customFormat="false" ht="12.75" hidden="false" customHeight="false" outlineLevel="0" collapsed="false">
      <c r="L42" s="67"/>
    </row>
    <row r="43" customFormat="false" ht="12.75" hidden="false" customHeight="false" outlineLevel="0" collapsed="false">
      <c r="I43" s="67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9" min="8" style="1" width="7.7"/>
    <col collapsed="false" customWidth="true" hidden="false" outlineLevel="0" max="10" min="10" style="1" width="8.41"/>
    <col collapsed="false" customWidth="true" hidden="true" outlineLevel="0" max="12" min="11" style="1" width="7.7"/>
    <col collapsed="false" customWidth="true" hidden="false" outlineLevel="0" max="13" min="13" style="1" width="8.41"/>
    <col collapsed="false" customWidth="true" hidden="false" outlineLevel="0" max="15" min="14" style="1" width="8.85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27" t="s">
        <v>61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6"/>
    </row>
    <row r="4" customFormat="false" ht="3" hidden="false" customHeight="true" outlineLevel="0" collapsed="false"/>
    <row r="5" customFormat="false" ht="15" hidden="false" customHeight="true" outlineLevel="0" collapsed="false">
      <c r="A5" s="7"/>
      <c r="B5" s="8"/>
      <c r="C5" s="9" t="s">
        <v>3</v>
      </c>
      <c r="D5" s="9"/>
      <c r="E5" s="9"/>
      <c r="F5" s="8"/>
      <c r="G5" s="9" t="s">
        <v>4</v>
      </c>
      <c r="H5" s="9"/>
      <c r="I5" s="9"/>
      <c r="J5" s="9"/>
      <c r="K5" s="9"/>
      <c r="L5" s="9"/>
      <c r="M5" s="9"/>
      <c r="N5" s="9"/>
      <c r="O5" s="9"/>
      <c r="P5" s="8"/>
      <c r="Q5" s="9" t="s">
        <v>5</v>
      </c>
      <c r="R5" s="9"/>
      <c r="S5" s="9"/>
      <c r="T5" s="9"/>
      <c r="U5" s="9"/>
      <c r="V5" s="9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true" outlineLevel="0" collapsed="false">
      <c r="A6" s="10"/>
      <c r="B6" s="8"/>
      <c r="C6" s="11"/>
      <c r="D6" s="12"/>
      <c r="E6" s="11"/>
      <c r="F6" s="8"/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/>
      <c r="P6" s="8"/>
      <c r="Q6" s="11" t="s">
        <v>9</v>
      </c>
      <c r="R6" s="11" t="s">
        <v>10</v>
      </c>
      <c r="S6" s="13" t="s">
        <v>11</v>
      </c>
      <c r="T6" s="11" t="s">
        <v>12</v>
      </c>
      <c r="U6" s="11" t="s">
        <v>13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true" outlineLevel="0" collapsed="false">
      <c r="A7" s="13" t="s">
        <v>14</v>
      </c>
      <c r="B7" s="10"/>
      <c r="C7" s="14" t="s">
        <v>15</v>
      </c>
      <c r="D7" s="15" t="s">
        <v>16</v>
      </c>
      <c r="E7" s="14" t="s">
        <v>17</v>
      </c>
      <c r="F7" s="16"/>
      <c r="G7" s="13" t="s">
        <v>15</v>
      </c>
      <c r="H7" s="13" t="s">
        <v>18</v>
      </c>
      <c r="I7" s="13" t="s">
        <v>15</v>
      </c>
      <c r="J7" s="13" t="s">
        <v>15</v>
      </c>
      <c r="K7" s="14" t="s">
        <v>19</v>
      </c>
      <c r="L7" s="13" t="s">
        <v>20</v>
      </c>
      <c r="M7" s="13" t="s">
        <v>19</v>
      </c>
      <c r="N7" s="13" t="s">
        <v>19</v>
      </c>
      <c r="O7" s="13" t="s">
        <v>9</v>
      </c>
      <c r="P7" s="8"/>
      <c r="Q7" s="13" t="s">
        <v>15</v>
      </c>
      <c r="R7" s="13" t="s">
        <v>19</v>
      </c>
      <c r="S7" s="13" t="s">
        <v>20</v>
      </c>
      <c r="T7" s="13" t="s">
        <v>19</v>
      </c>
      <c r="U7" s="13" t="s">
        <v>19</v>
      </c>
      <c r="V7" s="13" t="s">
        <v>9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7"/>
      <c r="B8" s="18"/>
      <c r="C8" s="19"/>
      <c r="D8" s="20"/>
      <c r="E8" s="21"/>
      <c r="F8" s="18"/>
      <c r="G8" s="19"/>
      <c r="H8" s="20"/>
      <c r="I8" s="20"/>
      <c r="J8" s="17"/>
      <c r="K8" s="20"/>
      <c r="L8" s="19"/>
      <c r="M8" s="20"/>
      <c r="N8" s="20"/>
      <c r="O8" s="17"/>
      <c r="P8" s="22"/>
      <c r="Q8" s="19"/>
      <c r="R8" s="20"/>
      <c r="S8" s="20"/>
      <c r="T8" s="20"/>
      <c r="U8" s="20"/>
      <c r="V8" s="21"/>
      <c r="W8" s="22"/>
    </row>
    <row r="9" customFormat="false" ht="13.5" hidden="false" customHeight="true" outlineLevel="0" collapsed="false">
      <c r="A9" s="10" t="s">
        <v>21</v>
      </c>
      <c r="B9" s="23"/>
      <c r="C9" s="30" t="n">
        <f aca="false">GrossMargin!M10</f>
        <v>45000</v>
      </c>
      <c r="D9" s="29" t="n">
        <f aca="false">Expenses!E9+'Alloc Exp'!E10+'Alloc Exp'!L10</f>
        <v>16921.743</v>
      </c>
      <c r="E9" s="31" t="n">
        <f aca="false">C9-D9</f>
        <v>28078.257</v>
      </c>
      <c r="F9" s="29"/>
      <c r="G9" s="30" t="n">
        <f aca="false">GrossMargin!I10</f>
        <v>-7726</v>
      </c>
      <c r="H9" s="29" t="n">
        <f aca="false">GrossMargin!J10</f>
        <v>0</v>
      </c>
      <c r="I9" s="29" t="n">
        <f aca="false">GrossMargin!K10</f>
        <v>0</v>
      </c>
      <c r="J9" s="128" t="n">
        <f aca="false">SUM(G9:I9)</f>
        <v>-7726</v>
      </c>
      <c r="K9" s="129"/>
      <c r="L9" s="30" t="n">
        <f aca="false">'Alloc Exp'!D10</f>
        <v>0</v>
      </c>
      <c r="M9" s="29" t="n">
        <f aca="false">Expenses!D9</f>
        <v>6903.119</v>
      </c>
      <c r="N9" s="29" t="n">
        <f aca="false">'Alloc Exp'!K10</f>
        <v>10018.624</v>
      </c>
      <c r="O9" s="128" t="n">
        <f aca="false">J9-K9-M9-N9-L9</f>
        <v>-24647.743</v>
      </c>
      <c r="P9" s="29"/>
      <c r="Q9" s="30" t="n">
        <f aca="false">+J9-C9</f>
        <v>-52726</v>
      </c>
      <c r="R9" s="29"/>
      <c r="S9" s="29" t="n">
        <f aca="false">'Alloc Exp'!F10</f>
        <v>0</v>
      </c>
      <c r="T9" s="29" t="n">
        <f aca="false">Expenses!F9</f>
        <v>0</v>
      </c>
      <c r="U9" s="29" t="n">
        <f aca="false">'Alloc Exp'!M10</f>
        <v>0</v>
      </c>
      <c r="V9" s="31" t="n">
        <f aca="false">SUM(Q9:U9)</f>
        <v>-52726</v>
      </c>
      <c r="W9" s="22"/>
      <c r="X9" s="67"/>
    </row>
    <row r="10" customFormat="false" ht="13.5" hidden="false" customHeight="true" outlineLevel="0" collapsed="false">
      <c r="A10" s="10" t="s">
        <v>22</v>
      </c>
      <c r="B10" s="23"/>
      <c r="C10" s="30" t="n">
        <f aca="false">GrossMargin!M11</f>
        <v>16250</v>
      </c>
      <c r="D10" s="29" t="n">
        <f aca="false">Expenses!E10+'Alloc Exp'!E11+'Alloc Exp'!L11</f>
        <v>8899.487</v>
      </c>
      <c r="E10" s="31" t="n">
        <f aca="false">C10-D10</f>
        <v>7350.513</v>
      </c>
      <c r="F10" s="29"/>
      <c r="G10" s="30" t="n">
        <f aca="false">GrossMargin!I11</f>
        <v>1514.246</v>
      </c>
      <c r="H10" s="29" t="n">
        <f aca="false">GrossMargin!J11</f>
        <v>0</v>
      </c>
      <c r="I10" s="29" t="n">
        <f aca="false">GrossMargin!K11</f>
        <v>0</v>
      </c>
      <c r="J10" s="128" t="n">
        <f aca="false">SUM(G10:I10)</f>
        <v>1514.246</v>
      </c>
      <c r="K10" s="129"/>
      <c r="L10" s="30" t="n">
        <f aca="false">'Alloc Exp'!D11</f>
        <v>0</v>
      </c>
      <c r="M10" s="29" t="n">
        <f aca="false">Expenses!D10</f>
        <v>5110.533</v>
      </c>
      <c r="N10" s="29" t="n">
        <f aca="false">'Alloc Exp'!K11</f>
        <v>3788.954</v>
      </c>
      <c r="O10" s="128" t="n">
        <f aca="false">J10-K10-M10-N10-L10</f>
        <v>-7385.241</v>
      </c>
      <c r="P10" s="29"/>
      <c r="Q10" s="30" t="n">
        <f aca="false">+J10-C10</f>
        <v>-14735.754</v>
      </c>
      <c r="R10" s="29"/>
      <c r="S10" s="29" t="n">
        <f aca="false">'Alloc Exp'!F11</f>
        <v>0</v>
      </c>
      <c r="T10" s="29" t="n">
        <f aca="false">Expenses!F10</f>
        <v>0</v>
      </c>
      <c r="U10" s="29" t="n">
        <f aca="false">'Alloc Exp'!M11</f>
        <v>0</v>
      </c>
      <c r="V10" s="31" t="n">
        <f aca="false">SUM(Q10:U10)</f>
        <v>-14735.754</v>
      </c>
      <c r="W10" s="22"/>
    </row>
    <row r="11" customFormat="false" ht="13.5" hidden="false" customHeight="true" outlineLevel="0" collapsed="false">
      <c r="A11" s="10" t="s">
        <v>23</v>
      </c>
      <c r="B11" s="23"/>
      <c r="C11" s="30" t="n">
        <f aca="false">GrossMargin!M12</f>
        <v>2500</v>
      </c>
      <c r="D11" s="29" t="n">
        <f aca="false">Expenses!E11+'Alloc Exp'!E12+'Alloc Exp'!L12</f>
        <v>723.274</v>
      </c>
      <c r="E11" s="31" t="n">
        <f aca="false">C11-D11</f>
        <v>1776.726</v>
      </c>
      <c r="F11" s="29"/>
      <c r="G11" s="30" t="n">
        <f aca="false">GrossMargin!I12</f>
        <v>-394</v>
      </c>
      <c r="H11" s="29" t="n">
        <f aca="false">GrossMargin!J12</f>
        <v>0</v>
      </c>
      <c r="I11" s="29" t="n">
        <f aca="false">GrossMargin!K12</f>
        <v>0</v>
      </c>
      <c r="J11" s="128" t="n">
        <f aca="false">SUM(G11:I11)</f>
        <v>-394</v>
      </c>
      <c r="K11" s="129"/>
      <c r="L11" s="30" t="n">
        <f aca="false">'Alloc Exp'!D12</f>
        <v>0</v>
      </c>
      <c r="M11" s="29" t="n">
        <f aca="false">Expenses!D11</f>
        <v>348.209</v>
      </c>
      <c r="N11" s="29" t="n">
        <f aca="false">'Alloc Exp'!K12</f>
        <v>375.065</v>
      </c>
      <c r="O11" s="128" t="n">
        <f aca="false">J11-K11-M11-N11-L11</f>
        <v>-1117.274</v>
      </c>
      <c r="P11" s="29"/>
      <c r="Q11" s="30" t="n">
        <f aca="false">+J11-C11</f>
        <v>-2894</v>
      </c>
      <c r="R11" s="29"/>
      <c r="S11" s="29" t="n">
        <f aca="false">'Alloc Exp'!F12</f>
        <v>0</v>
      </c>
      <c r="T11" s="29" t="n">
        <f aca="false">Expenses!F11</f>
        <v>0</v>
      </c>
      <c r="U11" s="29" t="n">
        <f aca="false">'Alloc Exp'!M12</f>
        <v>0</v>
      </c>
      <c r="V11" s="31" t="n">
        <f aca="false">SUM(Q11:U11)</f>
        <v>-2894</v>
      </c>
      <c r="W11" s="22"/>
    </row>
    <row r="12" customFormat="false" ht="13.5" hidden="true" customHeight="true" outlineLevel="0" collapsed="false">
      <c r="A12" s="10" t="s">
        <v>24</v>
      </c>
      <c r="B12" s="23"/>
      <c r="C12" s="30" t="n">
        <f aca="false">GrossMargin!M13</f>
        <v>0</v>
      </c>
      <c r="D12" s="29" t="n">
        <f aca="false">Expenses!E12+'Alloc Exp'!E13+'Alloc Exp'!L13</f>
        <v>0</v>
      </c>
      <c r="E12" s="31" t="n">
        <f aca="false">C12-D12</f>
        <v>0</v>
      </c>
      <c r="F12" s="29"/>
      <c r="G12" s="30" t="n">
        <f aca="false">GrossMargin!I13</f>
        <v>0</v>
      </c>
      <c r="H12" s="29" t="n">
        <f aca="false">GrossMargin!J13</f>
        <v>0</v>
      </c>
      <c r="I12" s="29" t="n">
        <f aca="false">GrossMargin!K13</f>
        <v>0</v>
      </c>
      <c r="J12" s="128" t="n">
        <f aca="false">SUM(G12:I12)</f>
        <v>0</v>
      </c>
      <c r="K12" s="129"/>
      <c r="L12" s="30" t="n">
        <f aca="false">'Alloc Exp'!D13</f>
        <v>0</v>
      </c>
      <c r="M12" s="29" t="n">
        <f aca="false">Expenses!D12</f>
        <v>0</v>
      </c>
      <c r="N12" s="29" t="n">
        <f aca="false">'Alloc Exp'!K13</f>
        <v>0</v>
      </c>
      <c r="O12" s="128" t="n">
        <f aca="false">J12-K12-M12-N12-L12</f>
        <v>0</v>
      </c>
      <c r="P12" s="29"/>
      <c r="Q12" s="30" t="n">
        <f aca="false">+J12-C12</f>
        <v>0</v>
      </c>
      <c r="R12" s="29"/>
      <c r="S12" s="29" t="n">
        <f aca="false">'Alloc Exp'!F13</f>
        <v>0</v>
      </c>
      <c r="T12" s="29" t="n">
        <f aca="false">Expenses!F12</f>
        <v>0</v>
      </c>
      <c r="U12" s="29" t="n">
        <f aca="false">'Alloc Exp'!M13</f>
        <v>0</v>
      </c>
      <c r="V12" s="31" t="n">
        <f aca="false">SUM(Q12:U12)</f>
        <v>0</v>
      </c>
      <c r="W12" s="22"/>
    </row>
    <row r="13" customFormat="false" ht="13.5" hidden="false" customHeight="true" outlineLevel="0" collapsed="false">
      <c r="A13" s="10" t="s">
        <v>25</v>
      </c>
      <c r="B13" s="23"/>
      <c r="C13" s="30" t="n">
        <f aca="false">GrossMargin!M14</f>
        <v>8752.58</v>
      </c>
      <c r="D13" s="29" t="n">
        <f aca="false">Expenses!E13+'Alloc Exp'!E14+'Alloc Exp'!L14</f>
        <v>3336.833</v>
      </c>
      <c r="E13" s="31" t="n">
        <f aca="false">C13-D13</f>
        <v>5415.747</v>
      </c>
      <c r="F13" s="29"/>
      <c r="G13" s="30" t="n">
        <f aca="false">GrossMargin!I14</f>
        <v>1431</v>
      </c>
      <c r="H13" s="29" t="n">
        <f aca="false">GrossMargin!J14</f>
        <v>0</v>
      </c>
      <c r="I13" s="29" t="n">
        <f aca="false">GrossMargin!K14</f>
        <v>0</v>
      </c>
      <c r="J13" s="128" t="n">
        <f aca="false">SUM(G13:I13)</f>
        <v>1431</v>
      </c>
      <c r="K13" s="129"/>
      <c r="L13" s="30" t="n">
        <f aca="false">'Alloc Exp'!D14</f>
        <v>0</v>
      </c>
      <c r="M13" s="29" t="n">
        <f aca="false">Expenses!D13</f>
        <v>1860.081</v>
      </c>
      <c r="N13" s="29" t="n">
        <f aca="false">'Alloc Exp'!K14</f>
        <v>1776.752</v>
      </c>
      <c r="O13" s="128" t="n">
        <f aca="false">J13-K13-M13-N13-L13</f>
        <v>-2205.833</v>
      </c>
      <c r="P13" s="29"/>
      <c r="Q13" s="30" t="n">
        <f aca="false">+J13-C13</f>
        <v>-7321.58</v>
      </c>
      <c r="R13" s="29"/>
      <c r="S13" s="29" t="n">
        <f aca="false">'Alloc Exp'!F14</f>
        <v>0</v>
      </c>
      <c r="T13" s="29" t="n">
        <f aca="false">Expenses!F13</f>
        <v>-300</v>
      </c>
      <c r="U13" s="29" t="n">
        <f aca="false">'Alloc Exp'!M14</f>
        <v>0</v>
      </c>
      <c r="V13" s="31" t="n">
        <f aca="false">SUM(Q13:U13)</f>
        <v>-7621.58</v>
      </c>
      <c r="W13" s="22"/>
    </row>
    <row r="14" customFormat="false" ht="13.5" hidden="false" customHeight="true" outlineLevel="0" collapsed="false">
      <c r="A14" s="10" t="s">
        <v>26</v>
      </c>
      <c r="B14" s="23"/>
      <c r="C14" s="30" t="n">
        <f aca="false">GrossMargin!M15</f>
        <v>8875</v>
      </c>
      <c r="D14" s="29" t="n">
        <f aca="false">Expenses!E14+'Alloc Exp'!E15+'Alloc Exp'!L15</f>
        <v>3470.408</v>
      </c>
      <c r="E14" s="31" t="n">
        <f aca="false">C14-D14</f>
        <v>5404.592</v>
      </c>
      <c r="F14" s="29"/>
      <c r="G14" s="30" t="n">
        <f aca="false">GrossMargin!I15</f>
        <v>46.04</v>
      </c>
      <c r="H14" s="29" t="n">
        <f aca="false">GrossMargin!J15</f>
        <v>0</v>
      </c>
      <c r="I14" s="29" t="n">
        <f aca="false">GrossMargin!K15</f>
        <v>0</v>
      </c>
      <c r="J14" s="128" t="n">
        <f aca="false">SUM(G14:I14)</f>
        <v>46.04</v>
      </c>
      <c r="K14" s="129"/>
      <c r="L14" s="30" t="n">
        <f aca="false">'Alloc Exp'!D15</f>
        <v>0</v>
      </c>
      <c r="M14" s="29" t="n">
        <f aca="false">Expenses!D14</f>
        <v>2517.066</v>
      </c>
      <c r="N14" s="29" t="n">
        <f aca="false">'Alloc Exp'!K15</f>
        <v>953.342</v>
      </c>
      <c r="O14" s="128" t="n">
        <f aca="false">J14-K14-M14-N14-L14</f>
        <v>-3424.368</v>
      </c>
      <c r="P14" s="29"/>
      <c r="Q14" s="30" t="n">
        <f aca="false">+J14-C14</f>
        <v>-8828.96</v>
      </c>
      <c r="R14" s="29"/>
      <c r="S14" s="29" t="n">
        <f aca="false">'Alloc Exp'!F15</f>
        <v>0</v>
      </c>
      <c r="T14" s="29" t="n">
        <f aca="false">Expenses!F14</f>
        <v>0</v>
      </c>
      <c r="U14" s="29" t="n">
        <f aca="false">'Alloc Exp'!M15</f>
        <v>0</v>
      </c>
      <c r="V14" s="31" t="n">
        <f aca="false">SUM(Q14:U14)</f>
        <v>-8828.96</v>
      </c>
      <c r="W14" s="22"/>
    </row>
    <row r="15" customFormat="false" ht="13.5" hidden="false" customHeight="true" outlineLevel="0" collapsed="false">
      <c r="A15" s="32" t="s">
        <v>27</v>
      </c>
      <c r="B15" s="33"/>
      <c r="C15" s="30" t="n">
        <f aca="false">+GrossMargin!M22</f>
        <v>29545</v>
      </c>
      <c r="D15" s="29" t="n">
        <f aca="false">+Expenses!E15+'Alloc Exp'!E16+'Alloc Exp'!L16</f>
        <v>3130.547</v>
      </c>
      <c r="E15" s="31" t="n">
        <f aca="false">C15-D15</f>
        <v>26414.453</v>
      </c>
      <c r="F15" s="29"/>
      <c r="G15" s="30" t="n">
        <f aca="false">+GrossMargin!I22</f>
        <v>4499</v>
      </c>
      <c r="H15" s="29" t="n">
        <f aca="false">GrossMargin!J16</f>
        <v>0</v>
      </c>
      <c r="I15" s="29" t="n">
        <f aca="false">+GrossMargin!K22</f>
        <v>0</v>
      </c>
      <c r="J15" s="128" t="n">
        <f aca="false">SUM(G15:I15)</f>
        <v>4499</v>
      </c>
      <c r="K15" s="129"/>
      <c r="L15" s="30" t="n">
        <f aca="false">+'Alloc Exp'!D16</f>
        <v>0</v>
      </c>
      <c r="M15" s="29" t="n">
        <f aca="false">Expenses!D15</f>
        <v>1849.136</v>
      </c>
      <c r="N15" s="29" t="n">
        <f aca="false">+'Alloc Exp'!K16</f>
        <v>1281.411</v>
      </c>
      <c r="O15" s="128" t="n">
        <f aca="false">J15-K15-M15-N15-L15</f>
        <v>1368.453</v>
      </c>
      <c r="P15" s="29"/>
      <c r="Q15" s="30" t="n">
        <f aca="false">+J15-C15</f>
        <v>-25046</v>
      </c>
      <c r="R15" s="29"/>
      <c r="S15" s="29" t="n">
        <f aca="false">+'Alloc Exp'!F16</f>
        <v>0</v>
      </c>
      <c r="T15" s="29" t="n">
        <f aca="false">Expenses!F15</f>
        <v>0</v>
      </c>
      <c r="U15" s="29" t="n">
        <f aca="false">+'Alloc Exp'!M16</f>
        <v>0</v>
      </c>
      <c r="V15" s="31" t="n">
        <f aca="false">SUM(Q15:U15)</f>
        <v>-25046</v>
      </c>
      <c r="W15" s="34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3.5" hidden="false" customHeight="true" outlineLevel="0" collapsed="false">
      <c r="A16" s="32" t="s">
        <v>28</v>
      </c>
      <c r="B16" s="33"/>
      <c r="C16" s="30" t="n">
        <f aca="false">+GrossMargin!M23</f>
        <v>13305.5</v>
      </c>
      <c r="D16" s="29" t="n">
        <f aca="false">+Expenses!E16+'Alloc Exp'!E17+'Alloc Exp'!L17</f>
        <v>8763.21</v>
      </c>
      <c r="E16" s="31" t="n">
        <f aca="false">C16-D16</f>
        <v>4542.29</v>
      </c>
      <c r="F16" s="29"/>
      <c r="G16" s="30" t="n">
        <f aca="false">+GrossMargin!I23</f>
        <v>-38.317</v>
      </c>
      <c r="H16" s="29" t="n">
        <f aca="false">GrossMargin!J18</f>
        <v>0</v>
      </c>
      <c r="I16" s="29" t="n">
        <f aca="false">+GrossMargin!K23</f>
        <v>0</v>
      </c>
      <c r="J16" s="128" t="n">
        <f aca="false">SUM(G16:I16)</f>
        <v>-38.317</v>
      </c>
      <c r="K16" s="129"/>
      <c r="L16" s="30" t="n">
        <f aca="false">+'Alloc Exp'!D17</f>
        <v>0</v>
      </c>
      <c r="M16" s="29" t="n">
        <f aca="false">Expenses!D16</f>
        <v>7322.176</v>
      </c>
      <c r="N16" s="29" t="n">
        <f aca="false">+'Alloc Exp'!K17</f>
        <v>1441.034</v>
      </c>
      <c r="O16" s="128" t="n">
        <f aca="false">J16-K16-M16-N16-L16</f>
        <v>-8801.527</v>
      </c>
      <c r="P16" s="29"/>
      <c r="Q16" s="30" t="n">
        <f aca="false">+J16-C16</f>
        <v>-13343.817</v>
      </c>
      <c r="R16" s="29"/>
      <c r="S16" s="29" t="n">
        <f aca="false">+'Alloc Exp'!F17</f>
        <v>0</v>
      </c>
      <c r="T16" s="29" t="n">
        <f aca="false">Expenses!F16</f>
        <v>0</v>
      </c>
      <c r="U16" s="29" t="n">
        <f aca="false">+'Alloc Exp'!M17</f>
        <v>0</v>
      </c>
      <c r="V16" s="31" t="n">
        <f aca="false">SUM(Q16:U16)</f>
        <v>-13343.817</v>
      </c>
      <c r="W16" s="34"/>
      <c r="X16" s="35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3.5" hidden="false" customHeight="true" outlineLevel="0" collapsed="false">
      <c r="A17" s="32" t="s">
        <v>29</v>
      </c>
      <c r="B17" s="33"/>
      <c r="C17" s="30" t="n">
        <f aca="false">+GrossMargin!M24</f>
        <v>44000</v>
      </c>
      <c r="D17" s="29" t="n">
        <f aca="false">+Expenses!E17+'Alloc Exp'!E18+'Alloc Exp'!L18</f>
        <v>2619.428</v>
      </c>
      <c r="E17" s="31" t="n">
        <f aca="false">C17-D17</f>
        <v>41380.572</v>
      </c>
      <c r="F17" s="29"/>
      <c r="G17" s="30" t="n">
        <f aca="false">+GrossMargin!I24</f>
        <v>376</v>
      </c>
      <c r="H17" s="29" t="n">
        <f aca="false">GrossMargin!J19</f>
        <v>0</v>
      </c>
      <c r="I17" s="29" t="n">
        <f aca="false">+GrossMargin!K24</f>
        <v>0</v>
      </c>
      <c r="J17" s="128" t="n">
        <f aca="false">SUM(G17:I17)</f>
        <v>376</v>
      </c>
      <c r="K17" s="129"/>
      <c r="L17" s="30" t="n">
        <f aca="false">+'Alloc Exp'!D18</f>
        <v>0</v>
      </c>
      <c r="M17" s="29" t="n">
        <f aca="false">Expenses!D17</f>
        <v>3270.25</v>
      </c>
      <c r="N17" s="29" t="n">
        <f aca="false">+'Alloc Exp'!K18</f>
        <v>1189.178</v>
      </c>
      <c r="O17" s="128" t="n">
        <f aca="false">J17-K17-M17-N17-L17</f>
        <v>-4083.428</v>
      </c>
      <c r="P17" s="29"/>
      <c r="Q17" s="30" t="n">
        <f aca="false">+J17-C17</f>
        <v>-43624</v>
      </c>
      <c r="R17" s="29"/>
      <c r="S17" s="29" t="n">
        <f aca="false">+'Alloc Exp'!F18</f>
        <v>0</v>
      </c>
      <c r="T17" s="29" t="n">
        <f aca="false">Expenses!F17</f>
        <v>-1840</v>
      </c>
      <c r="U17" s="29" t="n">
        <f aca="false">+'Alloc Exp'!M18</f>
        <v>0</v>
      </c>
      <c r="V17" s="31" t="n">
        <f aca="false">SUM(Q17:U17)</f>
        <v>-45464</v>
      </c>
      <c r="W17" s="34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3.5" hidden="true" customHeight="true" outlineLevel="0" collapsed="false">
      <c r="A18" s="32" t="s">
        <v>31</v>
      </c>
      <c r="B18" s="33"/>
      <c r="C18" s="30" t="n">
        <f aca="false">+GrossMargin!M25</f>
        <v>0</v>
      </c>
      <c r="D18" s="29" t="n">
        <f aca="false">+Expenses!E18+'Alloc Exp'!E19+'Alloc Exp'!L19</f>
        <v>0</v>
      </c>
      <c r="E18" s="31" t="n">
        <f aca="false">C18-D18</f>
        <v>0</v>
      </c>
      <c r="F18" s="29"/>
      <c r="G18" s="30" t="n">
        <f aca="false">+GrossMargin!I25</f>
        <v>0</v>
      </c>
      <c r="H18" s="29" t="n">
        <f aca="false">GrossMargin!J21</f>
        <v>0</v>
      </c>
      <c r="I18" s="29" t="n">
        <f aca="false">+GrossMargin!K25</f>
        <v>0</v>
      </c>
      <c r="J18" s="128" t="n">
        <f aca="false">SUM(G18:I18)</f>
        <v>0</v>
      </c>
      <c r="K18" s="129"/>
      <c r="L18" s="30" t="n">
        <f aca="false">+'Alloc Exp'!D19</f>
        <v>0</v>
      </c>
      <c r="M18" s="29" t="n">
        <f aca="false">Expenses!D18</f>
        <v>0</v>
      </c>
      <c r="N18" s="29" t="n">
        <f aca="false">+'Alloc Exp'!K19</f>
        <v>0</v>
      </c>
      <c r="O18" s="128" t="n">
        <f aca="false">J18-K18-M18-N18-L18</f>
        <v>0</v>
      </c>
      <c r="P18" s="29"/>
      <c r="Q18" s="30" t="n">
        <f aca="false">+J18-C18</f>
        <v>0</v>
      </c>
      <c r="R18" s="29"/>
      <c r="S18" s="29" t="n">
        <f aca="false">+'Alloc Exp'!F19</f>
        <v>0</v>
      </c>
      <c r="T18" s="29" t="n">
        <f aca="false">Expenses!F18</f>
        <v>0</v>
      </c>
      <c r="U18" s="29" t="n">
        <f aca="false">+'Alloc Exp'!M19</f>
        <v>0</v>
      </c>
      <c r="V18" s="31" t="n">
        <f aca="false">SUM(Q18:U18)</f>
        <v>0</v>
      </c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3.5" hidden="false" customHeight="true" outlineLevel="0" collapsed="false">
      <c r="A19" s="32" t="s">
        <v>32</v>
      </c>
      <c r="B19" s="33"/>
      <c r="C19" s="30" t="n">
        <f aca="false">+GrossMargin!M26</f>
        <v>3750</v>
      </c>
      <c r="D19" s="29" t="n">
        <f aca="false">+Expenses!E19+'Alloc Exp'!E20+'Alloc Exp'!L20</f>
        <v>3366.378</v>
      </c>
      <c r="E19" s="31" t="n">
        <f aca="false">C19-D19</f>
        <v>383.622</v>
      </c>
      <c r="F19" s="29"/>
      <c r="G19" s="30" t="n">
        <f aca="false">+GrossMargin!I26</f>
        <v>0</v>
      </c>
      <c r="H19" s="29" t="n">
        <f aca="false">GrossMargin!J22</f>
        <v>0</v>
      </c>
      <c r="I19" s="29" t="n">
        <f aca="false">+GrossMargin!K26</f>
        <v>0</v>
      </c>
      <c r="J19" s="128" t="n">
        <f aca="false">SUM(G19:I19)</f>
        <v>0</v>
      </c>
      <c r="K19" s="129"/>
      <c r="L19" s="30" t="n">
        <f aca="false">+'Alloc Exp'!D20</f>
        <v>0</v>
      </c>
      <c r="M19" s="29" t="n">
        <f aca="false">Expenses!D19</f>
        <v>1542.486</v>
      </c>
      <c r="N19" s="29" t="n">
        <f aca="false">+'Alloc Exp'!K20</f>
        <v>1823.892</v>
      </c>
      <c r="O19" s="128" t="n">
        <f aca="false">J19-K19-M19-N19-L19</f>
        <v>-3366.378</v>
      </c>
      <c r="P19" s="29"/>
      <c r="Q19" s="30" t="n">
        <f aca="false">+J19-C19</f>
        <v>-3750</v>
      </c>
      <c r="R19" s="29"/>
      <c r="S19" s="29" t="n">
        <f aca="false">+'Alloc Exp'!F20</f>
        <v>0</v>
      </c>
      <c r="T19" s="29" t="n">
        <f aca="false">Expenses!F19</f>
        <v>0</v>
      </c>
      <c r="U19" s="29" t="n">
        <f aca="false">+'Alloc Exp'!M20</f>
        <v>0</v>
      </c>
      <c r="V19" s="31" t="n">
        <f aca="false">SUM(Q19:U19)</f>
        <v>-3750</v>
      </c>
      <c r="W19" s="34"/>
      <c r="X19" s="35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3.5" hidden="false" customHeight="true" outlineLevel="0" collapsed="false">
      <c r="A20" s="32" t="s">
        <v>33</v>
      </c>
      <c r="B20" s="33"/>
      <c r="C20" s="30" t="n">
        <f aca="false">+GrossMargin!M27</f>
        <v>1602.701</v>
      </c>
      <c r="D20" s="29" t="n">
        <f aca="false">+Expenses!E20+'Alloc Exp'!E21+'Alloc Exp'!L21</f>
        <v>138.45</v>
      </c>
      <c r="E20" s="31" t="n">
        <f aca="false">C20-D20</f>
        <v>1464.251</v>
      </c>
      <c r="F20" s="29"/>
      <c r="G20" s="30" t="n">
        <f aca="false">+GrossMargin!I27</f>
        <v>0</v>
      </c>
      <c r="H20" s="29" t="n">
        <f aca="false">GrossMargin!J23</f>
        <v>0</v>
      </c>
      <c r="I20" s="29" t="n">
        <f aca="false">+GrossMargin!K27</f>
        <v>0</v>
      </c>
      <c r="J20" s="128" t="n">
        <f aca="false">SUM(G20:I20)</f>
        <v>0</v>
      </c>
      <c r="K20" s="129"/>
      <c r="L20" s="30" t="n">
        <f aca="false">+'Alloc Exp'!D21</f>
        <v>0</v>
      </c>
      <c r="M20" s="29" t="n">
        <f aca="false">Expenses!D20</f>
        <v>138.45</v>
      </c>
      <c r="N20" s="29" t="n">
        <f aca="false">+'Alloc Exp'!K21</f>
        <v>0</v>
      </c>
      <c r="O20" s="128" t="n">
        <f aca="false">J20-K20-M20-N20-L20</f>
        <v>-138.45</v>
      </c>
      <c r="P20" s="29"/>
      <c r="Q20" s="30" t="n">
        <f aca="false">+J20-C20</f>
        <v>-1602.701</v>
      </c>
      <c r="R20" s="29"/>
      <c r="S20" s="29" t="n">
        <f aca="false">+'Alloc Exp'!F21</f>
        <v>0</v>
      </c>
      <c r="T20" s="29" t="n">
        <f aca="false">Expenses!F20</f>
        <v>0</v>
      </c>
      <c r="U20" s="29" t="n">
        <f aca="false">+'Alloc Exp'!M21</f>
        <v>0</v>
      </c>
      <c r="V20" s="31" t="n">
        <f aca="false">SUM(Q20:U20)</f>
        <v>-1602.701</v>
      </c>
      <c r="W20" s="34"/>
      <c r="X20" s="35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3.5" hidden="false" customHeight="true" outlineLevel="0" collapsed="false">
      <c r="A21" s="10" t="s">
        <v>34</v>
      </c>
      <c r="B21" s="23"/>
      <c r="C21" s="30" t="n">
        <f aca="false">+GrossMargin!M28</f>
        <v>0</v>
      </c>
      <c r="D21" s="29" t="n">
        <f aca="false">+Expenses!E21+'Alloc Exp'!E22+'Alloc Exp'!L22</f>
        <v>765.961</v>
      </c>
      <c r="E21" s="31" t="n">
        <f aca="false">C21-D21</f>
        <v>-765.961</v>
      </c>
      <c r="F21" s="29"/>
      <c r="G21" s="30" t="n">
        <f aca="false">+GrossMargin!I28</f>
        <v>0</v>
      </c>
      <c r="H21" s="29" t="n">
        <f aca="false">GrossMargin!J22</f>
        <v>0</v>
      </c>
      <c r="I21" s="29" t="n">
        <f aca="false">+GrossMargin!K28</f>
        <v>0</v>
      </c>
      <c r="J21" s="128" t="n">
        <f aca="false">SUM(G21:I21)</f>
        <v>0</v>
      </c>
      <c r="K21" s="129"/>
      <c r="L21" s="30" t="n">
        <f aca="false">+'Alloc Exp'!D22</f>
        <v>0</v>
      </c>
      <c r="M21" s="29" t="n">
        <f aca="false">Expenses!D21</f>
        <v>695.867</v>
      </c>
      <c r="N21" s="29" t="n">
        <f aca="false">+'Alloc Exp'!K22</f>
        <v>70.094</v>
      </c>
      <c r="O21" s="128" t="n">
        <f aca="false">J21-K21-M21-N21-L21</f>
        <v>-765.961</v>
      </c>
      <c r="P21" s="29"/>
      <c r="Q21" s="30" t="n">
        <f aca="false">+J21-C21</f>
        <v>0</v>
      </c>
      <c r="R21" s="29"/>
      <c r="S21" s="29" t="n">
        <f aca="false">+'Alloc Exp'!F22</f>
        <v>0</v>
      </c>
      <c r="T21" s="29" t="n">
        <f aca="false">Expenses!F21</f>
        <v>0</v>
      </c>
      <c r="U21" s="29" t="n">
        <f aca="false">+'Alloc Exp'!M22</f>
        <v>0</v>
      </c>
      <c r="V21" s="31" t="n">
        <f aca="false">SUM(Q21:U21)</f>
        <v>0</v>
      </c>
      <c r="W21" s="22"/>
    </row>
    <row r="22" customFormat="false" ht="13.5" hidden="false" customHeight="true" outlineLevel="0" collapsed="false">
      <c r="A22" s="10" t="s">
        <v>57</v>
      </c>
      <c r="B22" s="23"/>
      <c r="C22" s="30" t="n">
        <f aca="false">+GrossMargin!M29</f>
        <v>0</v>
      </c>
      <c r="D22" s="29" t="n">
        <v>0</v>
      </c>
      <c r="E22" s="31" t="n">
        <f aca="false">C22-D22</f>
        <v>0</v>
      </c>
      <c r="F22" s="29"/>
      <c r="G22" s="30" t="n">
        <f aca="false">+GrossMargin!I29</f>
        <v>-30000</v>
      </c>
      <c r="H22" s="29"/>
      <c r="I22" s="29"/>
      <c r="J22" s="128" t="n">
        <f aca="false">SUM(G22:I22)</f>
        <v>-30000</v>
      </c>
      <c r="K22" s="129"/>
      <c r="L22" s="30"/>
      <c r="M22" s="29" t="n">
        <v>0</v>
      </c>
      <c r="N22" s="29" t="n">
        <v>0</v>
      </c>
      <c r="O22" s="128" t="n">
        <f aca="false">J22-K22-M22-N22-L22</f>
        <v>-30000</v>
      </c>
      <c r="P22" s="29"/>
      <c r="Q22" s="30" t="n">
        <f aca="false">+J22-C22</f>
        <v>-30000</v>
      </c>
      <c r="R22" s="29"/>
      <c r="S22" s="29"/>
      <c r="T22" s="29" t="n">
        <v>0</v>
      </c>
      <c r="U22" s="29" t="n">
        <v>0</v>
      </c>
      <c r="V22" s="31" t="n">
        <f aca="false">SUM(Q22:U22)</f>
        <v>-30000</v>
      </c>
      <c r="W22" s="22"/>
    </row>
    <row r="23" customFormat="false" ht="13.5" hidden="false" customHeight="true" outlineLevel="0" collapsed="false">
      <c r="A23" s="10" t="s">
        <v>35</v>
      </c>
      <c r="B23" s="23"/>
      <c r="C23" s="30" t="n">
        <f aca="false">+GrossMargin!M30</f>
        <v>0</v>
      </c>
      <c r="D23" s="29" t="n">
        <f aca="false">+Expenses!E22+'Alloc Exp'!E23+'Alloc Exp'!L23</f>
        <v>1010.956</v>
      </c>
      <c r="E23" s="31" t="n">
        <f aca="false">C23-D23</f>
        <v>-1010.956</v>
      </c>
      <c r="F23" s="29"/>
      <c r="G23" s="30" t="n">
        <f aca="false">+GrossMargin!I30</f>
        <v>0</v>
      </c>
      <c r="H23" s="29" t="n">
        <f aca="false">GrossMargin!J23</f>
        <v>0</v>
      </c>
      <c r="I23" s="29" t="n">
        <f aca="false">+GrossMargin!K30</f>
        <v>0</v>
      </c>
      <c r="J23" s="128" t="n">
        <f aca="false">SUM(G23:I23)</f>
        <v>0</v>
      </c>
      <c r="K23" s="129"/>
      <c r="L23" s="30" t="n">
        <f aca="false">+'Alloc Exp'!D23</f>
        <v>0</v>
      </c>
      <c r="M23" s="29" t="n">
        <f aca="false">Expenses!D22</f>
        <v>537.204</v>
      </c>
      <c r="N23" s="29" t="n">
        <f aca="false">+'Alloc Exp'!K23</f>
        <v>473.752</v>
      </c>
      <c r="O23" s="128" t="n">
        <f aca="false">J23-K23-M23-N23-L23</f>
        <v>-1010.956</v>
      </c>
      <c r="P23" s="29"/>
      <c r="Q23" s="30" t="n">
        <f aca="false">+J23-C23</f>
        <v>0</v>
      </c>
      <c r="R23" s="29"/>
      <c r="S23" s="29" t="n">
        <f aca="false">+'Alloc Exp'!F23</f>
        <v>0</v>
      </c>
      <c r="T23" s="29" t="n">
        <f aca="false">Expenses!F22</f>
        <v>0</v>
      </c>
      <c r="U23" s="29" t="n">
        <f aca="false">+'Alloc Exp'!M23</f>
        <v>0</v>
      </c>
      <c r="V23" s="31" t="n">
        <f aca="false">SUM(Q23:U23)</f>
        <v>0</v>
      </c>
      <c r="W23" s="22"/>
    </row>
    <row r="24" customFormat="false" ht="13.5" hidden="false" customHeight="true" outlineLevel="0" collapsed="false">
      <c r="A24" s="10" t="s">
        <v>36</v>
      </c>
      <c r="B24" s="23"/>
      <c r="C24" s="30" t="n">
        <f aca="false">+GrossMargin!M31</f>
        <v>1730.691</v>
      </c>
      <c r="D24" s="29" t="n">
        <f aca="false">+Expenses!E23+'Alloc Exp'!E24+'Alloc Exp'!L24</f>
        <v>0</v>
      </c>
      <c r="E24" s="31" t="n">
        <f aca="false">C24-D24</f>
        <v>1730.691</v>
      </c>
      <c r="F24" s="29"/>
      <c r="G24" s="30" t="n">
        <f aca="false">+GrossMargin!I31</f>
        <v>0</v>
      </c>
      <c r="H24" s="29" t="n">
        <f aca="false">GrossMargin!J24</f>
        <v>0</v>
      </c>
      <c r="I24" s="29" t="n">
        <f aca="false">+GrossMargin!K31</f>
        <v>0</v>
      </c>
      <c r="J24" s="128" t="n">
        <f aca="false">SUM(G24:I24)</f>
        <v>0</v>
      </c>
      <c r="K24" s="129"/>
      <c r="L24" s="30" t="n">
        <f aca="false">+'Alloc Exp'!D24</f>
        <v>0</v>
      </c>
      <c r="M24" s="29" t="n">
        <f aca="false">Expenses!D23</f>
        <v>0</v>
      </c>
      <c r="N24" s="29" t="n">
        <f aca="false">+'Alloc Exp'!K24</f>
        <v>0</v>
      </c>
      <c r="O24" s="128" t="n">
        <f aca="false">J24-K24-M24-N24-L24</f>
        <v>0</v>
      </c>
      <c r="P24" s="29"/>
      <c r="Q24" s="30" t="n">
        <f aca="false">+J24-C24</f>
        <v>-1730.691</v>
      </c>
      <c r="R24" s="29"/>
      <c r="S24" s="29" t="n">
        <f aca="false">+'Alloc Exp'!F24</f>
        <v>0</v>
      </c>
      <c r="T24" s="29" t="n">
        <f aca="false">Expenses!F23</f>
        <v>0</v>
      </c>
      <c r="U24" s="29" t="n">
        <f aca="false">+'Alloc Exp'!M24</f>
        <v>0</v>
      </c>
      <c r="V24" s="31" t="n">
        <f aca="false">SUM(Q24:U24)</f>
        <v>-1730.691</v>
      </c>
      <c r="W24" s="22"/>
    </row>
    <row r="25" customFormat="false" ht="3" hidden="false" customHeight="true" outlineLevel="0" collapsed="false">
      <c r="A25" s="10"/>
      <c r="B25" s="23"/>
      <c r="C25" s="30"/>
      <c r="D25" s="29"/>
      <c r="E25" s="31"/>
      <c r="F25" s="29"/>
      <c r="G25" s="30"/>
      <c r="H25" s="29"/>
      <c r="I25" s="29"/>
      <c r="J25" s="128"/>
      <c r="K25" s="129"/>
      <c r="L25" s="130"/>
      <c r="M25" s="29"/>
      <c r="N25" s="29"/>
      <c r="O25" s="128"/>
      <c r="P25" s="29"/>
      <c r="Q25" s="30"/>
      <c r="R25" s="29"/>
      <c r="S25" s="29"/>
      <c r="T25" s="29"/>
      <c r="U25" s="29"/>
      <c r="V25" s="31"/>
      <c r="W25" s="22"/>
    </row>
    <row r="26" customFormat="false" ht="12" hidden="false" customHeight="true" outlineLevel="0" collapsed="false">
      <c r="A26" s="38" t="s">
        <v>58</v>
      </c>
      <c r="B26" s="23"/>
      <c r="C26" s="43" t="n">
        <f aca="false">SUM(C9:C25)</f>
        <v>175311.472</v>
      </c>
      <c r="D26" s="44" t="n">
        <f aca="false">SUM(D9:D25)</f>
        <v>53146.675</v>
      </c>
      <c r="E26" s="45" t="n">
        <f aca="false">SUM(E9:E25)</f>
        <v>122164.797</v>
      </c>
      <c r="F26" s="29"/>
      <c r="G26" s="43" t="n">
        <f aca="false">SUM(G9:G25)</f>
        <v>-30292.031</v>
      </c>
      <c r="H26" s="44" t="n">
        <f aca="false">SUM(H9:H25)</f>
        <v>0</v>
      </c>
      <c r="I26" s="44" t="n">
        <f aca="false">SUM(I9:I25)</f>
        <v>0</v>
      </c>
      <c r="J26" s="131" t="n">
        <f aca="false">SUM(J9:J25)</f>
        <v>-30292.031</v>
      </c>
      <c r="K26" s="44" t="n">
        <f aca="false">SUM(K9:K25)</f>
        <v>0</v>
      </c>
      <c r="L26" s="43" t="n">
        <f aca="false">SUM(L9:L25)</f>
        <v>0</v>
      </c>
      <c r="M26" s="44" t="n">
        <f aca="false">SUM(M9:M25)</f>
        <v>32094.577</v>
      </c>
      <c r="N26" s="44" t="n">
        <f aca="false">SUM(N9:N25)</f>
        <v>23192.098</v>
      </c>
      <c r="O26" s="131" t="n">
        <f aca="false">SUM(O9:O25)</f>
        <v>-85578.706</v>
      </c>
      <c r="P26" s="29"/>
      <c r="Q26" s="43" t="n">
        <f aca="false">SUM(Q9:Q25)</f>
        <v>-205603.503</v>
      </c>
      <c r="R26" s="44" t="n">
        <f aca="false">SUM(R9:R25)</f>
        <v>0</v>
      </c>
      <c r="S26" s="44" t="n">
        <f aca="false">SUM(S9:S25)</f>
        <v>0</v>
      </c>
      <c r="T26" s="44" t="n">
        <f aca="false">SUM(T9:T25)</f>
        <v>-2140</v>
      </c>
      <c r="U26" s="44" t="n">
        <f aca="false">SUM(U9:U25)</f>
        <v>0</v>
      </c>
      <c r="V26" s="45" t="n">
        <f aca="false">SUM(V9:V25)</f>
        <v>-207743.503</v>
      </c>
      <c r="W26" s="2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" hidden="false" customHeight="true" outlineLevel="0" collapsed="false">
      <c r="A27" s="10"/>
      <c r="B27" s="23"/>
      <c r="C27" s="30"/>
      <c r="D27" s="29"/>
      <c r="E27" s="31"/>
      <c r="F27" s="29"/>
      <c r="G27" s="30"/>
      <c r="H27" s="29"/>
      <c r="I27" s="29"/>
      <c r="J27" s="128"/>
      <c r="K27" s="129"/>
      <c r="L27" s="130"/>
      <c r="M27" s="29"/>
      <c r="N27" s="29"/>
      <c r="O27" s="128"/>
      <c r="P27" s="29"/>
      <c r="Q27" s="30"/>
      <c r="R27" s="29"/>
      <c r="S27" s="29"/>
      <c r="T27" s="29"/>
      <c r="U27" s="29"/>
      <c r="V27" s="31"/>
      <c r="W27" s="22"/>
    </row>
    <row r="28" customFormat="false" ht="13.5" hidden="false" customHeight="true" outlineLevel="0" collapsed="false">
      <c r="A28" s="10" t="s">
        <v>38</v>
      </c>
      <c r="B28" s="23"/>
      <c r="C28" s="30" t="n">
        <v>0</v>
      </c>
      <c r="D28" s="29" t="n">
        <f aca="false">Expenses!E26</f>
        <v>42641.985</v>
      </c>
      <c r="E28" s="31" t="n">
        <f aca="false">C28-D28</f>
        <v>-42641.985</v>
      </c>
      <c r="F28" s="29"/>
      <c r="G28" s="30" t="n">
        <v>0</v>
      </c>
      <c r="H28" s="29" t="n">
        <v>0</v>
      </c>
      <c r="I28" s="29" t="n">
        <v>0</v>
      </c>
      <c r="J28" s="128" t="n">
        <f aca="false">SUM(G28:I28)</f>
        <v>0</v>
      </c>
      <c r="K28" s="129"/>
      <c r="L28" s="30" t="n">
        <f aca="false">'Alloc Exp'!D28</f>
        <v>0</v>
      </c>
      <c r="M28" s="29" t="n">
        <f aca="false">+Expenses!D26</f>
        <v>42641.985</v>
      </c>
      <c r="N28" s="29" t="n">
        <v>0</v>
      </c>
      <c r="O28" s="128" t="n">
        <f aca="false">J28-K28-M28-N28-L28</f>
        <v>-42641.985</v>
      </c>
      <c r="P28" s="29"/>
      <c r="Q28" s="30" t="n">
        <f aca="false">+J28-C28</f>
        <v>0</v>
      </c>
      <c r="R28" s="29"/>
      <c r="S28" s="29" t="n">
        <v>0</v>
      </c>
      <c r="T28" s="29" t="n">
        <f aca="false">Expenses!F26</f>
        <v>0</v>
      </c>
      <c r="U28" s="29" t="n">
        <v>0</v>
      </c>
      <c r="V28" s="31" t="n">
        <f aca="false">SUM(Q28:U28)</f>
        <v>0</v>
      </c>
      <c r="W28" s="22"/>
    </row>
    <row r="29" customFormat="false" ht="13.5" hidden="false" customHeight="true" outlineLevel="0" collapsed="false">
      <c r="A29" s="10" t="s">
        <v>39</v>
      </c>
      <c r="B29" s="23"/>
      <c r="C29" s="30" t="n">
        <v>0</v>
      </c>
      <c r="D29" s="29" t="n">
        <f aca="false">+'Alloc Exp'!L28</f>
        <v>-23192.098</v>
      </c>
      <c r="E29" s="31" t="n">
        <f aca="false">C29-D29</f>
        <v>23192.098</v>
      </c>
      <c r="F29" s="29"/>
      <c r="G29" s="30" t="n">
        <v>0</v>
      </c>
      <c r="H29" s="29"/>
      <c r="I29" s="29" t="n">
        <v>0</v>
      </c>
      <c r="J29" s="128" t="n">
        <f aca="false">SUM(G29:I29)</f>
        <v>0</v>
      </c>
      <c r="K29" s="129"/>
      <c r="L29" s="30" t="n">
        <v>0</v>
      </c>
      <c r="M29" s="29" t="n">
        <v>0</v>
      </c>
      <c r="N29" s="29" t="n">
        <f aca="false">+'Alloc Exp'!K28</f>
        <v>-23192.098</v>
      </c>
      <c r="O29" s="128" t="n">
        <f aca="false">J29-K29-M29-N29-L29</f>
        <v>23192.098</v>
      </c>
      <c r="P29" s="29"/>
      <c r="Q29" s="30" t="n">
        <f aca="false">+J29-C29</f>
        <v>0</v>
      </c>
      <c r="R29" s="29"/>
      <c r="S29" s="29" t="n">
        <v>0</v>
      </c>
      <c r="T29" s="29" t="n">
        <f aca="false">-T28</f>
        <v>-0</v>
      </c>
      <c r="U29" s="29" t="n">
        <f aca="false">+'Alloc Exp'!M28</f>
        <v>0</v>
      </c>
      <c r="V29" s="31" t="n">
        <f aca="false">SUM(Q29:U29)</f>
        <v>0</v>
      </c>
      <c r="W29" s="22"/>
    </row>
    <row r="30" customFormat="false" ht="13.5" hidden="true" customHeight="true" outlineLevel="0" collapsed="false">
      <c r="A30" s="10" t="s">
        <v>40</v>
      </c>
      <c r="B30" s="23"/>
      <c r="C30" s="30" t="n">
        <f aca="false">GrossMargin!M35</f>
        <v>0</v>
      </c>
      <c r="D30" s="29" t="n">
        <f aca="false">Expenses!E27</f>
        <v>0</v>
      </c>
      <c r="E30" s="31" t="n">
        <f aca="false">C30-D30</f>
        <v>0</v>
      </c>
      <c r="F30" s="129"/>
      <c r="G30" s="30" t="n">
        <f aca="false">GrossMargin!I35</f>
        <v>0</v>
      </c>
      <c r="H30" s="29" t="n">
        <f aca="false">GrossMargin!J35</f>
        <v>0</v>
      </c>
      <c r="I30" s="29" t="n">
        <f aca="false">GrossMargin!K35</f>
        <v>0</v>
      </c>
      <c r="J30" s="128" t="n">
        <f aca="false">SUM(G30:I30)</f>
        <v>0</v>
      </c>
      <c r="K30" s="129"/>
      <c r="L30" s="30" t="n">
        <v>0</v>
      </c>
      <c r="M30" s="29" t="n">
        <f aca="false">Expenses!D27</f>
        <v>0</v>
      </c>
      <c r="N30" s="29" t="n">
        <v>0</v>
      </c>
      <c r="O30" s="128" t="n">
        <f aca="false">J30-K30-M30-N30-L30</f>
        <v>0</v>
      </c>
      <c r="P30" s="29"/>
      <c r="Q30" s="30" t="n">
        <f aca="false">+J30-C30</f>
        <v>0</v>
      </c>
      <c r="R30" s="29"/>
      <c r="S30" s="29" t="n">
        <v>0</v>
      </c>
      <c r="T30" s="29" t="n">
        <f aca="false">Expenses!F27</f>
        <v>0</v>
      </c>
      <c r="U30" s="29" t="n">
        <v>0</v>
      </c>
      <c r="V30" s="31" t="n">
        <f aca="false">ROUND(SUM(Q30:U30),0)</f>
        <v>0</v>
      </c>
      <c r="W30" s="22"/>
    </row>
    <row r="31" customFormat="false" ht="13.5" hidden="true" customHeight="true" outlineLevel="0" collapsed="false">
      <c r="A31" s="10" t="s">
        <v>41</v>
      </c>
      <c r="B31" s="23"/>
      <c r="C31" s="30" t="n">
        <v>0</v>
      </c>
      <c r="D31" s="29" t="n">
        <f aca="false">'Alloc Exp'!E27</f>
        <v>-0</v>
      </c>
      <c r="E31" s="31" t="n">
        <f aca="false">C31-D31</f>
        <v>0</v>
      </c>
      <c r="F31" s="29"/>
      <c r="G31" s="30" t="n">
        <v>0</v>
      </c>
      <c r="H31" s="29" t="n">
        <v>0</v>
      </c>
      <c r="I31" s="29" t="n">
        <v>0</v>
      </c>
      <c r="J31" s="128" t="n">
        <f aca="false">SUM(G31:I31)</f>
        <v>0</v>
      </c>
      <c r="K31" s="129"/>
      <c r="L31" s="30" t="n">
        <f aca="false">'Alloc Exp'!D27</f>
        <v>-0</v>
      </c>
      <c r="M31" s="29" t="n">
        <v>0</v>
      </c>
      <c r="N31" s="29" t="n">
        <v>0</v>
      </c>
      <c r="O31" s="128" t="n">
        <f aca="false">J31-K31-M31-N31-L31</f>
        <v>0</v>
      </c>
      <c r="P31" s="29"/>
      <c r="Q31" s="30" t="n">
        <f aca="false">+J31-C31</f>
        <v>0</v>
      </c>
      <c r="R31" s="29"/>
      <c r="S31" s="29" t="n">
        <f aca="false">'Alloc Exp'!F27</f>
        <v>0</v>
      </c>
      <c r="T31" s="29" t="n">
        <v>0</v>
      </c>
      <c r="U31" s="29" t="n">
        <v>0</v>
      </c>
      <c r="V31" s="31" t="n">
        <f aca="false">ROUND(SUM(Q31:U31),0)</f>
        <v>0</v>
      </c>
      <c r="W31" s="22"/>
    </row>
    <row r="32" customFormat="false" ht="3" hidden="false" customHeight="true" outlineLevel="0" collapsed="false">
      <c r="A32" s="10"/>
      <c r="B32" s="23"/>
      <c r="C32" s="30"/>
      <c r="D32" s="29"/>
      <c r="E32" s="31"/>
      <c r="F32" s="29"/>
      <c r="G32" s="30"/>
      <c r="H32" s="29"/>
      <c r="I32" s="29"/>
      <c r="J32" s="128"/>
      <c r="K32" s="129"/>
      <c r="L32" s="130"/>
      <c r="M32" s="29"/>
      <c r="N32" s="29"/>
      <c r="O32" s="128"/>
      <c r="P32" s="29"/>
      <c r="Q32" s="30"/>
      <c r="R32" s="29"/>
      <c r="S32" s="29"/>
      <c r="T32" s="29"/>
      <c r="U32" s="29"/>
      <c r="V32" s="31" t="n">
        <f aca="false">ROUND(SUM(Q32:U32),0)</f>
        <v>0</v>
      </c>
      <c r="W32" s="22"/>
    </row>
    <row r="33" customFormat="false" ht="12" hidden="false" customHeight="true" outlineLevel="0" collapsed="false">
      <c r="A33" s="38" t="s">
        <v>42</v>
      </c>
      <c r="B33" s="23"/>
      <c r="C33" s="43" t="n">
        <f aca="false">SUM(C26:C32)</f>
        <v>175311.472</v>
      </c>
      <c r="D33" s="44" t="n">
        <f aca="false">SUM(D26:D32)</f>
        <v>72596.562</v>
      </c>
      <c r="E33" s="45" t="n">
        <f aca="false">SUM(E26:E32)</f>
        <v>102714.91</v>
      </c>
      <c r="F33" s="29"/>
      <c r="G33" s="43" t="n">
        <f aca="false">SUM(G26:G32)</f>
        <v>-30292.031</v>
      </c>
      <c r="H33" s="44" t="n">
        <f aca="false">SUM(H26:H32)</f>
        <v>0</v>
      </c>
      <c r="I33" s="44" t="n">
        <f aca="false">SUM(I26:I32)</f>
        <v>0</v>
      </c>
      <c r="J33" s="131" t="n">
        <f aca="false">SUM(J26:J32)</f>
        <v>-30292.031</v>
      </c>
      <c r="K33" s="44" t="n">
        <f aca="false">SUM(K26:K32)</f>
        <v>0</v>
      </c>
      <c r="L33" s="43" t="n">
        <f aca="false">SUM(L26:L32)</f>
        <v>0</v>
      </c>
      <c r="M33" s="44" t="n">
        <f aca="false">SUM(M26:M32)</f>
        <v>74736.562</v>
      </c>
      <c r="N33" s="44" t="n">
        <f aca="false">SUM(N26:N32)</f>
        <v>0</v>
      </c>
      <c r="O33" s="131" t="n">
        <f aca="false">J33-K33-M33-N33-L33</f>
        <v>-105028.593</v>
      </c>
      <c r="P33" s="29"/>
      <c r="Q33" s="43" t="n">
        <f aca="false">SUM(Q26:Q32)</f>
        <v>-205603.503</v>
      </c>
      <c r="R33" s="44" t="n">
        <f aca="false">SUM(R26:R32)</f>
        <v>0</v>
      </c>
      <c r="S33" s="44" t="n">
        <f aca="false">SUM(S26:S32)</f>
        <v>0</v>
      </c>
      <c r="T33" s="44" t="n">
        <f aca="false">SUM(T26:T32)</f>
        <v>-2140</v>
      </c>
      <c r="U33" s="44" t="n">
        <f aca="false">SUM(U26:U32)</f>
        <v>0</v>
      </c>
      <c r="V33" s="45" t="n">
        <f aca="false">SUM(V26:V32)</f>
        <v>-207743.503</v>
      </c>
      <c r="W33" s="2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3" hidden="false" customHeight="true" outlineLevel="0" collapsed="false">
      <c r="A34" s="10"/>
      <c r="B34" s="23"/>
      <c r="C34" s="30"/>
      <c r="D34" s="29"/>
      <c r="E34" s="31"/>
      <c r="F34" s="29"/>
      <c r="G34" s="30" t="s">
        <v>43</v>
      </c>
      <c r="H34" s="29"/>
      <c r="I34" s="29"/>
      <c r="J34" s="128"/>
      <c r="K34" s="129"/>
      <c r="L34" s="130"/>
      <c r="M34" s="29" t="s">
        <v>44</v>
      </c>
      <c r="N34" s="29"/>
      <c r="O34" s="128"/>
      <c r="P34" s="29"/>
      <c r="Q34" s="30"/>
      <c r="R34" s="29"/>
      <c r="S34" s="29"/>
      <c r="T34" s="29"/>
      <c r="U34" s="29"/>
      <c r="V34" s="31"/>
      <c r="W34" s="22"/>
    </row>
    <row r="35" customFormat="false" ht="12" hidden="false" customHeight="true" outlineLevel="0" collapsed="false">
      <c r="A35" s="10" t="s">
        <v>45</v>
      </c>
      <c r="B35" s="23"/>
      <c r="C35" s="30" t="n">
        <v>0</v>
      </c>
      <c r="D35" s="29" t="n">
        <v>6400</v>
      </c>
      <c r="E35" s="31" t="n">
        <f aca="false">C35-D35</f>
        <v>-6400</v>
      </c>
      <c r="F35" s="29"/>
      <c r="G35" s="30" t="n">
        <f aca="false">GrossMargin!I47</f>
        <v>0</v>
      </c>
      <c r="H35" s="29" t="n">
        <f aca="false">GrossMargin!J47</f>
        <v>0</v>
      </c>
      <c r="I35" s="29" t="n">
        <f aca="false">GrossMargin!K47</f>
        <v>0</v>
      </c>
      <c r="J35" s="128" t="n">
        <f aca="false">SUM(G35:I35)</f>
        <v>0</v>
      </c>
      <c r="K35" s="129"/>
      <c r="L35" s="130" t="n">
        <v>0</v>
      </c>
      <c r="M35" s="29" t="n">
        <v>6400</v>
      </c>
      <c r="N35" s="29" t="n">
        <v>0</v>
      </c>
      <c r="O35" s="128" t="n">
        <f aca="false">J35-K35-M35-N35-L35</f>
        <v>-6400</v>
      </c>
      <c r="P35" s="29"/>
      <c r="Q35" s="30" t="n">
        <f aca="false">+J35-C35</f>
        <v>0</v>
      </c>
      <c r="R35" s="29"/>
      <c r="S35" s="29" t="n">
        <v>0</v>
      </c>
      <c r="T35" s="29" t="n">
        <f aca="false">D35-M35</f>
        <v>0</v>
      </c>
      <c r="U35" s="29" t="n">
        <v>0</v>
      </c>
      <c r="V35" s="31" t="n">
        <f aca="false">SUM(Q35:U35)</f>
        <v>0</v>
      </c>
      <c r="W35" s="22"/>
    </row>
    <row r="36" customFormat="false" ht="3" hidden="false" customHeight="true" outlineLevel="0" collapsed="false">
      <c r="A36" s="10"/>
      <c r="B36" s="23"/>
      <c r="C36" s="30"/>
      <c r="D36" s="29"/>
      <c r="E36" s="31"/>
      <c r="F36" s="29"/>
      <c r="G36" s="30"/>
      <c r="H36" s="29"/>
      <c r="I36" s="29"/>
      <c r="J36" s="128"/>
      <c r="K36" s="129"/>
      <c r="L36" s="130"/>
      <c r="M36" s="29"/>
      <c r="N36" s="29"/>
      <c r="O36" s="128"/>
      <c r="P36" s="29"/>
      <c r="Q36" s="30"/>
      <c r="R36" s="29"/>
      <c r="S36" s="29"/>
      <c r="T36" s="29"/>
      <c r="U36" s="29"/>
      <c r="V36" s="31"/>
      <c r="W36" s="22"/>
    </row>
    <row r="37" customFormat="false" ht="12" hidden="false" customHeight="true" outlineLevel="0" collapsed="false">
      <c r="A37" s="38" t="s">
        <v>46</v>
      </c>
      <c r="B37" s="23"/>
      <c r="C37" s="132" t="n">
        <f aca="false">SUM(C33:C35)</f>
        <v>175311.472</v>
      </c>
      <c r="D37" s="133" t="n">
        <f aca="false">SUM(D33:D35)</f>
        <v>78996.562</v>
      </c>
      <c r="E37" s="134" t="n">
        <f aca="false">SUM(E33:E35)</f>
        <v>96314.91</v>
      </c>
      <c r="F37" s="29"/>
      <c r="G37" s="132" t="n">
        <f aca="false">SUM(G33:G35)</f>
        <v>-30292.031</v>
      </c>
      <c r="H37" s="133" t="n">
        <f aca="false">SUM(H33:H35)</f>
        <v>0</v>
      </c>
      <c r="I37" s="133" t="n">
        <f aca="false">SUM(I33:I35)</f>
        <v>0</v>
      </c>
      <c r="J37" s="135" t="n">
        <f aca="false">SUM(J33:J35)</f>
        <v>-30292.031</v>
      </c>
      <c r="K37" s="133" t="n">
        <f aca="false">SUM(K33:K35)</f>
        <v>0</v>
      </c>
      <c r="L37" s="132" t="n">
        <f aca="false">SUM(L33:L35)</f>
        <v>0</v>
      </c>
      <c r="M37" s="133" t="n">
        <f aca="false">SUM(M33:M35)</f>
        <v>81136.562</v>
      </c>
      <c r="N37" s="133" t="n">
        <f aca="false">SUM(N33:N35)</f>
        <v>0</v>
      </c>
      <c r="O37" s="135" t="n">
        <f aca="false">J37-K37-M37-N37-L37</f>
        <v>-111428.593</v>
      </c>
      <c r="P37" s="29"/>
      <c r="Q37" s="50" t="n">
        <f aca="false">SUM(Q33:Q35)</f>
        <v>-205603.503</v>
      </c>
      <c r="R37" s="51" t="n">
        <f aca="false">SUM(R33:R35)</f>
        <v>0</v>
      </c>
      <c r="S37" s="51" t="n">
        <f aca="false">SUM(S33:S35)</f>
        <v>0</v>
      </c>
      <c r="T37" s="51" t="n">
        <f aca="false">SUM(T33:T35)</f>
        <v>-2140</v>
      </c>
      <c r="U37" s="51" t="n">
        <f aca="false">SUM(U33:U35)</f>
        <v>0</v>
      </c>
      <c r="V37" s="52" t="n">
        <f aca="false">SUM(V33:V35)</f>
        <v>-207743.503</v>
      </c>
      <c r="W37" s="22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3" hidden="false" customHeight="true" outlineLevel="0" collapsed="false">
      <c r="A38" s="53"/>
      <c r="B38" s="54"/>
      <c r="C38" s="55"/>
      <c r="D38" s="56"/>
      <c r="E38" s="57"/>
      <c r="F38" s="58"/>
      <c r="G38" s="59"/>
      <c r="H38" s="60"/>
      <c r="I38" s="60"/>
      <c r="J38" s="53"/>
      <c r="K38" s="60"/>
      <c r="L38" s="59"/>
      <c r="M38" s="60"/>
      <c r="N38" s="60"/>
      <c r="O38" s="53"/>
      <c r="P38" s="61"/>
      <c r="Q38" s="59"/>
      <c r="R38" s="60"/>
      <c r="S38" s="60"/>
      <c r="T38" s="60"/>
      <c r="U38" s="60"/>
      <c r="V38" s="62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3.5" hidden="false" customHeight="false" outlineLevel="0" collapsed="false">
      <c r="A39" s="63"/>
      <c r="C39" s="64"/>
      <c r="D39" s="58"/>
      <c r="E39" s="63"/>
      <c r="F39" s="58"/>
      <c r="G39" s="65"/>
    </row>
    <row r="40" customFormat="false" ht="6" hidden="false" customHeight="true" outlineLevel="0" collapsed="false">
      <c r="C40" s="58"/>
      <c r="D40" s="58"/>
      <c r="E40" s="58"/>
      <c r="F40" s="58"/>
    </row>
    <row r="41" customFormat="false" ht="12.75" hidden="false" customHeight="false" outlineLevel="0" collapsed="false">
      <c r="A41" s="66" t="s">
        <v>48</v>
      </c>
      <c r="C41" s="58"/>
      <c r="D41" s="58"/>
      <c r="E41" s="58"/>
      <c r="F41" s="58"/>
      <c r="M41" s="67"/>
      <c r="T41" s="67"/>
    </row>
    <row r="42" customFormat="false" ht="12.75" hidden="false" customHeight="false" outlineLevel="0" collapsed="false">
      <c r="C42" s="58"/>
      <c r="D42" s="58"/>
      <c r="E42" s="58"/>
      <c r="F42" s="58"/>
      <c r="G42" s="67"/>
    </row>
    <row r="43" customFormat="false" ht="12.75" hidden="false" customHeight="false" outlineLevel="0" collapsed="false">
      <c r="C43" s="58"/>
      <c r="D43" s="58"/>
      <c r="E43" s="58"/>
      <c r="F43" s="58"/>
      <c r="V43" s="67"/>
    </row>
    <row r="44" customFormat="false" ht="12.75" hidden="false" customHeight="false" outlineLevel="0" collapsed="false">
      <c r="C44" s="58"/>
      <c r="D44" s="58"/>
      <c r="E44" s="58"/>
      <c r="F44" s="58"/>
    </row>
    <row r="45" customFormat="false" ht="12.75" hidden="false" customHeight="false" outlineLevel="0" collapsed="false">
      <c r="C45" s="58"/>
      <c r="D45" s="58"/>
      <c r="E45" s="58"/>
      <c r="F45" s="58"/>
    </row>
    <row r="46" customFormat="false" ht="12.75" hidden="false" customHeight="false" outlineLevel="0" collapsed="false">
      <c r="C46" s="58"/>
      <c r="D46" s="58"/>
      <c r="E46" s="58"/>
      <c r="F46" s="58"/>
    </row>
    <row r="47" customFormat="false" ht="12.75" hidden="false" customHeight="false" outlineLevel="0" collapsed="false">
      <c r="C47" s="58"/>
      <c r="D47" s="58"/>
      <c r="E47" s="58"/>
      <c r="F47" s="58"/>
    </row>
    <row r="48" customFormat="false" ht="12.75" hidden="false" customHeight="false" outlineLevel="0" collapsed="false">
      <c r="C48" s="58"/>
      <c r="D48" s="58"/>
      <c r="E48" s="58"/>
      <c r="F48" s="58"/>
    </row>
    <row r="49" customFormat="false" ht="12.75" hidden="false" customHeight="false" outlineLevel="0" collapsed="false">
      <c r="C49" s="58"/>
      <c r="D49" s="58"/>
      <c r="E49" s="58"/>
    </row>
    <row r="50" customFormat="false" ht="12.75" hidden="false" customHeight="false" outlineLevel="0" collapsed="false">
      <c r="C50" s="58"/>
      <c r="D50" s="58"/>
      <c r="E50" s="58"/>
    </row>
    <row r="51" customFormat="false" ht="12.75" hidden="false" customHeight="false" outlineLevel="0" collapsed="false">
      <c r="C51" s="58"/>
      <c r="D51" s="58"/>
      <c r="E51" s="58"/>
    </row>
    <row r="52" customFormat="false" ht="12.75" hidden="false" customHeight="false" outlineLevel="0" collapsed="false">
      <c r="C52" s="58"/>
      <c r="D52" s="58"/>
      <c r="E52" s="58"/>
    </row>
    <row r="53" customFormat="false" ht="12.75" hidden="false" customHeight="false" outlineLevel="0" collapsed="false">
      <c r="C53" s="58"/>
      <c r="D53" s="58"/>
      <c r="E53" s="58"/>
    </row>
    <row r="54" customFormat="false" ht="12.75" hidden="false" customHeight="false" outlineLevel="0" collapsed="false">
      <c r="C54" s="58"/>
      <c r="D54" s="58"/>
      <c r="E54" s="58"/>
    </row>
    <row r="55" customFormat="false" ht="12.75" hidden="false" customHeight="false" outlineLevel="0" collapsed="false">
      <c r="C55" s="58"/>
      <c r="D55" s="58"/>
      <c r="E55" s="58"/>
      <c r="F55" s="58"/>
    </row>
    <row r="56" customFormat="false" ht="12.75" hidden="false" customHeight="false" outlineLevel="0" collapsed="false">
      <c r="A56" s="58"/>
    </row>
    <row r="57" customFormat="false" ht="12.75" hidden="false" customHeight="false" outlineLevel="0" collapsed="false">
      <c r="A57" s="58"/>
    </row>
    <row r="58" customFormat="false" ht="12.75" hidden="false" customHeight="false" outlineLevel="0" collapsed="false">
      <c r="A58" s="58"/>
    </row>
    <row r="59" customFormat="false" ht="12.75" hidden="false" customHeight="false" outlineLevel="0" collapsed="false">
      <c r="A59" s="58"/>
    </row>
    <row r="60" customFormat="false" ht="12.75" hidden="false" customHeight="false" outlineLevel="0" collapsed="false">
      <c r="A60" s="58"/>
    </row>
    <row r="61" customFormat="false" ht="12.75" hidden="false" customHeight="false" outlineLevel="0" collapsed="false">
      <c r="A61" s="58"/>
    </row>
    <row r="62" customFormat="false" ht="12.75" hidden="false" customHeight="false" outlineLevel="0" collapsed="false">
      <c r="C62" s="58"/>
      <c r="D62" s="58"/>
      <c r="E62" s="58"/>
      <c r="F62" s="58"/>
    </row>
    <row r="63" customFormat="false" ht="12.75" hidden="false" customHeight="false" outlineLevel="0" collapsed="false">
      <c r="C63" s="58"/>
      <c r="D63" s="58"/>
      <c r="E63" s="58"/>
      <c r="F63" s="58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27" t="str">
        <f aca="false">+'Mgmt Summary'!A3</f>
        <v>Results based on activity through October 19, 2001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customFormat="false" ht="3" hidden="false" customHeight="true" outlineLevel="0" collapsed="false">
      <c r="A4" s="61"/>
    </row>
    <row r="5" customFormat="false" ht="12.75" hidden="false" customHeight="true" outlineLevel="0" collapsed="false">
      <c r="A5" s="7"/>
      <c r="B5" s="8"/>
      <c r="C5" s="136"/>
      <c r="D5" s="137"/>
      <c r="E5" s="137"/>
      <c r="F5" s="137"/>
      <c r="G5" s="137"/>
      <c r="H5" s="7"/>
      <c r="I5" s="137"/>
      <c r="J5" s="137"/>
      <c r="K5" s="13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3.5" hidden="false" customHeight="false" outlineLevel="0" collapsed="false">
      <c r="A6" s="10"/>
      <c r="B6" s="8"/>
      <c r="C6" s="16"/>
      <c r="D6" s="23"/>
      <c r="E6" s="139"/>
      <c r="F6" s="139" t="s">
        <v>63</v>
      </c>
      <c r="G6" s="23"/>
      <c r="H6" s="13" t="s">
        <v>6</v>
      </c>
      <c r="I6" s="139" t="s">
        <v>7</v>
      </c>
      <c r="J6" s="139" t="s">
        <v>8</v>
      </c>
      <c r="K6" s="140" t="s">
        <v>9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.75" hidden="false" customHeight="false" outlineLevel="0" collapsed="false">
      <c r="A7" s="14" t="s">
        <v>14</v>
      </c>
      <c r="B7" s="8"/>
      <c r="C7" s="141" t="s">
        <v>64</v>
      </c>
      <c r="D7" s="15" t="s">
        <v>65</v>
      </c>
      <c r="E7" s="15" t="s">
        <v>66</v>
      </c>
      <c r="F7" s="15" t="s">
        <v>67</v>
      </c>
      <c r="G7" s="15" t="s">
        <v>68</v>
      </c>
      <c r="H7" s="14" t="s">
        <v>15</v>
      </c>
      <c r="I7" s="15" t="s">
        <v>18</v>
      </c>
      <c r="J7" s="15" t="s">
        <v>15</v>
      </c>
      <c r="K7" s="142" t="s">
        <v>15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43"/>
      <c r="B8" s="22"/>
      <c r="C8" s="19"/>
      <c r="D8" s="20"/>
      <c r="E8" s="20"/>
      <c r="F8" s="21"/>
      <c r="G8" s="21"/>
      <c r="H8" s="143"/>
      <c r="I8" s="19"/>
      <c r="J8" s="20"/>
      <c r="K8" s="21"/>
    </row>
    <row r="9" customFormat="false" ht="13.5" hidden="false" customHeight="true" outlineLevel="0" collapsed="false">
      <c r="A9" s="10" t="s">
        <v>21</v>
      </c>
      <c r="B9" s="8"/>
      <c r="C9" s="30" t="n">
        <f aca="false">+GrossMargin!D10-[5]GrossMargin!D10</f>
        <v>-2744</v>
      </c>
      <c r="D9" s="29" t="n">
        <f aca="false">+GrossMargin!E10-[5]GrossMargin!E10</f>
        <v>0</v>
      </c>
      <c r="E9" s="29"/>
      <c r="F9" s="29" t="n">
        <f aca="false">+GrossMargin!G10-[5]GrossMargin!G10</f>
        <v>0</v>
      </c>
      <c r="G9" s="144" t="n">
        <v>0</v>
      </c>
      <c r="H9" s="128" t="n">
        <f aca="false">SUM(C9:G9)</f>
        <v>-2744</v>
      </c>
      <c r="I9" s="30" t="n">
        <v>0</v>
      </c>
      <c r="J9" s="29" t="n">
        <f aca="false">+GrossMargin!K10-[5]GrossMargin!K10</f>
        <v>0</v>
      </c>
      <c r="K9" s="31" t="n">
        <f aca="false">SUM(H9:J9)</f>
        <v>-2744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13.5" hidden="false" customHeight="true" outlineLevel="0" collapsed="false">
      <c r="A10" s="145" t="s">
        <v>22</v>
      </c>
      <c r="B10" s="8"/>
      <c r="C10" s="30" t="n">
        <f aca="false">+GrossMargin!D11-[5]GrossMargin!D11</f>
        <v>-587</v>
      </c>
      <c r="D10" s="29" t="n">
        <f aca="false">+GrossMargin!E11-[5]GrossMargin!E11</f>
        <v>-914.761</v>
      </c>
      <c r="E10" s="29"/>
      <c r="F10" s="29" t="n">
        <f aca="false">+GrossMargin!G11-[5]GrossMargin!G11</f>
        <v>0</v>
      </c>
      <c r="G10" s="144" t="n">
        <v>0</v>
      </c>
      <c r="H10" s="128" t="n">
        <f aca="false">SUM(C10:G10)</f>
        <v>-1501.761</v>
      </c>
      <c r="I10" s="30" t="n">
        <v>0</v>
      </c>
      <c r="J10" s="29" t="n">
        <f aca="false">+GrossMargin!K11-[5]GrossMargin!K11</f>
        <v>0</v>
      </c>
      <c r="K10" s="31" t="n">
        <f aca="false">SUM(H10:J10)</f>
        <v>-1501.761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3.5" hidden="false" customHeight="true" outlineLevel="0" collapsed="false">
      <c r="A11" s="10" t="s">
        <v>23</v>
      </c>
      <c r="B11" s="8"/>
      <c r="C11" s="30" t="n">
        <f aca="false">+GrossMargin!D12-[5]GrossMargin!D12</f>
        <v>-131</v>
      </c>
      <c r="D11" s="29" t="n">
        <f aca="false">+GrossMargin!E12-[5]GrossMargin!E12</f>
        <v>0</v>
      </c>
      <c r="E11" s="29"/>
      <c r="F11" s="29" t="n">
        <f aca="false">+GrossMargin!G12-[5]GrossMargin!G12</f>
        <v>0</v>
      </c>
      <c r="G11" s="144" t="n">
        <v>0</v>
      </c>
      <c r="H11" s="128" t="n">
        <f aca="false">SUM(C11:G11)</f>
        <v>-131</v>
      </c>
      <c r="I11" s="30" t="n">
        <v>0</v>
      </c>
      <c r="J11" s="29" t="n">
        <f aca="false">+GrossMargin!K12-[5]GrossMargin!K12</f>
        <v>0</v>
      </c>
      <c r="K11" s="31" t="n">
        <f aca="false">SUM(H11:J11)</f>
        <v>-131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3.5" hidden="true" customHeight="true" outlineLevel="0" collapsed="false">
      <c r="A12" s="10" t="s">
        <v>24</v>
      </c>
      <c r="B12" s="8"/>
      <c r="C12" s="30" t="n">
        <f aca="false">+GrossMargin!D13-[5]GrossMargin!D13</f>
        <v>0</v>
      </c>
      <c r="D12" s="29" t="n">
        <f aca="false">+GrossMargin!E13-[5]GrossMargin!E13</f>
        <v>0</v>
      </c>
      <c r="E12" s="29"/>
      <c r="F12" s="29" t="n">
        <f aca="false">+GrossMargin!G13-[5]GrossMargin!G13</f>
        <v>0</v>
      </c>
      <c r="G12" s="144" t="n">
        <v>0</v>
      </c>
      <c r="H12" s="128" t="n">
        <f aca="false">SUM(C12:G12)</f>
        <v>0</v>
      </c>
      <c r="I12" s="30" t="n">
        <v>0</v>
      </c>
      <c r="J12" s="29" t="n">
        <f aca="false">+GrossMargin!K13-[5]GrossMargin!K13</f>
        <v>0</v>
      </c>
      <c r="K12" s="31" t="n">
        <f aca="false">SUM(H12:J12)</f>
        <v>0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10" t="s">
        <v>25</v>
      </c>
      <c r="B13" s="8"/>
      <c r="C13" s="30" t="n">
        <f aca="false">+GrossMargin!D14-[5]GrossMargin!D14</f>
        <v>64</v>
      </c>
      <c r="D13" s="29" t="n">
        <f aca="false">+GrossMargin!E14-[5]GrossMargin!E14</f>
        <v>0</v>
      </c>
      <c r="E13" s="29"/>
      <c r="F13" s="29" t="n">
        <f aca="false">+GrossMargin!G14-[5]GrossMargin!G14</f>
        <v>0</v>
      </c>
      <c r="G13" s="144" t="n">
        <v>0</v>
      </c>
      <c r="H13" s="128" t="n">
        <f aca="false">SUM(C13:G13)</f>
        <v>64</v>
      </c>
      <c r="I13" s="30" t="n">
        <v>0</v>
      </c>
      <c r="J13" s="29" t="n">
        <f aca="false">+GrossMargin!K14-[5]GrossMargin!K14</f>
        <v>0</v>
      </c>
      <c r="K13" s="31" t="n">
        <f aca="false">SUM(H13:J13)</f>
        <v>64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3.5" hidden="false" customHeight="true" outlineLevel="0" collapsed="false">
      <c r="A14" s="10" t="s">
        <v>26</v>
      </c>
      <c r="B14" s="8"/>
      <c r="C14" s="30" t="n">
        <f aca="false">+GrossMargin!D15-[5]GrossMargin!D15</f>
        <v>12</v>
      </c>
      <c r="D14" s="29" t="n">
        <f aca="false">+GrossMargin!E15-[5]GrossMargin!E15</f>
        <v>0</v>
      </c>
      <c r="E14" s="29"/>
      <c r="F14" s="29" t="n">
        <f aca="false">+GrossMargin!G15-[5]GrossMargin!G15</f>
        <v>0</v>
      </c>
      <c r="G14" s="144" t="n">
        <v>0</v>
      </c>
      <c r="H14" s="128" t="n">
        <f aca="false">SUM(C14:G14)</f>
        <v>12</v>
      </c>
      <c r="I14" s="30" t="n">
        <v>0</v>
      </c>
      <c r="J14" s="29" t="n">
        <f aca="false">+GrossMargin!K15-[5]GrossMargin!K15</f>
        <v>0</v>
      </c>
      <c r="K14" s="31" t="n">
        <f aca="false">SUM(H14:J14)</f>
        <v>12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3.5" hidden="false" customHeight="true" outlineLevel="0" collapsed="false">
      <c r="A15" s="146" t="s">
        <v>69</v>
      </c>
      <c r="B15" s="147"/>
      <c r="C15" s="30" t="n">
        <f aca="false">+GrossMargin!D16-[5]GrossMargin!D16</f>
        <v>30</v>
      </c>
      <c r="D15" s="29" t="n">
        <f aca="false">+GrossMargin!E16-[5]GrossMargin!E16</f>
        <v>0</v>
      </c>
      <c r="E15" s="148"/>
      <c r="F15" s="29" t="n">
        <f aca="false">+GrossMargin!G16-[5]GrossMargin!G16</f>
        <v>0</v>
      </c>
      <c r="G15" s="149" t="n">
        <v>0</v>
      </c>
      <c r="H15" s="150" t="n">
        <f aca="false">SUM(C15:G15)</f>
        <v>30</v>
      </c>
      <c r="I15" s="151" t="n">
        <v>0</v>
      </c>
      <c r="J15" s="29" t="n">
        <f aca="false">+GrossMargin!K16-[5]GrossMargin!K16</f>
        <v>0</v>
      </c>
      <c r="K15" s="152" t="n">
        <f aca="false">SUM(H15:J15)</f>
        <v>30</v>
      </c>
    </row>
    <row r="16" customFormat="false" ht="13.5" hidden="false" customHeight="true" outlineLevel="0" collapsed="false">
      <c r="A16" s="146" t="s">
        <v>70</v>
      </c>
      <c r="B16" s="147"/>
      <c r="C16" s="30" t="n">
        <f aca="false">+GrossMargin!D17-[5]GrossMargin!D17</f>
        <v>-915</v>
      </c>
      <c r="D16" s="29" t="n">
        <f aca="false">+GrossMargin!E17-[5]GrossMargin!E17</f>
        <v>0</v>
      </c>
      <c r="E16" s="148"/>
      <c r="F16" s="29" t="n">
        <f aca="false">+GrossMargin!G17-[5]GrossMargin!G17</f>
        <v>0</v>
      </c>
      <c r="G16" s="149" t="n">
        <v>0</v>
      </c>
      <c r="H16" s="150" t="n">
        <f aca="false">SUM(C16:G16)</f>
        <v>-915</v>
      </c>
      <c r="I16" s="151" t="n">
        <v>0</v>
      </c>
      <c r="J16" s="29" t="n">
        <f aca="false">+GrossMargin!K17-[5]GrossMargin!K17</f>
        <v>0</v>
      </c>
      <c r="K16" s="152" t="n">
        <f aca="false">SUM(H16:J16)</f>
        <v>-915</v>
      </c>
    </row>
    <row r="17" customFormat="false" ht="13.5" hidden="false" customHeight="true" outlineLevel="0" collapsed="false">
      <c r="A17" s="146" t="s">
        <v>71</v>
      </c>
      <c r="B17" s="147"/>
      <c r="C17" s="30" t="n">
        <f aca="false">+GrossMargin!D18-[5]GrossMargin!D18</f>
        <v>1155</v>
      </c>
      <c r="D17" s="29" t="n">
        <f aca="false">+GrossMargin!E18-[5]GrossMargin!E18</f>
        <v>0</v>
      </c>
      <c r="E17" s="148"/>
      <c r="F17" s="29" t="n">
        <f aca="false">+GrossMargin!G18-[5]GrossMargin!G18</f>
        <v>0</v>
      </c>
      <c r="G17" s="149" t="n">
        <v>0</v>
      </c>
      <c r="H17" s="150" t="n">
        <f aca="false">SUM(C17:G17)</f>
        <v>1155</v>
      </c>
      <c r="I17" s="151" t="n">
        <v>0</v>
      </c>
      <c r="J17" s="29" t="n">
        <f aca="false">+GrossMargin!K18-[5]GrossMargin!K18</f>
        <v>0</v>
      </c>
      <c r="K17" s="152" t="n">
        <f aca="false">SUM(H17:J17)</f>
        <v>1155</v>
      </c>
    </row>
    <row r="18" customFormat="false" ht="13.5" hidden="false" customHeight="true" outlineLevel="0" collapsed="false">
      <c r="A18" s="146" t="s">
        <v>72</v>
      </c>
      <c r="B18" s="147"/>
      <c r="C18" s="30" t="n">
        <f aca="false">+GrossMargin!D19-[5]GrossMargin!D19</f>
        <v>1</v>
      </c>
      <c r="D18" s="29" t="n">
        <f aca="false">+GrossMargin!E19-[5]GrossMargin!E19</f>
        <v>0</v>
      </c>
      <c r="E18" s="148"/>
      <c r="F18" s="29" t="n">
        <f aca="false">+GrossMargin!G19-[5]GrossMargin!G19</f>
        <v>0</v>
      </c>
      <c r="G18" s="149" t="n">
        <v>0</v>
      </c>
      <c r="H18" s="150" t="n">
        <f aca="false">SUM(C18:G18)</f>
        <v>1</v>
      </c>
      <c r="I18" s="151" t="n">
        <v>0</v>
      </c>
      <c r="J18" s="29" t="n">
        <f aca="false">+GrossMargin!K19-[5]GrossMargin!K19</f>
        <v>0</v>
      </c>
      <c r="K18" s="152" t="n">
        <f aca="false">SUM(H18:J18)</f>
        <v>1</v>
      </c>
    </row>
    <row r="19" customFormat="false" ht="13.5" hidden="false" customHeight="true" outlineLevel="0" collapsed="false">
      <c r="A19" s="146" t="s">
        <v>73</v>
      </c>
      <c r="B19" s="147"/>
      <c r="C19" s="30" t="n">
        <f aca="false">+GrossMargin!D20-[5]GrossMargin!D20</f>
        <v>0</v>
      </c>
      <c r="D19" s="29" t="n">
        <f aca="false">+GrossMargin!E20-[5]GrossMargin!E20</f>
        <v>0</v>
      </c>
      <c r="E19" s="148"/>
      <c r="F19" s="29" t="n">
        <f aca="false">+GrossMargin!G20-[5]GrossMargin!G20</f>
        <v>0</v>
      </c>
      <c r="G19" s="149" t="n">
        <v>0</v>
      </c>
      <c r="H19" s="150" t="n">
        <f aca="false">SUM(C19:G19)</f>
        <v>0</v>
      </c>
      <c r="I19" s="151" t="n">
        <v>0</v>
      </c>
      <c r="J19" s="29" t="n">
        <f aca="false">+GrossMargin!K20-[5]GrossMargin!K20</f>
        <v>0</v>
      </c>
      <c r="K19" s="152" t="n">
        <f aca="false">SUM(H19:J19)</f>
        <v>0</v>
      </c>
    </row>
    <row r="20" customFormat="false" ht="13.5" hidden="false" customHeight="true" outlineLevel="0" collapsed="false">
      <c r="A20" s="146" t="s">
        <v>74</v>
      </c>
      <c r="B20" s="147"/>
      <c r="C20" s="153" t="n">
        <f aca="false">+GrossMargin!D21-[5]GrossMargin!D21</f>
        <v>0</v>
      </c>
      <c r="D20" s="154" t="n">
        <f aca="false">+GrossMargin!E21-[5]GrossMargin!E21</f>
        <v>0</v>
      </c>
      <c r="E20" s="155"/>
      <c r="F20" s="154" t="n">
        <f aca="false">+GrossMargin!G21-[5]GrossMargin!G21</f>
        <v>0</v>
      </c>
      <c r="G20" s="156" t="n">
        <v>0</v>
      </c>
      <c r="H20" s="157" t="n">
        <f aca="false">SUM(C20:G20)</f>
        <v>0</v>
      </c>
      <c r="I20" s="158" t="n">
        <v>0</v>
      </c>
      <c r="J20" s="154" t="n">
        <f aca="false">+GrossMargin!K21-[5]GrossMargin!K21</f>
        <v>0</v>
      </c>
      <c r="K20" s="159" t="n">
        <f aca="false">SUM(H20:J20)</f>
        <v>0</v>
      </c>
    </row>
    <row r="21" customFormat="false" ht="13.5" hidden="false" customHeight="true" outlineLevel="0" collapsed="false">
      <c r="A21" s="10" t="s">
        <v>27</v>
      </c>
      <c r="B21" s="8"/>
      <c r="C21" s="30" t="n">
        <f aca="false">SUM(C15:C20)</f>
        <v>271</v>
      </c>
      <c r="D21" s="29" t="n">
        <f aca="false">SUM(D15:D20)</f>
        <v>0</v>
      </c>
      <c r="E21" s="29" t="n">
        <f aca="false">SUM(E15:E20)</f>
        <v>0</v>
      </c>
      <c r="F21" s="29" t="n">
        <f aca="false">SUM(F15:F20)</f>
        <v>0</v>
      </c>
      <c r="G21" s="144" t="n">
        <f aca="false">SUM(G15:G20)</f>
        <v>0</v>
      </c>
      <c r="H21" s="128" t="n">
        <f aca="false">SUM(H15:H20)</f>
        <v>271</v>
      </c>
      <c r="I21" s="30" t="n">
        <f aca="false">SUM(I15:I20)</f>
        <v>0</v>
      </c>
      <c r="J21" s="29" t="n">
        <f aca="false">SUM(J15:J20)</f>
        <v>0</v>
      </c>
      <c r="K21" s="31" t="n">
        <f aca="false">SUM(K15:K20)</f>
        <v>271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3.5" hidden="false" customHeight="true" outlineLevel="0" collapsed="false">
      <c r="A22" s="10" t="s">
        <v>75</v>
      </c>
      <c r="B22" s="8"/>
      <c r="C22" s="30" t="n">
        <f aca="false">+GrossMargin!D23-[5]GrossMargin!D23</f>
        <v>-50</v>
      </c>
      <c r="D22" s="29" t="n">
        <f aca="false">+GrossMargin!E23-[5]GrossMargin!E23</f>
        <v>-9.054</v>
      </c>
      <c r="E22" s="29"/>
      <c r="F22" s="29" t="n">
        <f aca="false">+GrossMargin!G23-[5]GrossMargin!G23</f>
        <v>0</v>
      </c>
      <c r="G22" s="144" t="n">
        <v>0</v>
      </c>
      <c r="H22" s="128" t="n">
        <f aca="false">SUM(C22:G22)</f>
        <v>-59.054</v>
      </c>
      <c r="I22" s="30" t="n">
        <v>0</v>
      </c>
      <c r="J22" s="29" t="n">
        <f aca="false">+GrossMargin!K23-[5]GrossMargin!K23</f>
        <v>0</v>
      </c>
      <c r="K22" s="31" t="n">
        <f aca="false">SUM(H22:J22)</f>
        <v>-59.054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3.5" hidden="false" customHeight="true" outlineLevel="0" collapsed="false">
      <c r="A23" s="10" t="s">
        <v>29</v>
      </c>
      <c r="B23" s="8"/>
      <c r="C23" s="30" t="n">
        <f aca="false">+GrossMargin!D24-[5]GrossMargin!D24</f>
        <v>105</v>
      </c>
      <c r="D23" s="29" t="n">
        <f aca="false">+GrossMargin!E24-[5]GrossMargin!E24</f>
        <v>0</v>
      </c>
      <c r="E23" s="29"/>
      <c r="F23" s="29" t="n">
        <f aca="false">+GrossMargin!G24-[5]GrossMargin!G24</f>
        <v>0</v>
      </c>
      <c r="G23" s="144" t="n">
        <v>0</v>
      </c>
      <c r="H23" s="128" t="n">
        <f aca="false">SUM(C23:G23)</f>
        <v>105</v>
      </c>
      <c r="I23" s="30" t="n">
        <v>0</v>
      </c>
      <c r="J23" s="29" t="n">
        <f aca="false">+GrossMargin!K24-[5]GrossMargin!K24</f>
        <v>0</v>
      </c>
      <c r="K23" s="31" t="n">
        <f aca="false">SUM(H23:J23)</f>
        <v>105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3.5" hidden="true" customHeight="true" outlineLevel="0" collapsed="false">
      <c r="A24" s="10" t="s">
        <v>31</v>
      </c>
      <c r="B24" s="8"/>
      <c r="C24" s="30" t="n">
        <f aca="false">+GrossMargin!D25-[5]GrossMargin!D25</f>
        <v>0</v>
      </c>
      <c r="D24" s="29" t="n">
        <f aca="false">+GrossMargin!E25-[5]GrossMargin!E25</f>
        <v>0</v>
      </c>
      <c r="E24" s="29"/>
      <c r="F24" s="29" t="n">
        <f aca="false">+GrossMargin!G25-[5]GrossMargin!G25</f>
        <v>0</v>
      </c>
      <c r="G24" s="144" t="n">
        <v>0</v>
      </c>
      <c r="H24" s="128" t="n">
        <f aca="false">SUM(C24:G24)</f>
        <v>0</v>
      </c>
      <c r="I24" s="30" t="n">
        <v>0</v>
      </c>
      <c r="J24" s="29" t="n">
        <f aca="false">+GrossMargin!K25-[5]GrossMargin!K25</f>
        <v>0</v>
      </c>
      <c r="K24" s="31" t="n">
        <f aca="false">SUM(H24:J24)</f>
        <v>0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3.5" hidden="false" customHeight="true" outlineLevel="0" collapsed="false">
      <c r="A25" s="10" t="s">
        <v>32</v>
      </c>
      <c r="B25" s="8"/>
      <c r="C25" s="30" t="n">
        <f aca="false">+GrossMargin!D26-[5]GrossMargin!D26</f>
        <v>0</v>
      </c>
      <c r="D25" s="29" t="n">
        <f aca="false">+GrossMargin!E26-[5]GrossMargin!E26</f>
        <v>0</v>
      </c>
      <c r="E25" s="29"/>
      <c r="F25" s="29" t="n">
        <f aca="false">+GrossMargin!G26-[5]GrossMargin!G26</f>
        <v>0</v>
      </c>
      <c r="G25" s="144"/>
      <c r="H25" s="128" t="n">
        <f aca="false">SUM(C25:G25)</f>
        <v>0</v>
      </c>
      <c r="I25" s="30"/>
      <c r="J25" s="29" t="n">
        <f aca="false">+GrossMargin!K26-[5]GrossMargin!K26</f>
        <v>0</v>
      </c>
      <c r="K25" s="31" t="n">
        <f aca="false">SUM(H25:J25)</f>
        <v>0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3.5" hidden="false" customHeight="true" outlineLevel="0" collapsed="false">
      <c r="A26" s="10" t="s">
        <v>33</v>
      </c>
      <c r="B26" s="8"/>
      <c r="C26" s="30" t="n">
        <f aca="false">+GrossMargin!D27-[5]GrossMargin!D27</f>
        <v>0</v>
      </c>
      <c r="D26" s="29" t="n">
        <f aca="false">+GrossMargin!E27-[5]GrossMargin!E27</f>
        <v>0</v>
      </c>
      <c r="E26" s="29"/>
      <c r="F26" s="29" t="n">
        <f aca="false">+GrossMargin!G27-[5]GrossMargin!G27</f>
        <v>0</v>
      </c>
      <c r="G26" s="144"/>
      <c r="H26" s="128" t="n">
        <f aca="false">SUM(C26:G26)</f>
        <v>0</v>
      </c>
      <c r="I26" s="30"/>
      <c r="J26" s="29" t="n">
        <f aca="false">+GrossMargin!K27-[5]GrossMargin!K27</f>
        <v>0</v>
      </c>
      <c r="K26" s="31" t="n">
        <f aca="false">SUM(H26:J26)</f>
        <v>0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3.5" hidden="false" customHeight="true" outlineLevel="0" collapsed="false">
      <c r="A27" s="10" t="s">
        <v>34</v>
      </c>
      <c r="B27" s="160"/>
      <c r="C27" s="30" t="n">
        <f aca="false">+GrossMargin!D28-[5]GrossMargin!D28</f>
        <v>0</v>
      </c>
      <c r="D27" s="29" t="n">
        <f aca="false">+GrossMargin!E28-[5]GrossMargin!E28</f>
        <v>0</v>
      </c>
      <c r="E27" s="29"/>
      <c r="F27" s="29" t="n">
        <f aca="false">+GrossMargin!G28-[5]GrossMargin!G28</f>
        <v>0</v>
      </c>
      <c r="G27" s="144" t="n">
        <v>0</v>
      </c>
      <c r="H27" s="128" t="n">
        <f aca="false">SUM(C27:G27)</f>
        <v>0</v>
      </c>
      <c r="I27" s="30" t="n">
        <v>0</v>
      </c>
      <c r="J27" s="29" t="n">
        <f aca="false">+GrossMargin!K28-[5]GrossMargin!K28</f>
        <v>0</v>
      </c>
      <c r="K27" s="31" t="n">
        <f aca="false">SUM(H27:J27)</f>
        <v>0</v>
      </c>
    </row>
    <row r="28" customFormat="false" ht="13.5" hidden="false" customHeight="true" outlineLevel="0" collapsed="false">
      <c r="A28" s="10" t="s">
        <v>57</v>
      </c>
      <c r="B28" s="160"/>
      <c r="C28" s="30" t="n">
        <f aca="false">+GrossMargin!D29-[5]GrossMargin!D29</f>
        <v>0</v>
      </c>
      <c r="D28" s="29" t="n">
        <f aca="false">+GrossMargin!E29-[5]GrossMargin!E29</f>
        <v>0</v>
      </c>
      <c r="E28" s="29"/>
      <c r="F28" s="29" t="n">
        <f aca="false">+GrossMargin!G29-[5]GrossMargin!G29</f>
        <v>0</v>
      </c>
      <c r="G28" s="144"/>
      <c r="H28" s="128" t="n">
        <f aca="false">SUM(C28:G28)</f>
        <v>0</v>
      </c>
      <c r="I28" s="30"/>
      <c r="J28" s="29" t="n">
        <f aca="false">+GrossMargin!K29-[5]GrossMargin!K29</f>
        <v>0</v>
      </c>
      <c r="K28" s="31" t="n">
        <f aca="false">SUM(H28:J28)</f>
        <v>0</v>
      </c>
    </row>
    <row r="29" customFormat="false" ht="13.5" hidden="false" customHeight="true" outlineLevel="0" collapsed="false">
      <c r="A29" s="10" t="s">
        <v>35</v>
      </c>
      <c r="B29" s="160"/>
      <c r="C29" s="30" t="n">
        <f aca="false">+GrossMargin!D30-[5]GrossMargin!D30</f>
        <v>0</v>
      </c>
      <c r="D29" s="29" t="n">
        <f aca="false">+GrossMargin!E30-[5]GrossMargin!E30</f>
        <v>0</v>
      </c>
      <c r="E29" s="29"/>
      <c r="F29" s="29" t="n">
        <f aca="false">+GrossMargin!G30-[5]GrossMargin!G30</f>
        <v>0</v>
      </c>
      <c r="G29" s="144" t="n">
        <v>0</v>
      </c>
      <c r="H29" s="128" t="n">
        <f aca="false">SUM(C29:G29)</f>
        <v>0</v>
      </c>
      <c r="I29" s="30" t="n">
        <v>0</v>
      </c>
      <c r="J29" s="29" t="n">
        <f aca="false">+GrossMargin!K30-[5]GrossMargin!K30</f>
        <v>0</v>
      </c>
      <c r="K29" s="31" t="n">
        <f aca="false">SUM(H29:J29)</f>
        <v>0</v>
      </c>
    </row>
    <row r="30" customFormat="false" ht="13.5" hidden="false" customHeight="true" outlineLevel="0" collapsed="false">
      <c r="A30" s="10" t="s">
        <v>36</v>
      </c>
      <c r="B30" s="160"/>
      <c r="C30" s="30" t="n">
        <f aca="false">+GrossMargin!D31-[5]GrossMargin!D31</f>
        <v>0</v>
      </c>
      <c r="D30" s="29" t="n">
        <f aca="false">+GrossMargin!E31-[5]GrossMargin!E31</f>
        <v>0</v>
      </c>
      <c r="E30" s="29"/>
      <c r="F30" s="29" t="n">
        <f aca="false">+GrossMargin!G31-[5]GrossMargin!G31</f>
        <v>0</v>
      </c>
      <c r="G30" s="144" t="n">
        <v>0</v>
      </c>
      <c r="H30" s="128" t="n">
        <f aca="false">SUM(C30:G30)</f>
        <v>0</v>
      </c>
      <c r="I30" s="30" t="n">
        <v>0</v>
      </c>
      <c r="J30" s="29" t="n">
        <f aca="false">+GrossMargin!K31-[5]GrossMargin!K31</f>
        <v>0</v>
      </c>
      <c r="K30" s="31" t="n">
        <f aca="false">SUM(H30:J30)</f>
        <v>0</v>
      </c>
    </row>
    <row r="31" customFormat="false" ht="3" hidden="false" customHeight="true" outlineLevel="0" collapsed="false">
      <c r="A31" s="10"/>
      <c r="B31" s="8"/>
      <c r="C31" s="30"/>
      <c r="D31" s="29"/>
      <c r="E31" s="29"/>
      <c r="F31" s="144"/>
      <c r="G31" s="144"/>
      <c r="H31" s="128"/>
      <c r="I31" s="30"/>
      <c r="J31" s="29"/>
      <c r="K31" s="144"/>
    </row>
    <row r="32" customFormat="false" ht="13.5" hidden="false" customHeight="true" outlineLevel="0" collapsed="false">
      <c r="A32" s="38" t="s">
        <v>76</v>
      </c>
      <c r="B32" s="8"/>
      <c r="C32" s="43" t="n">
        <f aca="false">SUM(C21:C30)+SUM(C9:C14)</f>
        <v>-3060</v>
      </c>
      <c r="D32" s="44" t="n">
        <f aca="false">SUM(D9:D14)+SUM(D21:D30)</f>
        <v>-923.815</v>
      </c>
      <c r="E32" s="44" t="n">
        <f aca="false">SUM(E9:E14)+SUM(E21:E30)</f>
        <v>0</v>
      </c>
      <c r="F32" s="45" t="n">
        <f aca="false">SUM(F9:F14)+SUM(F21:F30)</f>
        <v>0</v>
      </c>
      <c r="G32" s="44" t="n">
        <f aca="false">SUM(G9:G14)+SUM(G21:G30)</f>
        <v>0</v>
      </c>
      <c r="H32" s="131" t="n">
        <f aca="false">SUM(H9:H14)+SUM(H21:H30)</f>
        <v>-3983.815</v>
      </c>
      <c r="I32" s="44" t="e">
        <f aca="false">+#REF!+#REF!</f>
        <v>#REF!</v>
      </c>
      <c r="J32" s="44" t="n">
        <f aca="false">SUM(J9:J14)+SUM(J21:J30)</f>
        <v>0</v>
      </c>
      <c r="K32" s="45" t="n">
        <f aca="false">SUM(K9:K14)+SUM(K21:K30)</f>
        <v>-3983.815</v>
      </c>
    </row>
    <row r="33" customFormat="false" ht="3" hidden="false" customHeight="true" outlineLevel="0" collapsed="false">
      <c r="A33" s="10"/>
      <c r="B33" s="8"/>
      <c r="C33" s="30"/>
      <c r="D33" s="29"/>
      <c r="E33" s="29"/>
      <c r="F33" s="144"/>
      <c r="G33" s="144"/>
      <c r="H33" s="128"/>
      <c r="I33" s="30"/>
      <c r="J33" s="29"/>
      <c r="K33" s="144"/>
    </row>
    <row r="34" customFormat="false" ht="13.5" hidden="true" customHeight="true" outlineLevel="0" collapsed="false">
      <c r="A34" s="10" t="s">
        <v>40</v>
      </c>
      <c r="B34" s="8"/>
      <c r="C34" s="30" t="n">
        <f aca="false">+[6]GrossMargin!D31-[7]GrossMargin!D31</f>
        <v>0</v>
      </c>
      <c r="D34" s="29" t="n">
        <f aca="false">+[6]GrossMargin!E31-[7]GrossMargin!E31</f>
        <v>0</v>
      </c>
      <c r="E34" s="29" t="n">
        <v>0</v>
      </c>
      <c r="F34" s="144" t="n">
        <f aca="false">+[6]GrossMargin!G31-[7]GrossMargin!G31</f>
        <v>0</v>
      </c>
      <c r="G34" s="144" t="n">
        <v>0</v>
      </c>
      <c r="H34" s="128" t="n">
        <f aca="false">SUM(C34:G34)</f>
        <v>0</v>
      </c>
      <c r="I34" s="30" t="n">
        <v>0</v>
      </c>
      <c r="J34" s="154" t="n">
        <f aca="false">+[6]GrossMargin!K31-[7]GrossMargin!K31</f>
        <v>0</v>
      </c>
      <c r="K34" s="31" t="n">
        <f aca="false">SUM(H34:J34)</f>
        <v>0</v>
      </c>
    </row>
    <row r="35" customFormat="false" ht="3" hidden="true" customHeight="true" outlineLevel="0" collapsed="false">
      <c r="A35" s="7"/>
      <c r="B35" s="8"/>
      <c r="C35" s="161"/>
      <c r="D35" s="162"/>
      <c r="E35" s="162"/>
      <c r="F35" s="162"/>
      <c r="G35" s="162"/>
      <c r="H35" s="163"/>
      <c r="I35" s="162"/>
      <c r="J35" s="162"/>
      <c r="K35" s="164"/>
    </row>
    <row r="36" customFormat="false" ht="13.5" hidden="true" customHeight="true" outlineLevel="0" collapsed="false">
      <c r="A36" s="38" t="s">
        <v>77</v>
      </c>
      <c r="B36" s="8"/>
      <c r="C36" s="50" t="n">
        <f aca="false">SUM(C9:C14)+SUM(C21:C30)</f>
        <v>-3060</v>
      </c>
      <c r="D36" s="51" t="n">
        <f aca="false">SUM(D9:D14)+SUM(D21:D30)</f>
        <v>-923.815</v>
      </c>
      <c r="E36" s="51" t="n">
        <f aca="false">SUM(E9:E14)+SUM(E21:E30)</f>
        <v>0</v>
      </c>
      <c r="F36" s="51" t="n">
        <f aca="false">SUM(F9:F14)+SUM(F21:F30)</f>
        <v>0</v>
      </c>
      <c r="G36" s="51" t="n">
        <f aca="false">SUM(G9:G14)+SUM(G21:G30)</f>
        <v>0</v>
      </c>
      <c r="H36" s="165" t="n">
        <f aca="false">SUM(H9:H14)+SUM(H21:H30)</f>
        <v>-3983.815</v>
      </c>
      <c r="I36" s="51" t="n">
        <f aca="false">SUM(I9:I14)+SUM(I21:I30)</f>
        <v>0</v>
      </c>
      <c r="J36" s="51" t="n">
        <f aca="false">SUM(J9:J14)+SUM(J21:J30)</f>
        <v>0</v>
      </c>
      <c r="K36" s="52" t="n">
        <f aca="false">SUM(K9:K14)+SUM(K21:K30)</f>
        <v>-3983.815</v>
      </c>
    </row>
    <row r="37" customFormat="false" ht="3" hidden="false" customHeight="true" outlineLevel="0" collapsed="false">
      <c r="A37" s="166"/>
      <c r="B37" s="22"/>
      <c r="C37" s="167"/>
      <c r="D37" s="168"/>
      <c r="E37" s="168"/>
      <c r="F37" s="168"/>
      <c r="G37" s="168"/>
      <c r="H37" s="169"/>
      <c r="I37" s="168"/>
      <c r="J37" s="168"/>
      <c r="K37" s="170"/>
    </row>
    <row r="38" customFormat="false" ht="13.5" hidden="false" customHeight="false" outlineLevel="0" collapsed="false">
      <c r="A38" s="171" t="s">
        <v>78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customFormat="false" ht="12.75" hidden="false" customHeight="false" outlineLevel="0" collapsed="false">
      <c r="E39" s="126"/>
    </row>
    <row r="41" customFormat="false" ht="12.75" hidden="false" customHeight="false" outlineLevel="0" collapsed="false">
      <c r="G41" s="67"/>
    </row>
    <row r="42" customFormat="false" ht="15.75" hidden="false" customHeight="false" outlineLevel="0" collapsed="false">
      <c r="D42" s="172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3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73" t="s">
        <v>79</v>
      </c>
    </row>
    <row r="2" customFormat="false" ht="15.75" hidden="false" customHeight="false" outlineLevel="0" collapsed="false">
      <c r="A2" s="173" t="s">
        <v>80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74" t="n">
        <v>36861</v>
      </c>
      <c r="B3" s="4" t="s">
        <v>81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73" t="s">
        <v>82</v>
      </c>
      <c r="B4" s="127" t="str">
        <f aca="false">'Mgmt Summary'!A3</f>
        <v>Results based on activity through October 19, 2001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customFormat="false" ht="3" hidden="false" customHeight="true" outlineLevel="0" collapsed="false">
      <c r="B5" s="61"/>
    </row>
    <row r="6" customFormat="false" ht="12.75" hidden="false" customHeight="true" outlineLevel="0" collapsed="false">
      <c r="A6" s="173" t="s">
        <v>83</v>
      </c>
      <c r="B6" s="7"/>
      <c r="C6" s="8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8"/>
    </row>
    <row r="7" customFormat="false" ht="13.5" hidden="false" customHeight="false" outlineLevel="0" collapsed="false">
      <c r="A7" s="22"/>
      <c r="B7" s="10"/>
      <c r="C7" s="8"/>
      <c r="D7" s="16"/>
      <c r="E7" s="23"/>
      <c r="F7" s="175"/>
      <c r="G7" s="139" t="s">
        <v>63</v>
      </c>
      <c r="H7" s="23"/>
      <c r="I7" s="139" t="s">
        <v>6</v>
      </c>
      <c r="J7" s="139" t="s">
        <v>7</v>
      </c>
      <c r="K7" s="139" t="s">
        <v>8</v>
      </c>
      <c r="L7" s="139" t="s">
        <v>9</v>
      </c>
      <c r="M7" s="139" t="s">
        <v>15</v>
      </c>
      <c r="N7" s="140"/>
      <c r="O7" s="176"/>
      <c r="P7" s="176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5.75" hidden="false" customHeight="false" outlineLevel="0" collapsed="false">
      <c r="A8" s="22"/>
      <c r="B8" s="14" t="s">
        <v>14</v>
      </c>
      <c r="C8" s="8"/>
      <c r="D8" s="177" t="s">
        <v>64</v>
      </c>
      <c r="E8" s="139" t="s">
        <v>65</v>
      </c>
      <c r="F8" s="139" t="s">
        <v>66</v>
      </c>
      <c r="G8" s="139" t="s">
        <v>67</v>
      </c>
      <c r="H8" s="139" t="s">
        <v>68</v>
      </c>
      <c r="I8" s="139" t="s">
        <v>15</v>
      </c>
      <c r="J8" s="139" t="s">
        <v>18</v>
      </c>
      <c r="K8" s="139" t="s">
        <v>15</v>
      </c>
      <c r="L8" s="139" t="s">
        <v>15</v>
      </c>
      <c r="M8" s="139" t="s">
        <v>3</v>
      </c>
      <c r="N8" s="142" t="s">
        <v>55</v>
      </c>
      <c r="O8" s="176"/>
      <c r="P8" s="176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3" hidden="false" customHeight="true" outlineLevel="0" collapsed="false">
      <c r="B9" s="178"/>
      <c r="D9" s="179"/>
      <c r="E9" s="180"/>
      <c r="F9" s="180"/>
      <c r="G9" s="180"/>
      <c r="H9" s="181"/>
      <c r="I9" s="182"/>
      <c r="J9" s="180"/>
      <c r="K9" s="180"/>
      <c r="L9" s="180"/>
      <c r="M9" s="181"/>
      <c r="N9" s="181"/>
    </row>
    <row r="10" customFormat="false" ht="13.5" hidden="false" customHeight="true" outlineLevel="0" collapsed="false">
      <c r="A10" s="183"/>
      <c r="B10" s="10" t="s">
        <v>21</v>
      </c>
      <c r="C10" s="184"/>
      <c r="D10" s="30" t="n">
        <v>-7726</v>
      </c>
      <c r="E10" s="29" t="n">
        <v>0</v>
      </c>
      <c r="F10" s="29" t="n">
        <v>0</v>
      </c>
      <c r="G10" s="29" t="n">
        <v>0</v>
      </c>
      <c r="H10" s="144" t="n">
        <v>0</v>
      </c>
      <c r="I10" s="128" t="n">
        <f aca="false">SUM(D10:H10)</f>
        <v>-7726</v>
      </c>
      <c r="J10" s="129"/>
      <c r="K10" s="29" t="n">
        <v>0</v>
      </c>
      <c r="L10" s="29" t="n">
        <f aca="false">+I10+K10</f>
        <v>-7726</v>
      </c>
      <c r="M10" s="144" t="n">
        <v>45000</v>
      </c>
      <c r="N10" s="31" t="n">
        <f aca="false">L10-M10</f>
        <v>-52726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3.5" hidden="false" customHeight="true" outlineLevel="0" collapsed="false">
      <c r="A11" s="173" t="s">
        <v>84</v>
      </c>
      <c r="B11" s="10" t="s">
        <v>22</v>
      </c>
      <c r="C11" s="184"/>
      <c r="D11" s="30" t="n">
        <v>909</v>
      </c>
      <c r="E11" s="29" t="n">
        <v>605.246</v>
      </c>
      <c r="F11" s="29" t="n">
        <v>0</v>
      </c>
      <c r="G11" s="29" t="n">
        <v>0</v>
      </c>
      <c r="H11" s="144" t="n">
        <v>0</v>
      </c>
      <c r="I11" s="128" t="n">
        <f aca="false">SUM(D11:H11)</f>
        <v>1514.246</v>
      </c>
      <c r="J11" s="129"/>
      <c r="K11" s="29" t="n">
        <v>0</v>
      </c>
      <c r="L11" s="29" t="n">
        <f aca="false">+I11+K11</f>
        <v>1514.246</v>
      </c>
      <c r="M11" s="144" t="n">
        <f aca="false">13750-M12+1875+3125</f>
        <v>16250</v>
      </c>
      <c r="N11" s="31" t="n">
        <f aca="false">L11-M11</f>
        <v>-14735.754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3.5" hidden="false" customHeight="true" outlineLevel="0" collapsed="false">
      <c r="B12" s="10" t="s">
        <v>23</v>
      </c>
      <c r="C12" s="184"/>
      <c r="D12" s="30" t="n">
        <v>-394</v>
      </c>
      <c r="E12" s="29" t="n">
        <v>0</v>
      </c>
      <c r="F12" s="29" t="n">
        <v>0</v>
      </c>
      <c r="G12" s="29" t="n">
        <v>0</v>
      </c>
      <c r="H12" s="144" t="n">
        <v>0</v>
      </c>
      <c r="I12" s="128" t="n">
        <f aca="false">SUM(D12:H12)</f>
        <v>-394</v>
      </c>
      <c r="J12" s="129"/>
      <c r="K12" s="29" t="n">
        <v>0</v>
      </c>
      <c r="L12" s="29" t="n">
        <f aca="false">+I12+K12</f>
        <v>-394</v>
      </c>
      <c r="M12" s="144" t="n">
        <v>2500</v>
      </c>
      <c r="N12" s="31" t="n">
        <f aca="false">L12-M12</f>
        <v>-2894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true" customHeight="true" outlineLevel="0" collapsed="false">
      <c r="A13" s="173" t="s">
        <v>85</v>
      </c>
      <c r="B13" s="10" t="s">
        <v>24</v>
      </c>
      <c r="C13" s="184"/>
      <c r="D13" s="30" t="n">
        <v>0</v>
      </c>
      <c r="E13" s="29" t="n">
        <v>0</v>
      </c>
      <c r="F13" s="29" t="n">
        <v>0</v>
      </c>
      <c r="G13" s="29" t="n">
        <v>0</v>
      </c>
      <c r="H13" s="144" t="n">
        <v>0</v>
      </c>
      <c r="I13" s="128" t="n">
        <f aca="false">SUM(D13:H13)</f>
        <v>0</v>
      </c>
      <c r="J13" s="129"/>
      <c r="K13" s="29" t="n">
        <v>0</v>
      </c>
      <c r="L13" s="29" t="n">
        <f aca="false">+I13+K13</f>
        <v>0</v>
      </c>
      <c r="M13" s="144" t="n">
        <v>0</v>
      </c>
      <c r="N13" s="31" t="n">
        <f aca="false">L13-M13</f>
        <v>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3.5" hidden="false" customHeight="true" outlineLevel="0" collapsed="false">
      <c r="A14" s="173" t="s">
        <v>86</v>
      </c>
      <c r="B14" s="10" t="s">
        <v>25</v>
      </c>
      <c r="C14" s="184"/>
      <c r="D14" s="30" t="n">
        <v>1431</v>
      </c>
      <c r="E14" s="29" t="n">
        <v>0</v>
      </c>
      <c r="F14" s="29" t="n">
        <v>0</v>
      </c>
      <c r="G14" s="29" t="n">
        <v>0</v>
      </c>
      <c r="H14" s="144" t="n">
        <v>0</v>
      </c>
      <c r="I14" s="128" t="n">
        <f aca="false">SUM(D14:H14)</f>
        <v>1431</v>
      </c>
      <c r="J14" s="129"/>
      <c r="K14" s="29" t="n">
        <v>0</v>
      </c>
      <c r="L14" s="29" t="n">
        <f aca="false">+I14+K14</f>
        <v>1431</v>
      </c>
      <c r="M14" s="144" t="n">
        <f aca="false">10252.58-1500</f>
        <v>8752.58</v>
      </c>
      <c r="N14" s="31" t="n">
        <f aca="false">L14-M14</f>
        <v>-7321.58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3.5" hidden="false" customHeight="true" outlineLevel="0" collapsed="false">
      <c r="A15" s="173" t="s">
        <v>87</v>
      </c>
      <c r="B15" s="10" t="s">
        <v>26</v>
      </c>
      <c r="C15" s="184"/>
      <c r="D15" s="30" t="n">
        <v>40</v>
      </c>
      <c r="E15" s="29" t="n">
        <v>6.04</v>
      </c>
      <c r="F15" s="29" t="n">
        <v>0</v>
      </c>
      <c r="G15" s="29" t="n">
        <v>0</v>
      </c>
      <c r="H15" s="144" t="n">
        <v>0</v>
      </c>
      <c r="I15" s="128" t="n">
        <f aca="false">SUM(D15:H15)</f>
        <v>46.04</v>
      </c>
      <c r="J15" s="129"/>
      <c r="K15" s="29" t="n">
        <v>0</v>
      </c>
      <c r="L15" s="29" t="n">
        <f aca="false">+I15+K15</f>
        <v>46.04</v>
      </c>
      <c r="M15" s="144" t="n">
        <v>8875</v>
      </c>
      <c r="N15" s="31" t="n">
        <f aca="false">L15-M15</f>
        <v>-8828.96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3.5" hidden="false" customHeight="true" outlineLevel="0" collapsed="false">
      <c r="A16" s="173" t="s">
        <v>88</v>
      </c>
      <c r="B16" s="185" t="s">
        <v>69</v>
      </c>
      <c r="C16" s="186"/>
      <c r="D16" s="151" t="n">
        <v>1400</v>
      </c>
      <c r="E16" s="148" t="n">
        <v>0</v>
      </c>
      <c r="F16" s="148" t="n">
        <v>0</v>
      </c>
      <c r="G16" s="148" t="n">
        <v>0</v>
      </c>
      <c r="H16" s="149" t="n">
        <v>0</v>
      </c>
      <c r="I16" s="187" t="n">
        <f aca="false">SUM(D16:H16)</f>
        <v>1400</v>
      </c>
      <c r="J16" s="148"/>
      <c r="K16" s="148" t="n">
        <v>0</v>
      </c>
      <c r="L16" s="29" t="n">
        <f aca="false">+I16+K16</f>
        <v>1400</v>
      </c>
      <c r="M16" s="149" t="n">
        <v>0</v>
      </c>
      <c r="N16" s="149" t="n">
        <f aca="false">L16-M16</f>
        <v>1400</v>
      </c>
    </row>
    <row r="17" customFormat="false" ht="13.5" hidden="false" customHeight="true" outlineLevel="0" collapsed="false">
      <c r="A17" s="173" t="s">
        <v>88</v>
      </c>
      <c r="B17" s="185" t="s">
        <v>70</v>
      </c>
      <c r="C17" s="186"/>
      <c r="D17" s="151" t="n">
        <v>374</v>
      </c>
      <c r="E17" s="148" t="n">
        <v>0</v>
      </c>
      <c r="F17" s="148" t="n">
        <v>0</v>
      </c>
      <c r="G17" s="148" t="n">
        <v>0</v>
      </c>
      <c r="H17" s="149" t="n">
        <v>0</v>
      </c>
      <c r="I17" s="187" t="n">
        <f aca="false">SUM(D17:H17)</f>
        <v>374</v>
      </c>
      <c r="J17" s="148"/>
      <c r="K17" s="148" t="n">
        <v>0</v>
      </c>
      <c r="L17" s="29" t="n">
        <f aca="false">+I17+K17</f>
        <v>374</v>
      </c>
      <c r="M17" s="149" t="n">
        <v>0</v>
      </c>
      <c r="N17" s="149" t="n">
        <f aca="false">L17-M17</f>
        <v>374</v>
      </c>
    </row>
    <row r="18" customFormat="false" ht="13.5" hidden="false" customHeight="true" outlineLevel="0" collapsed="false">
      <c r="B18" s="185" t="s">
        <v>71</v>
      </c>
      <c r="C18" s="186"/>
      <c r="D18" s="151" t="n">
        <v>2733</v>
      </c>
      <c r="E18" s="148" t="n">
        <v>0</v>
      </c>
      <c r="F18" s="148" t="n">
        <v>0</v>
      </c>
      <c r="G18" s="148" t="n">
        <v>0</v>
      </c>
      <c r="H18" s="149" t="n">
        <v>0</v>
      </c>
      <c r="I18" s="187" t="n">
        <f aca="false">SUM(D18:H18)</f>
        <v>2733</v>
      </c>
      <c r="J18" s="148"/>
      <c r="K18" s="148" t="n">
        <v>0</v>
      </c>
      <c r="L18" s="29" t="n">
        <f aca="false">+I18+K18</f>
        <v>2733</v>
      </c>
      <c r="M18" s="149" t="n">
        <v>0</v>
      </c>
      <c r="N18" s="149" t="n">
        <f aca="false">L18-M18</f>
        <v>2733</v>
      </c>
      <c r="P18" s="67"/>
    </row>
    <row r="19" customFormat="false" ht="13.5" hidden="false" customHeight="true" outlineLevel="0" collapsed="false">
      <c r="B19" s="185" t="s">
        <v>72</v>
      </c>
      <c r="C19" s="186"/>
      <c r="D19" s="151" t="n">
        <v>-8</v>
      </c>
      <c r="E19" s="148" t="n">
        <v>0</v>
      </c>
      <c r="F19" s="148" t="n">
        <v>0</v>
      </c>
      <c r="G19" s="148" t="n">
        <v>0</v>
      </c>
      <c r="H19" s="149" t="n">
        <v>0</v>
      </c>
      <c r="I19" s="187" t="n">
        <f aca="false">SUM(D19:H19)</f>
        <v>-8</v>
      </c>
      <c r="J19" s="148"/>
      <c r="K19" s="148" t="n">
        <v>0</v>
      </c>
      <c r="L19" s="29" t="n">
        <f aca="false">+I19+K19</f>
        <v>-8</v>
      </c>
      <c r="M19" s="149" t="n">
        <v>0</v>
      </c>
      <c r="N19" s="149" t="n">
        <f aca="false">L19-M19</f>
        <v>-8</v>
      </c>
      <c r="O19" s="67"/>
    </row>
    <row r="20" customFormat="false" ht="13.5" hidden="false" customHeight="true" outlineLevel="0" collapsed="false">
      <c r="B20" s="185" t="s">
        <v>73</v>
      </c>
      <c r="C20" s="186"/>
      <c r="D20" s="151" t="n">
        <v>0</v>
      </c>
      <c r="E20" s="148" t="n">
        <v>0</v>
      </c>
      <c r="F20" s="148" t="n">
        <v>0</v>
      </c>
      <c r="G20" s="148" t="n">
        <v>0</v>
      </c>
      <c r="H20" s="149" t="n">
        <v>0</v>
      </c>
      <c r="I20" s="187" t="n">
        <f aca="false">SUM(D20:H20)</f>
        <v>0</v>
      </c>
      <c r="J20" s="148"/>
      <c r="K20" s="148" t="n">
        <v>0</v>
      </c>
      <c r="L20" s="29" t="n">
        <f aca="false">+I20+K20</f>
        <v>0</v>
      </c>
      <c r="M20" s="149" t="n">
        <v>0</v>
      </c>
      <c r="N20" s="149" t="n">
        <f aca="false">L20-M20</f>
        <v>0</v>
      </c>
    </row>
    <row r="21" customFormat="false" ht="13.5" hidden="false" customHeight="true" outlineLevel="0" collapsed="false">
      <c r="B21" s="185" t="s">
        <v>74</v>
      </c>
      <c r="C21" s="186"/>
      <c r="D21" s="158" t="n">
        <v>0</v>
      </c>
      <c r="E21" s="155" t="n">
        <v>0</v>
      </c>
      <c r="F21" s="155" t="n">
        <v>0</v>
      </c>
      <c r="G21" s="155" t="n">
        <v>0</v>
      </c>
      <c r="H21" s="156" t="n">
        <v>0</v>
      </c>
      <c r="I21" s="188" t="n">
        <f aca="false">SUM(D21:H21)</f>
        <v>0</v>
      </c>
      <c r="J21" s="155"/>
      <c r="K21" s="155" t="n">
        <v>0</v>
      </c>
      <c r="L21" s="154" t="n">
        <f aca="false">+I21+K21</f>
        <v>0</v>
      </c>
      <c r="M21" s="156" t="n">
        <v>0</v>
      </c>
      <c r="N21" s="156" t="n">
        <f aca="false">L21-M21</f>
        <v>0</v>
      </c>
    </row>
    <row r="22" customFormat="false" ht="13.5" hidden="false" customHeight="true" outlineLevel="0" collapsed="false">
      <c r="B22" s="10" t="s">
        <v>27</v>
      </c>
      <c r="C22" s="184"/>
      <c r="D22" s="30" t="n">
        <f aca="false">SUM(D16:D21)</f>
        <v>4499</v>
      </c>
      <c r="E22" s="29" t="n">
        <f aca="false">SUM(E16:E21)</f>
        <v>0</v>
      </c>
      <c r="F22" s="29" t="n">
        <f aca="false">SUM(F16:F21)</f>
        <v>0</v>
      </c>
      <c r="G22" s="29" t="n">
        <f aca="false">SUM(G16:G21)</f>
        <v>0</v>
      </c>
      <c r="H22" s="144" t="n">
        <f aca="false">SUM(H16:H21)</f>
        <v>0</v>
      </c>
      <c r="I22" s="128" t="n">
        <f aca="false">SUM(I16:I21)</f>
        <v>4499</v>
      </c>
      <c r="J22" s="129"/>
      <c r="K22" s="29" t="n">
        <f aca="false">SUM(K16:K21)</f>
        <v>0</v>
      </c>
      <c r="L22" s="29" t="n">
        <f aca="false">+I22+K22</f>
        <v>4499</v>
      </c>
      <c r="M22" s="144" t="n">
        <f aca="false">32500-2955</f>
        <v>29545</v>
      </c>
      <c r="N22" s="31" t="n">
        <f aca="false">L22-M22</f>
        <v>-25046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3.5" hidden="false" customHeight="true" outlineLevel="0" collapsed="false">
      <c r="B23" s="10" t="s">
        <v>28</v>
      </c>
      <c r="C23" s="184"/>
      <c r="D23" s="30" t="n">
        <v>-27</v>
      </c>
      <c r="E23" s="29" t="n">
        <v>-11.317</v>
      </c>
      <c r="F23" s="29" t="n">
        <v>0</v>
      </c>
      <c r="G23" s="29" t="n">
        <v>0</v>
      </c>
      <c r="H23" s="144" t="n">
        <v>0</v>
      </c>
      <c r="I23" s="128" t="n">
        <f aca="false">SUM(D23:H23)</f>
        <v>-38.317</v>
      </c>
      <c r="J23" s="129"/>
      <c r="K23" s="29" t="n">
        <v>0</v>
      </c>
      <c r="L23" s="29" t="n">
        <f aca="false">+I23+K23</f>
        <v>-38.317</v>
      </c>
      <c r="M23" s="144" t="n">
        <f aca="false">5000+8305.5</f>
        <v>13305.5</v>
      </c>
      <c r="N23" s="31" t="n">
        <f aca="false">L23-M23</f>
        <v>-13343.817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3.5" hidden="false" customHeight="true" outlineLevel="0" collapsed="false">
      <c r="B24" s="10" t="s">
        <v>29</v>
      </c>
      <c r="C24" s="184"/>
      <c r="D24" s="30" t="n">
        <v>376</v>
      </c>
      <c r="E24" s="29" t="n">
        <v>0</v>
      </c>
      <c r="F24" s="29" t="n">
        <v>0</v>
      </c>
      <c r="G24" s="29" t="n">
        <v>0</v>
      </c>
      <c r="H24" s="144" t="n">
        <v>0</v>
      </c>
      <c r="I24" s="128" t="n">
        <f aca="false">SUM(D24:H24)</f>
        <v>376</v>
      </c>
      <c r="J24" s="129"/>
      <c r="K24" s="29" t="n">
        <v>0</v>
      </c>
      <c r="L24" s="29" t="n">
        <f aca="false">+I24+K24</f>
        <v>376</v>
      </c>
      <c r="M24" s="144" t="n">
        <v>44000</v>
      </c>
      <c r="N24" s="31" t="n">
        <f aca="false">L24-M24</f>
        <v>-43624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3.5" hidden="true" customHeight="true" outlineLevel="0" collapsed="false">
      <c r="B25" s="10" t="s">
        <v>31</v>
      </c>
      <c r="C25" s="184"/>
      <c r="D25" s="30" t="n">
        <v>0</v>
      </c>
      <c r="E25" s="29" t="n">
        <v>0</v>
      </c>
      <c r="F25" s="29" t="n">
        <v>0</v>
      </c>
      <c r="G25" s="29" t="n">
        <v>0</v>
      </c>
      <c r="H25" s="144" t="n">
        <v>0</v>
      </c>
      <c r="I25" s="128" t="n">
        <f aca="false">SUM(D25:H25)</f>
        <v>0</v>
      </c>
      <c r="J25" s="129"/>
      <c r="K25" s="29" t="n">
        <v>0</v>
      </c>
      <c r="L25" s="29" t="n">
        <f aca="false">+I25+K25</f>
        <v>0</v>
      </c>
      <c r="M25" s="144" t="n">
        <f aca="false">3229.499-3373-166+309.501</f>
        <v>0</v>
      </c>
      <c r="N25" s="31" t="n">
        <f aca="false">L25-M25</f>
        <v>0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3.5" hidden="false" customHeight="true" outlineLevel="0" collapsed="false">
      <c r="B26" s="10" t="s">
        <v>32</v>
      </c>
      <c r="C26" s="184"/>
      <c r="D26" s="30" t="n">
        <v>0</v>
      </c>
      <c r="E26" s="29" t="n">
        <v>0</v>
      </c>
      <c r="F26" s="29" t="n">
        <v>0</v>
      </c>
      <c r="G26" s="29" t="n">
        <v>0</v>
      </c>
      <c r="H26" s="144" t="n">
        <v>0</v>
      </c>
      <c r="I26" s="128" t="n">
        <f aca="false">SUM(D26:H26)</f>
        <v>0</v>
      </c>
      <c r="J26" s="129"/>
      <c r="K26" s="29" t="n">
        <v>0</v>
      </c>
      <c r="L26" s="29" t="n">
        <f aca="false">+I26+K26</f>
        <v>0</v>
      </c>
      <c r="M26" s="144" t="n">
        <v>3750</v>
      </c>
      <c r="N26" s="31" t="n">
        <f aca="false">L26-M26</f>
        <v>-3750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3.5" hidden="false" customHeight="true" outlineLevel="0" collapsed="false">
      <c r="B27" s="10" t="s">
        <v>33</v>
      </c>
      <c r="C27" s="184"/>
      <c r="D27" s="30" t="n">
        <v>0</v>
      </c>
      <c r="E27" s="29" t="n">
        <v>0</v>
      </c>
      <c r="F27" s="29" t="n">
        <v>0</v>
      </c>
      <c r="G27" s="29" t="n">
        <v>0</v>
      </c>
      <c r="H27" s="144" t="n">
        <v>0</v>
      </c>
      <c r="I27" s="128" t="n">
        <f aca="false">SUM(D27:H27)</f>
        <v>0</v>
      </c>
      <c r="J27" s="129"/>
      <c r="K27" s="29" t="n">
        <v>0</v>
      </c>
      <c r="L27" s="29" t="n">
        <f aca="false">+I27+K27</f>
        <v>0</v>
      </c>
      <c r="M27" s="144" t="n">
        <v>1602.701</v>
      </c>
      <c r="N27" s="31" t="n">
        <f aca="false">L27-M27</f>
        <v>-1602.701</v>
      </c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3.5" hidden="false" customHeight="true" outlineLevel="0" collapsed="false">
      <c r="B28" s="10" t="s">
        <v>34</v>
      </c>
      <c r="C28" s="184"/>
      <c r="D28" s="30" t="n">
        <v>0</v>
      </c>
      <c r="E28" s="29" t="n">
        <v>0</v>
      </c>
      <c r="F28" s="29" t="n">
        <v>0</v>
      </c>
      <c r="G28" s="29" t="n">
        <v>0</v>
      </c>
      <c r="H28" s="144" t="n">
        <v>0</v>
      </c>
      <c r="I28" s="128" t="n">
        <f aca="false">SUM(D28:H28)</f>
        <v>0</v>
      </c>
      <c r="J28" s="129"/>
      <c r="K28" s="29" t="n">
        <v>0</v>
      </c>
      <c r="L28" s="29" t="n">
        <f aca="false">+I28+K28</f>
        <v>0</v>
      </c>
      <c r="M28" s="144" t="n">
        <v>0</v>
      </c>
      <c r="N28" s="31" t="n">
        <f aca="false">L28-M28</f>
        <v>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3.5" hidden="false" customHeight="true" outlineLevel="0" collapsed="false">
      <c r="B29" s="10" t="s">
        <v>57</v>
      </c>
      <c r="C29" s="184"/>
      <c r="D29" s="30" t="n">
        <v>-30000</v>
      </c>
      <c r="E29" s="29" t="n">
        <v>0</v>
      </c>
      <c r="F29" s="29"/>
      <c r="G29" s="29" t="n">
        <v>0</v>
      </c>
      <c r="H29" s="144"/>
      <c r="I29" s="128" t="n">
        <f aca="false">SUM(D29:H29)</f>
        <v>-30000</v>
      </c>
      <c r="J29" s="129"/>
      <c r="K29" s="29" t="n">
        <v>0</v>
      </c>
      <c r="L29" s="29" t="n">
        <f aca="false">+I29+K29</f>
        <v>-30000</v>
      </c>
      <c r="M29" s="144" t="n">
        <v>0</v>
      </c>
      <c r="N29" s="31" t="n">
        <f aca="false">L29-M29</f>
        <v>-30000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3.5" hidden="false" customHeight="true" outlineLevel="0" collapsed="false">
      <c r="B30" s="10" t="s">
        <v>35</v>
      </c>
      <c r="C30" s="184"/>
      <c r="D30" s="30" t="n">
        <v>0</v>
      </c>
      <c r="E30" s="29" t="n">
        <v>0</v>
      </c>
      <c r="F30" s="29" t="n">
        <v>0</v>
      </c>
      <c r="G30" s="29" t="n">
        <v>0</v>
      </c>
      <c r="H30" s="144" t="n">
        <v>0</v>
      </c>
      <c r="I30" s="128" t="n">
        <f aca="false">SUM(D30:H30)</f>
        <v>0</v>
      </c>
      <c r="J30" s="129"/>
      <c r="K30" s="29" t="n">
        <v>0</v>
      </c>
      <c r="L30" s="29" t="n">
        <f aca="false">+I30+K30</f>
        <v>0</v>
      </c>
      <c r="M30" s="144" t="n">
        <v>0</v>
      </c>
      <c r="N30" s="31" t="n">
        <f aca="false">L30-M30</f>
        <v>0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3.5" hidden="false" customHeight="true" outlineLevel="0" collapsed="false">
      <c r="B31" s="10" t="s">
        <v>36</v>
      </c>
      <c r="C31" s="184"/>
      <c r="D31" s="30" t="n">
        <v>0</v>
      </c>
      <c r="E31" s="29" t="n">
        <v>0</v>
      </c>
      <c r="F31" s="29" t="n">
        <v>0</v>
      </c>
      <c r="G31" s="29" t="n">
        <v>0</v>
      </c>
      <c r="H31" s="144" t="n">
        <v>0</v>
      </c>
      <c r="I31" s="128" t="n">
        <f aca="false">SUM(D31:H31)</f>
        <v>0</v>
      </c>
      <c r="J31" s="129"/>
      <c r="K31" s="29" t="n">
        <v>0</v>
      </c>
      <c r="L31" s="29" t="n">
        <f aca="false">+I31+K31</f>
        <v>0</v>
      </c>
      <c r="M31" s="144" t="n">
        <f aca="false">-290+738.093-738.093+445+36+56+2955-1471.309</f>
        <v>1730.691</v>
      </c>
      <c r="N31" s="31" t="n">
        <f aca="false">L31-M31</f>
        <v>-1730.691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3" hidden="false" customHeight="true" outlineLevel="0" collapsed="false">
      <c r="B32" s="10"/>
      <c r="C32" s="8"/>
      <c r="D32" s="30"/>
      <c r="E32" s="29"/>
      <c r="F32" s="29"/>
      <c r="G32" s="29"/>
      <c r="H32" s="144"/>
      <c r="I32" s="128"/>
      <c r="J32" s="29"/>
      <c r="K32" s="30"/>
      <c r="L32" s="29"/>
      <c r="M32" s="144"/>
      <c r="N32" s="31"/>
    </row>
    <row r="33" customFormat="false" ht="12" hidden="false" customHeight="true" outlineLevel="0" collapsed="false">
      <c r="B33" s="189" t="s">
        <v>89</v>
      </c>
      <c r="C33" s="8"/>
      <c r="D33" s="43" t="n">
        <f aca="false">SUM(D10:D15)+SUM(D22:D31)</f>
        <v>-30892</v>
      </c>
      <c r="E33" s="44" t="n">
        <f aca="false">SUM(E10:E15)+SUM(E22:E31)</f>
        <v>599.969</v>
      </c>
      <c r="F33" s="44" t="n">
        <f aca="false">SUM(F10:F15)+SUM(F22:F31)</f>
        <v>0</v>
      </c>
      <c r="G33" s="44" t="n">
        <f aca="false">SUM(G10:G15)+SUM(G22:G31)</f>
        <v>0</v>
      </c>
      <c r="H33" s="45" t="n">
        <f aca="false">SUM(H10:H15)+SUM(H22:H31)</f>
        <v>0</v>
      </c>
      <c r="I33" s="131" t="n">
        <f aca="false">SUM(I10:I15)+SUM(I22:I31)</f>
        <v>-30292.031</v>
      </c>
      <c r="J33" s="44" t="n">
        <f aca="false">SUM(J10:J15)+SUM(J22:J31)</f>
        <v>0</v>
      </c>
      <c r="K33" s="44" t="n">
        <f aca="false">SUM(K10:K15)+SUM(K22:K31)</f>
        <v>0</v>
      </c>
      <c r="L33" s="44" t="n">
        <f aca="false">SUM(L10:L15)+SUM(L22:L31)</f>
        <v>-30292.031</v>
      </c>
      <c r="M33" s="45" t="n">
        <f aca="false">SUM(M10:M15)+SUM(M22:M31)</f>
        <v>175311.472</v>
      </c>
      <c r="N33" s="131" t="n">
        <f aca="false">SUM(N10:N15)+SUM(N22:N31)</f>
        <v>-205603.503</v>
      </c>
    </row>
    <row r="34" customFormat="false" ht="3" hidden="false" customHeight="true" outlineLevel="0" collapsed="false">
      <c r="B34" s="10"/>
      <c r="C34" s="8"/>
      <c r="D34" s="30"/>
      <c r="E34" s="29"/>
      <c r="F34" s="29"/>
      <c r="G34" s="29"/>
      <c r="H34" s="144"/>
      <c r="I34" s="128"/>
      <c r="J34" s="29"/>
      <c r="K34" s="30"/>
      <c r="L34" s="29"/>
      <c r="M34" s="144"/>
      <c r="N34" s="31"/>
    </row>
    <row r="35" customFormat="false" ht="13.5" hidden="true" customHeight="true" outlineLevel="0" collapsed="false">
      <c r="B35" s="10" t="s">
        <v>40</v>
      </c>
      <c r="C35" s="8"/>
      <c r="D35" s="30" t="n">
        <v>0</v>
      </c>
      <c r="E35" s="29" t="n">
        <v>0</v>
      </c>
      <c r="F35" s="29" t="n">
        <v>0</v>
      </c>
      <c r="G35" s="29" t="n">
        <v>0</v>
      </c>
      <c r="H35" s="144" t="n">
        <v>0</v>
      </c>
      <c r="I35" s="128" t="n">
        <f aca="false">SUM(D35:H35)</f>
        <v>0</v>
      </c>
      <c r="J35" s="29"/>
      <c r="K35" s="30" t="n">
        <v>0</v>
      </c>
      <c r="L35" s="29" t="n">
        <f aca="false">SUM(I35:K35)</f>
        <v>0</v>
      </c>
      <c r="M35" s="144" t="n">
        <v>0</v>
      </c>
      <c r="N35" s="31" t="n">
        <f aca="false">L35-M35</f>
        <v>0</v>
      </c>
    </row>
    <row r="36" customFormat="false" ht="3" hidden="true" customHeight="true" outlineLevel="0" collapsed="false">
      <c r="B36" s="10"/>
      <c r="C36" s="8"/>
      <c r="D36" s="161"/>
      <c r="E36" s="162"/>
      <c r="F36" s="162"/>
      <c r="G36" s="162"/>
      <c r="H36" s="162"/>
      <c r="I36" s="163"/>
      <c r="J36" s="162"/>
      <c r="K36" s="162"/>
      <c r="L36" s="162"/>
      <c r="M36" s="162"/>
      <c r="N36" s="163"/>
    </row>
    <row r="37" customFormat="false" ht="12" hidden="true" customHeight="true" outlineLevel="0" collapsed="false">
      <c r="B37" s="38" t="s">
        <v>90</v>
      </c>
      <c r="C37" s="8"/>
      <c r="D37" s="50" t="n">
        <f aca="false">SUM(D10:D15)+SUM(D22:D31)</f>
        <v>-30892</v>
      </c>
      <c r="E37" s="51" t="n">
        <f aca="false">SUM(E10:E15)+SUM(E22:E31)</f>
        <v>599.969</v>
      </c>
      <c r="F37" s="51" t="n">
        <f aca="false">SUM(F10:F15)+SUM(F22:F31)</f>
        <v>0</v>
      </c>
      <c r="G37" s="51" t="n">
        <f aca="false">SUM(G10:G15)+SUM(G22:G31)</f>
        <v>0</v>
      </c>
      <c r="H37" s="51" t="n">
        <f aca="false">SUM(H10:H15)+SUM(H22:H31)</f>
        <v>0</v>
      </c>
      <c r="I37" s="165" t="n">
        <f aca="false">SUM(I10:I15)+SUM(I22:I31)</f>
        <v>-30292.031</v>
      </c>
      <c r="J37" s="51" t="n">
        <f aca="false">SUM(J10:J15)+SUM(J22:J31)</f>
        <v>0</v>
      </c>
      <c r="K37" s="51" t="n">
        <f aca="false">SUM(K10:K15)+SUM(K22:K31)</f>
        <v>0</v>
      </c>
      <c r="L37" s="51" t="n">
        <f aca="false">SUM(L10:L15)+SUM(L22:L31)</f>
        <v>-30292.031</v>
      </c>
      <c r="M37" s="51" t="n">
        <f aca="false">SUM(M10:M15)+SUM(M22:M31)</f>
        <v>175311.472</v>
      </c>
      <c r="N37" s="165" t="n">
        <f aca="false">SUM(N10:N15)+SUM(N22:N31)</f>
        <v>-205603.503</v>
      </c>
    </row>
    <row r="38" customFormat="false" ht="3" hidden="false" customHeight="true" outlineLevel="0" collapsed="false">
      <c r="B38" s="53"/>
      <c r="D38" s="55"/>
      <c r="E38" s="56"/>
      <c r="F38" s="56"/>
      <c r="G38" s="56"/>
      <c r="H38" s="56"/>
      <c r="I38" s="190"/>
      <c r="J38" s="56"/>
      <c r="K38" s="56"/>
      <c r="L38" s="56"/>
      <c r="M38" s="56"/>
      <c r="N38" s="190"/>
    </row>
    <row r="39" customFormat="false" ht="12.75" hidden="false" customHeight="false" outlineLevel="0" collapsed="false">
      <c r="B39" s="171" t="s">
        <v>78</v>
      </c>
      <c r="C39" s="191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customFormat="false" ht="12.75" hidden="false" customHeight="false" outlineLevel="0" collapsed="false">
      <c r="B40" s="192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customFormat="false" ht="12.75" hidden="false" customHeight="false" outlineLevel="0" collapsed="false">
      <c r="B41" s="192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customFormat="false" ht="12.75" hidden="false" customHeight="false" outlineLevel="0" collapsed="false"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customFormat="false" ht="12.75" hidden="false" customHeight="false" outlineLevel="0" collapsed="false"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customFormat="false" ht="12.75" hidden="false" customHeight="false" outlineLevel="0" collapsed="false">
      <c r="D44" s="58"/>
      <c r="E44" s="58"/>
      <c r="F44" s="58"/>
      <c r="G44" s="58"/>
      <c r="H44" s="58"/>
      <c r="I44" s="58"/>
      <c r="J44" s="58"/>
      <c r="K44" s="58"/>
      <c r="L44" s="58" t="s">
        <v>44</v>
      </c>
      <c r="M44" s="58"/>
      <c r="N44" s="58"/>
    </row>
    <row r="45" customFormat="false" ht="12.75" hidden="false" customHeight="false" outlineLevel="0" collapsed="false">
      <c r="D45" s="58"/>
    </row>
    <row r="46" customFormat="false" ht="12.75" hidden="false" customHeight="false" outlineLevel="0" collapsed="false">
      <c r="D46" s="58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2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3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3" t="s">
        <v>79</v>
      </c>
    </row>
    <row r="2" customFormat="false" ht="15.75" hidden="false" customHeight="false" outlineLevel="0" collapsed="false">
      <c r="A2" s="193" t="s">
        <v>91</v>
      </c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Q2" s="0" t="s">
        <v>92</v>
      </c>
    </row>
    <row r="3" customFormat="false" ht="15" hidden="false" customHeight="false" outlineLevel="0" collapsed="false">
      <c r="A3" s="195" t="n">
        <v>36861</v>
      </c>
      <c r="B3" s="196" t="s">
        <v>93</v>
      </c>
      <c r="C3" s="196"/>
      <c r="D3" s="196"/>
      <c r="E3" s="196"/>
      <c r="F3" s="196"/>
      <c r="G3" s="196"/>
      <c r="H3" s="196"/>
      <c r="I3" s="196"/>
      <c r="J3" s="196"/>
      <c r="K3" s="196"/>
    </row>
    <row r="4" customFormat="false" ht="12.75" hidden="false" customHeight="false" outlineLevel="0" collapsed="false">
      <c r="A4" s="193" t="s">
        <v>82</v>
      </c>
      <c r="B4" s="197" t="str">
        <f aca="false">+GrossMargin!B4</f>
        <v>Results based on activity through October 19, 2001</v>
      </c>
      <c r="C4" s="197"/>
      <c r="D4" s="197"/>
      <c r="E4" s="197"/>
      <c r="F4" s="197"/>
      <c r="G4" s="197"/>
      <c r="H4" s="197"/>
      <c r="I4" s="197"/>
      <c r="J4" s="197"/>
      <c r="K4" s="197"/>
    </row>
    <row r="5" customFormat="false" ht="3" hidden="false" customHeight="true" outlineLevel="0" collapsed="false"/>
    <row r="6" customFormat="false" ht="12" hidden="false" customHeight="false" outlineLevel="0" collapsed="false">
      <c r="A6" s="193" t="s">
        <v>83</v>
      </c>
      <c r="B6" s="198"/>
      <c r="C6" s="199"/>
      <c r="D6" s="200" t="s">
        <v>94</v>
      </c>
      <c r="E6" s="200"/>
      <c r="F6" s="200"/>
      <c r="G6" s="199"/>
      <c r="H6" s="201"/>
      <c r="I6" s="202"/>
      <c r="J6" s="202"/>
      <c r="K6" s="203"/>
    </row>
    <row r="7" customFormat="false" ht="12" hidden="false" customHeight="false" outlineLevel="0" collapsed="false">
      <c r="A7" s="199"/>
      <c r="B7" s="204" t="s">
        <v>14</v>
      </c>
      <c r="C7" s="199"/>
      <c r="D7" s="205" t="s">
        <v>8</v>
      </c>
      <c r="E7" s="206" t="s">
        <v>3</v>
      </c>
      <c r="F7" s="207" t="s">
        <v>55</v>
      </c>
      <c r="G7" s="199"/>
      <c r="H7" s="208" t="s">
        <v>95</v>
      </c>
      <c r="I7" s="208"/>
      <c r="J7" s="208"/>
      <c r="K7" s="208"/>
    </row>
    <row r="8" customFormat="false" ht="3" hidden="false" customHeight="true" outlineLevel="0" collapsed="false">
      <c r="B8" s="209"/>
      <c r="D8" s="210"/>
      <c r="E8" s="211"/>
      <c r="F8" s="212"/>
      <c r="G8" s="213"/>
      <c r="H8" s="210"/>
      <c r="I8" s="211"/>
      <c r="J8" s="211"/>
      <c r="K8" s="212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</row>
    <row r="9" customFormat="false" ht="13.5" hidden="false" customHeight="true" outlineLevel="0" collapsed="false">
      <c r="B9" s="214" t="s">
        <v>21</v>
      </c>
      <c r="C9" s="215"/>
      <c r="D9" s="216" t="n">
        <f aca="false">+E9</f>
        <v>6903.119</v>
      </c>
      <c r="E9" s="217" t="n">
        <v>6903.119</v>
      </c>
      <c r="F9" s="218" t="n">
        <f aca="false">E9-D9</f>
        <v>0</v>
      </c>
      <c r="G9" s="217"/>
      <c r="H9" s="219"/>
      <c r="I9" s="220"/>
      <c r="J9" s="220"/>
      <c r="K9" s="221"/>
      <c r="L9" s="222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</row>
    <row r="10" customFormat="false" ht="13.5" hidden="false" customHeight="true" outlineLevel="0" collapsed="false">
      <c r="A10" s="193" t="s">
        <v>84</v>
      </c>
      <c r="B10" s="214" t="s">
        <v>22</v>
      </c>
      <c r="C10" s="199"/>
      <c r="D10" s="216" t="n">
        <f aca="false">+E10</f>
        <v>5110.533</v>
      </c>
      <c r="E10" s="217" t="n">
        <f aca="false">4140.841+237.191+1080.71-E11</f>
        <v>5110.533</v>
      </c>
      <c r="F10" s="218" t="n">
        <f aca="false">E10-D10</f>
        <v>0</v>
      </c>
      <c r="G10" s="217"/>
      <c r="H10" s="219"/>
      <c r="I10" s="220"/>
      <c r="J10" s="220"/>
      <c r="K10" s="221"/>
      <c r="L10" s="222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</row>
    <row r="11" customFormat="false" ht="13.5" hidden="false" customHeight="true" outlineLevel="0" collapsed="false">
      <c r="B11" s="214" t="s">
        <v>23</v>
      </c>
      <c r="C11" s="199"/>
      <c r="D11" s="216" t="n">
        <f aca="false">+E11</f>
        <v>348.209</v>
      </c>
      <c r="E11" s="217" t="n">
        <v>348.209</v>
      </c>
      <c r="F11" s="218" t="n">
        <f aca="false">E11-D11</f>
        <v>0</v>
      </c>
      <c r="G11" s="217"/>
      <c r="H11" s="219"/>
      <c r="I11" s="220"/>
      <c r="J11" s="220"/>
      <c r="K11" s="221"/>
      <c r="L11" s="222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</row>
    <row r="12" customFormat="false" ht="13.5" hidden="true" customHeight="true" outlineLevel="0" collapsed="false">
      <c r="A12" s="193" t="s">
        <v>85</v>
      </c>
      <c r="B12" s="214" t="s">
        <v>24</v>
      </c>
      <c r="C12" s="199"/>
      <c r="D12" s="216" t="n">
        <f aca="false">+E12</f>
        <v>0</v>
      </c>
      <c r="E12" s="217" t="n">
        <v>0</v>
      </c>
      <c r="F12" s="218" t="n">
        <f aca="false">E12-D12</f>
        <v>0</v>
      </c>
      <c r="G12" s="217"/>
      <c r="H12" s="219"/>
      <c r="I12" s="220"/>
      <c r="J12" s="220"/>
      <c r="K12" s="221"/>
      <c r="L12" s="222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</row>
    <row r="13" customFormat="false" ht="13.5" hidden="false" customHeight="true" outlineLevel="0" collapsed="false">
      <c r="A13" s="193" t="s">
        <v>86</v>
      </c>
      <c r="B13" s="214" t="s">
        <v>25</v>
      </c>
      <c r="C13" s="199"/>
      <c r="D13" s="216" t="n">
        <f aca="false">+E13+300</f>
        <v>1860.081</v>
      </c>
      <c r="E13" s="217" t="n">
        <f aca="false">2003.825-443.744</f>
        <v>1560.081</v>
      </c>
      <c r="F13" s="218" t="n">
        <f aca="false">E13-D13</f>
        <v>-300</v>
      </c>
      <c r="G13" s="217"/>
      <c r="H13" s="219" t="s">
        <v>96</v>
      </c>
      <c r="I13" s="220"/>
      <c r="J13" s="220"/>
      <c r="K13" s="221"/>
      <c r="L13" s="222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</row>
    <row r="14" customFormat="false" ht="13.5" hidden="false" customHeight="true" outlineLevel="0" collapsed="false">
      <c r="A14" s="193" t="s">
        <v>87</v>
      </c>
      <c r="B14" s="214" t="s">
        <v>26</v>
      </c>
      <c r="C14" s="199"/>
      <c r="D14" s="216" t="n">
        <f aca="false">+E14</f>
        <v>2517.066</v>
      </c>
      <c r="E14" s="217" t="n">
        <v>2517.066</v>
      </c>
      <c r="F14" s="218" t="n">
        <f aca="false">E14-D14</f>
        <v>0</v>
      </c>
      <c r="G14" s="217"/>
      <c r="H14" s="219"/>
      <c r="I14" s="220"/>
      <c r="J14" s="220"/>
      <c r="K14" s="221"/>
      <c r="L14" s="222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</row>
    <row r="15" customFormat="false" ht="13.5" hidden="false" customHeight="true" outlineLevel="0" collapsed="false">
      <c r="A15" s="193" t="s">
        <v>88</v>
      </c>
      <c r="B15" s="223" t="s">
        <v>27</v>
      </c>
      <c r="C15" s="215"/>
      <c r="D15" s="216" t="n">
        <f aca="false">+E15</f>
        <v>1849.136</v>
      </c>
      <c r="E15" s="217" t="n">
        <f aca="false">3320.445-1471.309</f>
        <v>1849.136</v>
      </c>
      <c r="F15" s="218" t="n">
        <f aca="false">E15-D15</f>
        <v>0</v>
      </c>
      <c r="G15" s="217"/>
      <c r="H15" s="219"/>
      <c r="I15" s="220"/>
      <c r="J15" s="220"/>
      <c r="K15" s="221"/>
      <c r="L15" s="222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</row>
    <row r="16" customFormat="false" ht="13.5" hidden="false" customHeight="true" outlineLevel="0" collapsed="false">
      <c r="B16" s="223" t="s">
        <v>28</v>
      </c>
      <c r="C16" s="215"/>
      <c r="D16" s="216" t="n">
        <f aca="false">+E16</f>
        <v>7322.176</v>
      </c>
      <c r="E16" s="217" t="n">
        <f aca="false">578.553+6743.623</f>
        <v>7322.176</v>
      </c>
      <c r="F16" s="218" t="n">
        <f aca="false">E16-D16</f>
        <v>0</v>
      </c>
      <c r="G16" s="217"/>
      <c r="H16" s="219"/>
      <c r="I16" s="220"/>
      <c r="J16" s="220"/>
      <c r="K16" s="221"/>
      <c r="L16" s="222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</row>
    <row r="17" customFormat="false" ht="13.5" hidden="false" customHeight="true" outlineLevel="0" collapsed="false">
      <c r="B17" s="223" t="s">
        <v>29</v>
      </c>
      <c r="C17" s="215"/>
      <c r="D17" s="216" t="n">
        <f aca="false">+E17+1840</f>
        <v>3270.25</v>
      </c>
      <c r="E17" s="217" t="n">
        <v>1430.25</v>
      </c>
      <c r="F17" s="218" t="n">
        <f aca="false">E17-D17</f>
        <v>-1840</v>
      </c>
      <c r="G17" s="217"/>
      <c r="H17" s="219" t="s">
        <v>97</v>
      </c>
      <c r="I17" s="220"/>
      <c r="J17" s="220"/>
      <c r="K17" s="221"/>
      <c r="L17" s="222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</row>
    <row r="18" customFormat="false" ht="13.5" hidden="true" customHeight="true" outlineLevel="0" collapsed="false">
      <c r="B18" s="223" t="s">
        <v>31</v>
      </c>
      <c r="C18" s="215"/>
      <c r="D18" s="216" t="n">
        <f aca="false">+E18</f>
        <v>0</v>
      </c>
      <c r="E18" s="217" t="n">
        <f aca="false">(439.884-250+100+50)*0+280.346-280.346</f>
        <v>0</v>
      </c>
      <c r="F18" s="218" t="n">
        <f aca="false">E18-D18</f>
        <v>0</v>
      </c>
      <c r="G18" s="217"/>
      <c r="H18" s="219"/>
      <c r="I18" s="220"/>
      <c r="J18" s="220"/>
      <c r="K18" s="221"/>
      <c r="L18" s="222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</row>
    <row r="19" customFormat="false" ht="13.5" hidden="false" customHeight="true" outlineLevel="0" collapsed="false">
      <c r="B19" s="223" t="s">
        <v>32</v>
      </c>
      <c r="C19" s="215"/>
      <c r="D19" s="216" t="n">
        <f aca="false">+E19</f>
        <v>1542.486</v>
      </c>
      <c r="E19" s="217" t="n">
        <v>1542.486</v>
      </c>
      <c r="F19" s="218" t="n">
        <f aca="false">E19-D19</f>
        <v>0</v>
      </c>
      <c r="G19" s="217"/>
      <c r="H19" s="219"/>
      <c r="I19" s="220"/>
      <c r="J19" s="220"/>
      <c r="K19" s="221"/>
      <c r="L19" s="222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</row>
    <row r="20" customFormat="false" ht="13.5" hidden="false" customHeight="true" outlineLevel="0" collapsed="false">
      <c r="B20" s="223" t="s">
        <v>33</v>
      </c>
      <c r="C20" s="215"/>
      <c r="D20" s="216" t="n">
        <f aca="false">+E20</f>
        <v>138.45</v>
      </c>
      <c r="E20" s="217" t="n">
        <v>138.45</v>
      </c>
      <c r="F20" s="218" t="n">
        <f aca="false">E20-D20</f>
        <v>0</v>
      </c>
      <c r="G20" s="217"/>
      <c r="H20" s="219"/>
      <c r="I20" s="220"/>
      <c r="J20" s="220"/>
      <c r="K20" s="221"/>
      <c r="L20" s="222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</row>
    <row r="21" customFormat="false" ht="13.5" hidden="false" customHeight="true" outlineLevel="0" collapsed="false">
      <c r="B21" s="223" t="s">
        <v>34</v>
      </c>
      <c r="C21" s="215"/>
      <c r="D21" s="216" t="n">
        <f aca="false">+E21</f>
        <v>695.867</v>
      </c>
      <c r="E21" s="217" t="n">
        <v>695.867</v>
      </c>
      <c r="F21" s="218" t="n">
        <f aca="false">E21-D21</f>
        <v>0</v>
      </c>
      <c r="G21" s="217"/>
      <c r="H21" s="219"/>
      <c r="I21" s="220"/>
      <c r="J21" s="220"/>
      <c r="K21" s="221"/>
      <c r="L21" s="222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</row>
    <row r="22" customFormat="false" ht="13.5" hidden="false" customHeight="true" outlineLevel="0" collapsed="false">
      <c r="B22" s="214" t="s">
        <v>35</v>
      </c>
      <c r="C22" s="199"/>
      <c r="D22" s="216" t="n">
        <f aca="false">+E22</f>
        <v>537.204</v>
      </c>
      <c r="E22" s="217" t="n">
        <v>537.204</v>
      </c>
      <c r="F22" s="218" t="n">
        <f aca="false">E22-D22</f>
        <v>0</v>
      </c>
      <c r="G22" s="217"/>
      <c r="H22" s="219"/>
      <c r="I22" s="220"/>
      <c r="J22" s="220"/>
      <c r="K22" s="221"/>
      <c r="L22" s="222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</row>
    <row r="23" customFormat="false" ht="3" hidden="false" customHeight="true" outlineLevel="0" collapsed="false">
      <c r="B23" s="214"/>
      <c r="C23" s="199"/>
      <c r="D23" s="216"/>
      <c r="E23" s="217"/>
      <c r="F23" s="218"/>
      <c r="G23" s="217"/>
      <c r="H23" s="224"/>
      <c r="I23" s="220"/>
      <c r="J23" s="220"/>
      <c r="K23" s="221"/>
      <c r="L23" s="222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</row>
    <row r="24" customFormat="false" ht="11.25" hidden="false" customHeight="true" outlineLevel="0" collapsed="false">
      <c r="B24" s="225" t="s">
        <v>58</v>
      </c>
      <c r="C24" s="199"/>
      <c r="D24" s="226" t="n">
        <f aca="false">SUM(D9:D23)</f>
        <v>32094.577</v>
      </c>
      <c r="E24" s="227" t="n">
        <f aca="false">SUM(E9:E23)</f>
        <v>29954.577</v>
      </c>
      <c r="F24" s="228" t="n">
        <f aca="false">SUM(F9:F23)</f>
        <v>-2140</v>
      </c>
      <c r="G24" s="217"/>
      <c r="H24" s="229"/>
      <c r="I24" s="230"/>
      <c r="J24" s="230"/>
      <c r="K24" s="231"/>
      <c r="L24" s="222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</row>
    <row r="25" customFormat="false" ht="3" hidden="false" customHeight="true" outlineLevel="0" collapsed="false">
      <c r="B25" s="214"/>
      <c r="C25" s="199"/>
      <c r="D25" s="216"/>
      <c r="E25" s="217"/>
      <c r="F25" s="218"/>
      <c r="G25" s="217"/>
      <c r="H25" s="224"/>
      <c r="I25" s="220"/>
      <c r="J25" s="220"/>
      <c r="K25" s="221"/>
      <c r="L25" s="222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</row>
    <row r="26" customFormat="false" ht="13.5" hidden="false" customHeight="true" outlineLevel="0" collapsed="false">
      <c r="B26" s="214" t="s">
        <v>98</v>
      </c>
      <c r="C26" s="199"/>
      <c r="D26" s="216" t="n">
        <f aca="false">+E26</f>
        <v>42641.985</v>
      </c>
      <c r="E26" s="217" t="n">
        <f aca="false">41614+59.538-790.164-318.163+500+1271.939-1100-419.057+1823.892</f>
        <v>42641.985</v>
      </c>
      <c r="F26" s="218" t="n">
        <f aca="false">E26-D26</f>
        <v>0</v>
      </c>
      <c r="G26" s="217"/>
      <c r="H26" s="219"/>
      <c r="I26" s="220"/>
      <c r="J26" s="220"/>
      <c r="K26" s="221"/>
      <c r="L26" s="222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</row>
    <row r="27" customFormat="false" ht="13.5" hidden="true" customHeight="true" outlineLevel="0" collapsed="false">
      <c r="B27" s="214" t="s">
        <v>40</v>
      </c>
      <c r="C27" s="199"/>
      <c r="D27" s="216" t="n">
        <v>0</v>
      </c>
      <c r="E27" s="217" t="n">
        <v>0</v>
      </c>
      <c r="F27" s="218" t="n">
        <f aca="false">E27-D27</f>
        <v>0</v>
      </c>
      <c r="G27" s="217"/>
      <c r="H27" s="224"/>
      <c r="I27" s="220"/>
      <c r="J27" s="220"/>
      <c r="K27" s="221"/>
      <c r="L27" s="222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</row>
    <row r="28" customFormat="false" ht="3" hidden="false" customHeight="true" outlineLevel="0" collapsed="false">
      <c r="B28" s="214"/>
      <c r="C28" s="199"/>
      <c r="D28" s="216"/>
      <c r="E28" s="217"/>
      <c r="F28" s="218"/>
      <c r="G28" s="217"/>
      <c r="H28" s="224"/>
      <c r="I28" s="220"/>
      <c r="J28" s="220"/>
      <c r="K28" s="221"/>
      <c r="L28" s="222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</row>
    <row r="29" customFormat="false" ht="13.5" hidden="false" customHeight="true" outlineLevel="0" collapsed="false">
      <c r="A29" s="199"/>
      <c r="B29" s="225" t="s">
        <v>9</v>
      </c>
      <c r="C29" s="199"/>
      <c r="D29" s="232" t="n">
        <f aca="false">SUM(D24:D27)</f>
        <v>74736.562</v>
      </c>
      <c r="E29" s="233" t="n">
        <f aca="false">SUM(E24:E27)</f>
        <v>72596.562</v>
      </c>
      <c r="F29" s="234" t="n">
        <f aca="false">SUM(F24:F27)</f>
        <v>-2140</v>
      </c>
      <c r="G29" s="217"/>
      <c r="H29" s="229"/>
      <c r="I29" s="230"/>
      <c r="J29" s="230"/>
      <c r="K29" s="231"/>
      <c r="L29" s="222"/>
    </row>
    <row r="30" customFormat="false" ht="3" hidden="false" customHeight="true" outlineLevel="0" collapsed="false">
      <c r="B30" s="235"/>
      <c r="C30" s="199"/>
      <c r="D30" s="236"/>
      <c r="E30" s="237"/>
      <c r="F30" s="238"/>
      <c r="G30" s="199"/>
      <c r="H30" s="236"/>
      <c r="I30" s="237"/>
      <c r="J30" s="237"/>
      <c r="K30" s="238"/>
      <c r="L30" s="222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</row>
    <row r="31" customFormat="false" ht="3" hidden="false" customHeight="true" outlineLevel="0" collapsed="false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</row>
    <row r="32" customFormat="false" ht="12.75" hidden="true" customHeight="false" outlineLevel="0" collapsed="false">
      <c r="B32" s="242"/>
      <c r="C32" s="222"/>
      <c r="D32" s="243" t="s">
        <v>99</v>
      </c>
      <c r="E32" s="243"/>
      <c r="F32" s="243"/>
      <c r="G32" s="222"/>
      <c r="H32" s="244"/>
      <c r="I32" s="245"/>
      <c r="J32" s="245"/>
      <c r="K32" s="246"/>
      <c r="L32" s="222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</row>
    <row r="33" customFormat="false" ht="12.75" hidden="true" customHeight="false" outlineLevel="0" collapsed="false">
      <c r="B33" s="247" t="s">
        <v>14</v>
      </c>
      <c r="C33" s="222"/>
      <c r="D33" s="248" t="s">
        <v>8</v>
      </c>
      <c r="E33" s="249" t="s">
        <v>3</v>
      </c>
      <c r="F33" s="250" t="s">
        <v>55</v>
      </c>
      <c r="G33" s="222"/>
      <c r="H33" s="247" t="s">
        <v>95</v>
      </c>
      <c r="I33" s="247"/>
      <c r="J33" s="247"/>
      <c r="K33" s="247"/>
      <c r="L33" s="222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</row>
    <row r="34" customFormat="false" ht="12" hidden="true" customHeight="false" outlineLevel="0" collapsed="false">
      <c r="A34" s="199"/>
      <c r="B34" s="198"/>
      <c r="C34" s="199"/>
      <c r="D34" s="251" t="n">
        <v>0</v>
      </c>
      <c r="E34" s="252" t="n">
        <v>0</v>
      </c>
      <c r="F34" s="253" t="n">
        <f aca="false">E34-D34</f>
        <v>0</v>
      </c>
      <c r="G34" s="199"/>
      <c r="H34" s="201"/>
      <c r="I34" s="202"/>
      <c r="J34" s="202"/>
      <c r="K34" s="203"/>
    </row>
    <row r="35" customFormat="false" ht="12" hidden="true" customHeight="false" outlineLevel="0" collapsed="false">
      <c r="A35" s="199"/>
      <c r="B35" s="214"/>
      <c r="C35" s="199"/>
      <c r="D35" s="216" t="n">
        <v>0</v>
      </c>
      <c r="E35" s="217" t="n">
        <v>0</v>
      </c>
      <c r="F35" s="218" t="n">
        <f aca="false">E35-D35</f>
        <v>0</v>
      </c>
      <c r="G35" s="199"/>
      <c r="H35" s="224"/>
      <c r="I35" s="220"/>
      <c r="J35" s="220"/>
      <c r="K35" s="221"/>
    </row>
    <row r="36" customFormat="false" ht="12" hidden="true" customHeight="false" outlineLevel="0" collapsed="false">
      <c r="A36" s="199"/>
      <c r="B36" s="235"/>
      <c r="C36" s="199"/>
      <c r="D36" s="254" t="n">
        <v>0</v>
      </c>
      <c r="E36" s="255" t="n">
        <v>0</v>
      </c>
      <c r="F36" s="256" t="n">
        <f aca="false">E36-D36</f>
        <v>0</v>
      </c>
      <c r="G36" s="199"/>
      <c r="H36" s="236"/>
      <c r="I36" s="237"/>
      <c r="J36" s="237"/>
      <c r="K36" s="238"/>
    </row>
    <row r="37" customFormat="false" ht="12.75" hidden="false" customHeight="false" outlineLevel="0" collapsed="false">
      <c r="D37" s="257"/>
      <c r="E37" s="257"/>
      <c r="F37" s="213"/>
      <c r="G37" s="213"/>
      <c r="H37" s="213"/>
      <c r="I37" s="213"/>
      <c r="J37" s="213"/>
      <c r="K37" s="213"/>
      <c r="L37" s="213"/>
      <c r="M37" s="213" t="s">
        <v>44</v>
      </c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</row>
    <row r="38" customFormat="false" ht="12.75" hidden="false" customHeight="false" outlineLevel="0" collapsed="false">
      <c r="D38" s="257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</row>
    <row r="39" customFormat="false" ht="12.75" hidden="false" customHeight="false" outlineLevel="0" collapsed="false">
      <c r="D39" s="257"/>
      <c r="E39" s="213"/>
      <c r="F39" s="258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</row>
    <row r="40" customFormat="false" ht="12.75" hidden="false" customHeight="false" outlineLevel="0" collapsed="false">
      <c r="D40" s="257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</row>
    <row r="41" customFormat="false" ht="12.75" hidden="false" customHeight="false" outlineLevel="0" collapsed="false"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</row>
    <row r="42" customFormat="false" ht="12.75" hidden="false" customHeight="false" outlineLevel="0" collapsed="false"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</row>
    <row r="43" customFormat="false" ht="12.75" hidden="false" customHeight="false" outlineLevel="0" collapsed="false"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</row>
    <row r="44" customFormat="false" ht="12.75" hidden="false" customHeight="false" outlineLevel="0" collapsed="false"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</row>
    <row r="45" customFormat="false" ht="12.75" hidden="false" customHeight="false" outlineLevel="0" collapsed="false"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</row>
    <row r="46" customFormat="false" ht="12.75" hidden="false" customHeight="false" outlineLevel="0" collapsed="false"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</row>
    <row r="47" customFormat="false" ht="12.75" hidden="false" customHeight="false" outlineLevel="0" collapsed="false"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</row>
    <row r="48" customFormat="false" ht="12.75" hidden="false" customHeight="false" outlineLevel="0" collapsed="false">
      <c r="D48" s="213"/>
      <c r="E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</row>
    <row r="49" customFormat="false" ht="12.75" hidden="false" customHeight="false" outlineLevel="0" collapsed="false">
      <c r="D49" s="213"/>
      <c r="E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</row>
    <row r="50" customFormat="false" ht="12.75" hidden="false" customHeight="false" outlineLevel="0" collapsed="false">
      <c r="D50" s="213"/>
      <c r="E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</row>
    <row r="51" customFormat="false" ht="12.75" hidden="false" customHeight="false" outlineLevel="0" collapsed="false">
      <c r="D51" s="213"/>
      <c r="E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</row>
    <row r="52" customFormat="false" ht="12.75" hidden="false" customHeight="false" outlineLevel="0" collapsed="false">
      <c r="D52" s="213"/>
      <c r="E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</row>
    <row r="53" customFormat="false" ht="12.75" hidden="false" customHeight="false" outlineLevel="0" collapsed="false">
      <c r="D53" s="213"/>
      <c r="E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</row>
    <row r="54" customFormat="false" ht="12.75" hidden="false" customHeight="false" outlineLevel="0" collapsed="false"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</row>
    <row r="55" customFormat="false" ht="12.75" hidden="false" customHeight="false" outlineLevel="0" collapsed="false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</row>
    <row r="56" customFormat="false" ht="12.75" hidden="false" customHeight="false" outlineLevel="0" collapsed="false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</row>
    <row r="57" customFormat="false" ht="12.75" hidden="false" customHeight="false" outlineLevel="0" collapsed="false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</row>
    <row r="58" customFormat="false" ht="12.75" hidden="false" customHeight="false" outlineLevel="0" collapsed="false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</row>
    <row r="59" customFormat="false" ht="12.75" hidden="false" customHeight="false" outlineLevel="0" collapsed="false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</row>
    <row r="60" customFormat="false" ht="12.75" hidden="false" customHeight="false" outlineLevel="0" collapsed="false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</row>
    <row r="120" customFormat="false" ht="12.75" hidden="false" customHeight="false" outlineLevel="0" collapsed="false"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</row>
    <row r="121" customFormat="false" ht="12.75" hidden="false" customHeight="false" outlineLevel="0" collapsed="false"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</row>
    <row r="122" customFormat="false" ht="12.75" hidden="false" customHeight="false" outlineLevel="0" collapsed="false"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</row>
    <row r="123" customFormat="false" ht="12.75" hidden="false" customHeight="false" outlineLevel="0" collapsed="false"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</row>
    <row r="124" customFormat="false" ht="12.75" hidden="false" customHeight="false" outlineLevel="0" collapsed="false"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</row>
    <row r="125" customFormat="false" ht="12.75" hidden="false" customHeight="false" outlineLevel="0" collapsed="false"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</row>
    <row r="126" customFormat="false" ht="12.75" hidden="false" customHeight="false" outlineLevel="0" collapsed="false"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</row>
    <row r="127" customFormat="false" ht="12.75" hidden="false" customHeight="false" outlineLevel="0" collapsed="false"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</row>
    <row r="128" customFormat="false" ht="12.75" hidden="false" customHeight="false" outlineLevel="0" collapsed="false"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</row>
    <row r="129" customFormat="false" ht="12.75" hidden="false" customHeight="false" outlineLevel="0" collapsed="false"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</row>
    <row r="130" customFormat="false" ht="12.75" hidden="false" customHeight="false" outlineLevel="0" collapsed="false"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</row>
    <row r="131" customFormat="false" ht="12.75" hidden="false" customHeight="false" outlineLevel="0" collapsed="false"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</row>
    <row r="132" customFormat="false" ht="12.75" hidden="false" customHeight="false" outlineLevel="0" collapsed="false"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</row>
  </sheetData>
  <mergeCells count="7">
    <mergeCell ref="B2:K2"/>
    <mergeCell ref="B3:K3"/>
    <mergeCell ref="B4:K4"/>
    <mergeCell ref="D6:F6"/>
    <mergeCell ref="H7:K7"/>
    <mergeCell ref="D32:F32"/>
    <mergeCell ref="H33:K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</row>
    <row r="3" customFormat="false" ht="15" hidden="false" customHeight="false" outlineLevel="0" collapsed="false">
      <c r="A3" s="196" t="s">
        <v>100</v>
      </c>
      <c r="B3" s="196"/>
      <c r="C3" s="196"/>
      <c r="D3" s="196"/>
      <c r="E3" s="196"/>
      <c r="F3" s="196"/>
      <c r="G3" s="196"/>
      <c r="H3" s="196"/>
      <c r="I3" s="196"/>
      <c r="J3" s="196"/>
    </row>
    <row r="4" customFormat="false" ht="12.75" hidden="false" customHeight="false" outlineLevel="0" collapsed="false">
      <c r="A4" s="197" t="str">
        <f aca="false">+Expenses!B4</f>
        <v>Results based on activity through October 19, 2001</v>
      </c>
      <c r="B4" s="197"/>
      <c r="C4" s="197"/>
      <c r="D4" s="197"/>
      <c r="E4" s="197"/>
      <c r="F4" s="197"/>
      <c r="G4" s="197"/>
      <c r="H4" s="197"/>
      <c r="I4" s="197"/>
      <c r="J4" s="197"/>
    </row>
    <row r="5" customFormat="false" ht="3" hidden="false" customHeight="true" outlineLevel="0" collapsed="false"/>
    <row r="6" customFormat="false" ht="12.75" hidden="false" customHeight="false" outlineLevel="0" collapsed="false">
      <c r="A6" s="198"/>
      <c r="B6" s="199"/>
      <c r="C6" s="200" t="s">
        <v>94</v>
      </c>
      <c r="D6" s="200"/>
      <c r="E6" s="200"/>
      <c r="F6" s="199"/>
      <c r="G6" s="201"/>
      <c r="H6" s="202"/>
      <c r="I6" s="202"/>
      <c r="J6" s="203"/>
    </row>
    <row r="7" customFormat="false" ht="12.75" hidden="false" customHeight="false" outlineLevel="0" collapsed="false">
      <c r="A7" s="204" t="s">
        <v>14</v>
      </c>
      <c r="B7" s="199"/>
      <c r="C7" s="205" t="s">
        <v>8</v>
      </c>
      <c r="D7" s="206" t="s">
        <v>3</v>
      </c>
      <c r="E7" s="207" t="s">
        <v>55</v>
      </c>
      <c r="F7" s="199"/>
      <c r="G7" s="208" t="s">
        <v>95</v>
      </c>
      <c r="H7" s="208"/>
      <c r="I7" s="208"/>
      <c r="J7" s="208"/>
    </row>
    <row r="8" customFormat="false" ht="3" hidden="false" customHeight="true" outlineLevel="0" collapsed="false">
      <c r="A8" s="209"/>
      <c r="C8" s="210"/>
      <c r="D8" s="211"/>
      <c r="E8" s="212"/>
      <c r="F8" s="213"/>
      <c r="G8" s="210"/>
      <c r="H8" s="211"/>
      <c r="I8" s="211"/>
      <c r="J8" s="212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</row>
    <row r="9" customFormat="false" ht="13.5" hidden="false" customHeight="true" outlineLevel="0" collapsed="false">
      <c r="A9" s="214" t="s">
        <v>21</v>
      </c>
      <c r="B9" s="199"/>
      <c r="C9" s="216"/>
      <c r="D9" s="217"/>
      <c r="E9" s="218" t="n">
        <f aca="false">D9-C9</f>
        <v>0</v>
      </c>
      <c r="F9" s="217"/>
      <c r="G9" s="219"/>
      <c r="H9" s="220"/>
      <c r="I9" s="220"/>
      <c r="J9" s="221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</row>
    <row r="10" customFormat="false" ht="13.5" hidden="false" customHeight="true" outlineLevel="0" collapsed="false">
      <c r="A10" s="214" t="s">
        <v>101</v>
      </c>
      <c r="B10" s="199"/>
      <c r="C10" s="216"/>
      <c r="D10" s="217"/>
      <c r="E10" s="218" t="n">
        <f aca="false">D10-C10</f>
        <v>0</v>
      </c>
      <c r="F10" s="217"/>
      <c r="G10" s="219"/>
      <c r="H10" s="220"/>
      <c r="I10" s="220"/>
      <c r="J10" s="221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</row>
    <row r="11" customFormat="false" ht="13.5" hidden="false" customHeight="true" outlineLevel="0" collapsed="false">
      <c r="A11" s="214" t="s">
        <v>23</v>
      </c>
      <c r="B11" s="199"/>
      <c r="C11" s="216"/>
      <c r="D11" s="217"/>
      <c r="E11" s="218" t="n">
        <f aca="false">D11-C11</f>
        <v>0</v>
      </c>
      <c r="F11" s="217"/>
      <c r="G11" s="219"/>
      <c r="H11" s="220"/>
      <c r="I11" s="220"/>
      <c r="J11" s="221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</row>
    <row r="12" customFormat="false" ht="13.5" hidden="false" customHeight="true" outlineLevel="0" collapsed="false">
      <c r="A12" s="214" t="s">
        <v>24</v>
      </c>
      <c r="B12" s="199"/>
      <c r="C12" s="216"/>
      <c r="D12" s="217"/>
      <c r="E12" s="218" t="n">
        <f aca="false">D12-C12</f>
        <v>0</v>
      </c>
      <c r="F12" s="217"/>
      <c r="G12" s="219"/>
      <c r="H12" s="220"/>
      <c r="I12" s="220"/>
      <c r="J12" s="221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</row>
    <row r="13" customFormat="false" ht="13.5" hidden="false" customHeight="true" outlineLevel="0" collapsed="false">
      <c r="A13" s="214" t="s">
        <v>25</v>
      </c>
      <c r="B13" s="199"/>
      <c r="C13" s="216"/>
      <c r="D13" s="217"/>
      <c r="E13" s="218" t="n">
        <f aca="false">D13-C13</f>
        <v>0</v>
      </c>
      <c r="F13" s="217"/>
      <c r="G13" s="224"/>
      <c r="H13" s="220"/>
      <c r="I13" s="220"/>
      <c r="J13" s="221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</row>
    <row r="14" customFormat="false" ht="13.5" hidden="false" customHeight="true" outlineLevel="0" collapsed="false">
      <c r="A14" s="214" t="s">
        <v>26</v>
      </c>
      <c r="B14" s="199"/>
      <c r="C14" s="216"/>
      <c r="D14" s="217"/>
      <c r="E14" s="218" t="n">
        <f aca="false">D14-C14</f>
        <v>0</v>
      </c>
      <c r="F14" s="217"/>
      <c r="G14" s="219"/>
      <c r="H14" s="220"/>
      <c r="I14" s="220"/>
      <c r="J14" s="221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</row>
    <row r="15" customFormat="false" ht="13.5" hidden="false" customHeight="true" outlineLevel="0" collapsed="false">
      <c r="A15" s="223" t="s">
        <v>27</v>
      </c>
      <c r="B15" s="199"/>
      <c r="C15" s="216"/>
      <c r="D15" s="217"/>
      <c r="E15" s="218" t="n">
        <f aca="false">D15-C15</f>
        <v>0</v>
      </c>
      <c r="F15" s="217"/>
      <c r="G15" s="219"/>
      <c r="H15" s="220"/>
      <c r="I15" s="220"/>
      <c r="J15" s="221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</row>
    <row r="16" customFormat="false" ht="13.5" hidden="false" customHeight="true" outlineLevel="0" collapsed="false">
      <c r="A16" s="223" t="s">
        <v>28</v>
      </c>
      <c r="B16" s="199"/>
      <c r="C16" s="216"/>
      <c r="D16" s="217"/>
      <c r="E16" s="218" t="n">
        <f aca="false">D16-C16</f>
        <v>0</v>
      </c>
      <c r="F16" s="217"/>
      <c r="G16" s="219"/>
      <c r="H16" s="220"/>
      <c r="I16" s="220"/>
      <c r="J16" s="221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</row>
    <row r="17" customFormat="false" ht="13.5" hidden="false" customHeight="true" outlineLevel="0" collapsed="false">
      <c r="A17" s="223" t="s">
        <v>29</v>
      </c>
      <c r="B17" s="199"/>
      <c r="C17" s="216"/>
      <c r="D17" s="217"/>
      <c r="E17" s="218" t="n">
        <f aca="false">D17-C17</f>
        <v>0</v>
      </c>
      <c r="F17" s="217"/>
      <c r="G17" s="219"/>
      <c r="H17" s="220"/>
      <c r="I17" s="220"/>
      <c r="J17" s="221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</row>
    <row r="18" customFormat="false" ht="13.5" hidden="false" customHeight="true" outlineLevel="0" collapsed="false">
      <c r="A18" s="223" t="s">
        <v>102</v>
      </c>
      <c r="B18" s="199"/>
      <c r="C18" s="216"/>
      <c r="D18" s="217"/>
      <c r="E18" s="218" t="n">
        <f aca="false">D18-C18</f>
        <v>0</v>
      </c>
      <c r="F18" s="217"/>
      <c r="G18" s="259"/>
      <c r="H18" s="220"/>
      <c r="I18" s="220"/>
      <c r="J18" s="221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</row>
    <row r="19" customFormat="false" ht="13.5" hidden="false" customHeight="true" outlineLevel="0" collapsed="false">
      <c r="A19" s="223" t="s">
        <v>31</v>
      </c>
      <c r="B19" s="199"/>
      <c r="C19" s="216"/>
      <c r="D19" s="217"/>
      <c r="E19" s="218" t="n">
        <f aca="false">D19-C19</f>
        <v>0</v>
      </c>
      <c r="F19" s="217"/>
      <c r="G19" s="219"/>
      <c r="H19" s="220"/>
      <c r="I19" s="220"/>
      <c r="J19" s="221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</row>
    <row r="20" customFormat="false" ht="13.5" hidden="false" customHeight="true" outlineLevel="0" collapsed="false">
      <c r="A20" s="223" t="s">
        <v>34</v>
      </c>
      <c r="B20" s="199"/>
      <c r="C20" s="216"/>
      <c r="D20" s="217"/>
      <c r="E20" s="218" t="n">
        <f aca="false">D20-C20</f>
        <v>0</v>
      </c>
      <c r="F20" s="217"/>
      <c r="G20" s="219"/>
      <c r="H20" s="220"/>
      <c r="I20" s="220"/>
      <c r="J20" s="221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</row>
    <row r="21" customFormat="false" ht="13.5" hidden="false" customHeight="true" outlineLevel="0" collapsed="false">
      <c r="A21" s="214" t="s">
        <v>35</v>
      </c>
      <c r="B21" s="199"/>
      <c r="C21" s="216"/>
      <c r="D21" s="217"/>
      <c r="E21" s="218" t="n">
        <f aca="false">D21-C21</f>
        <v>0</v>
      </c>
      <c r="F21" s="217"/>
      <c r="G21" s="219"/>
      <c r="H21" s="220"/>
      <c r="I21" s="220"/>
      <c r="J21" s="221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</row>
    <row r="22" customFormat="false" ht="3" hidden="false" customHeight="true" outlineLevel="0" collapsed="false">
      <c r="A22" s="214"/>
      <c r="B22" s="199"/>
      <c r="C22" s="216"/>
      <c r="D22" s="217"/>
      <c r="E22" s="218"/>
      <c r="F22" s="217"/>
      <c r="G22" s="224"/>
      <c r="H22" s="220"/>
      <c r="I22" s="220"/>
      <c r="J22" s="221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</row>
    <row r="23" customFormat="false" ht="11.25" hidden="false" customHeight="true" outlineLevel="0" collapsed="false">
      <c r="A23" s="225" t="s">
        <v>58</v>
      </c>
      <c r="B23" s="199"/>
      <c r="C23" s="232" t="n">
        <f aca="false">SUM(C9:C22)</f>
        <v>0</v>
      </c>
      <c r="D23" s="233" t="n">
        <f aca="false">SUM(D9:D22)</f>
        <v>0</v>
      </c>
      <c r="E23" s="234" t="n">
        <f aca="false">SUM(E9:E22)</f>
        <v>0</v>
      </c>
      <c r="F23" s="217"/>
      <c r="G23" s="224"/>
      <c r="H23" s="220"/>
      <c r="I23" s="220"/>
      <c r="J23" s="221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</row>
    <row r="24" customFormat="false" ht="3" hidden="false" customHeight="true" outlineLevel="0" collapsed="false">
      <c r="A24" s="214"/>
      <c r="B24" s="199"/>
      <c r="C24" s="216"/>
      <c r="D24" s="217"/>
      <c r="E24" s="218"/>
      <c r="F24" s="217"/>
      <c r="G24" s="224"/>
      <c r="H24" s="220"/>
      <c r="I24" s="220"/>
      <c r="J24" s="221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</row>
    <row r="25" customFormat="false" ht="13.5" hidden="false" customHeight="true" outlineLevel="0" collapsed="false">
      <c r="A25" s="214" t="s">
        <v>98</v>
      </c>
      <c r="B25" s="199"/>
      <c r="C25" s="216"/>
      <c r="D25" s="217"/>
      <c r="E25" s="218" t="n">
        <f aca="false">D25-C25</f>
        <v>0</v>
      </c>
      <c r="F25" s="217"/>
      <c r="G25" s="219"/>
      <c r="H25" s="220"/>
      <c r="I25" s="220"/>
      <c r="J25" s="221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</row>
    <row r="26" customFormat="false" ht="13.5" hidden="false" customHeight="true" outlineLevel="0" collapsed="false">
      <c r="A26" s="214" t="s">
        <v>40</v>
      </c>
      <c r="B26" s="199"/>
      <c r="C26" s="216"/>
      <c r="D26" s="217"/>
      <c r="E26" s="218" t="n">
        <f aca="false">D26-C26</f>
        <v>0</v>
      </c>
      <c r="F26" s="217"/>
      <c r="G26" s="224"/>
      <c r="H26" s="220"/>
      <c r="I26" s="220"/>
      <c r="J26" s="221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</row>
    <row r="27" customFormat="false" ht="3" hidden="false" customHeight="true" outlineLevel="0" collapsed="false">
      <c r="A27" s="214"/>
      <c r="B27" s="199"/>
      <c r="C27" s="216"/>
      <c r="D27" s="217"/>
      <c r="E27" s="218"/>
      <c r="F27" s="217"/>
      <c r="G27" s="224"/>
      <c r="H27" s="220"/>
      <c r="I27" s="220"/>
      <c r="J27" s="221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</row>
    <row r="28" customFormat="false" ht="11.25" hidden="false" customHeight="true" outlineLevel="0" collapsed="false">
      <c r="A28" s="225" t="s">
        <v>9</v>
      </c>
      <c r="B28" s="199"/>
      <c r="C28" s="232" t="n">
        <f aca="false">SUM(C23:C26)</f>
        <v>0</v>
      </c>
      <c r="D28" s="233" t="n">
        <f aca="false">SUM(D23:D26)</f>
        <v>0</v>
      </c>
      <c r="E28" s="234" t="n">
        <f aca="false">SUM(E23:E26)</f>
        <v>0</v>
      </c>
      <c r="F28" s="217"/>
      <c r="G28" s="229"/>
      <c r="H28" s="230"/>
      <c r="I28" s="230"/>
      <c r="J28" s="231"/>
    </row>
    <row r="29" customFormat="false" ht="3" hidden="false" customHeight="true" outlineLevel="0" collapsed="false">
      <c r="A29" s="260"/>
      <c r="B29" s="222"/>
      <c r="C29" s="261"/>
      <c r="D29" s="262"/>
      <c r="E29" s="263"/>
      <c r="F29" s="222"/>
      <c r="G29" s="261"/>
      <c r="H29" s="262"/>
      <c r="I29" s="262"/>
      <c r="J29" s="26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</row>
    <row r="30" customFormat="false" ht="3" hidden="false" customHeight="true" outlineLevel="0" collapsed="false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</row>
    <row r="31" customFormat="false" ht="12" hidden="true" customHeight="true" outlineLevel="0" collapsed="false">
      <c r="A31" s="198"/>
      <c r="B31" s="199"/>
      <c r="C31" s="200" t="s">
        <v>99</v>
      </c>
      <c r="D31" s="200"/>
      <c r="E31" s="200"/>
      <c r="F31" s="199"/>
      <c r="G31" s="201"/>
      <c r="H31" s="202"/>
      <c r="I31" s="202"/>
      <c r="J31" s="203"/>
    </row>
    <row r="32" customFormat="false" ht="12" hidden="true" customHeight="true" outlineLevel="0" collapsed="false">
      <c r="A32" s="208" t="s">
        <v>14</v>
      </c>
      <c r="B32" s="199"/>
      <c r="C32" s="205" t="s">
        <v>8</v>
      </c>
      <c r="D32" s="206" t="s">
        <v>3</v>
      </c>
      <c r="E32" s="207" t="s">
        <v>55</v>
      </c>
      <c r="F32" s="199"/>
      <c r="G32" s="208" t="s">
        <v>95</v>
      </c>
      <c r="H32" s="208"/>
      <c r="I32" s="208"/>
      <c r="J32" s="208"/>
    </row>
    <row r="33" customFormat="false" ht="12" hidden="true" customHeight="false" outlineLevel="0" collapsed="false">
      <c r="A33" s="198"/>
      <c r="B33" s="199"/>
      <c r="C33" s="216" t="n">
        <f aca="false">[8]Expenses!D33-[8]Expenses!D29</f>
        <v>0</v>
      </c>
      <c r="D33" s="217" t="n">
        <f aca="false">[8]Expenses!E33-[8]Expenses!E29</f>
        <v>0</v>
      </c>
      <c r="E33" s="218" t="n">
        <f aca="false">D33-C33</f>
        <v>0</v>
      </c>
      <c r="F33" s="199"/>
      <c r="G33" s="201"/>
      <c r="H33" s="202"/>
      <c r="I33" s="202"/>
      <c r="J33" s="203"/>
    </row>
    <row r="34" customFormat="false" ht="12" hidden="true" customHeight="false" outlineLevel="0" collapsed="false">
      <c r="A34" s="214"/>
      <c r="B34" s="199"/>
      <c r="C34" s="216" t="n">
        <f aca="false">[8]Expenses!D34-[8]Expenses!D30</f>
        <v>0</v>
      </c>
      <c r="D34" s="217" t="n">
        <f aca="false">[8]Expenses!E34-[8]Expenses!E30</f>
        <v>0</v>
      </c>
      <c r="E34" s="218" t="n">
        <f aca="false">D34-C34</f>
        <v>0</v>
      </c>
      <c r="F34" s="199"/>
      <c r="G34" s="224"/>
      <c r="H34" s="220"/>
      <c r="I34" s="220"/>
      <c r="J34" s="221"/>
    </row>
    <row r="35" customFormat="false" ht="12" hidden="true" customHeight="false" outlineLevel="0" collapsed="false">
      <c r="A35" s="235"/>
      <c r="B35" s="199"/>
      <c r="C35" s="254" t="e">
        <f aca="false">[8]Expenses!D35-[8]Expenses!D31</f>
        <v>#VALUE!</v>
      </c>
      <c r="D35" s="255" t="n">
        <f aca="false">[8]Expenses!E35-[8]Expenses!E31</f>
        <v>0</v>
      </c>
      <c r="E35" s="256" t="e">
        <f aca="false">D35-C35</f>
        <v>#VALUE!</v>
      </c>
      <c r="F35" s="199"/>
      <c r="G35" s="236"/>
      <c r="H35" s="237"/>
      <c r="I35" s="237"/>
      <c r="J35" s="238"/>
    </row>
    <row r="36" customFormat="false" ht="12.75" hidden="false" customHeight="false" outlineLevel="0" collapsed="false">
      <c r="A36" s="222"/>
      <c r="B36" s="222"/>
      <c r="C36" s="264"/>
      <c r="D36" s="264"/>
      <c r="E36" s="222"/>
      <c r="F36" s="222"/>
      <c r="G36" s="222"/>
      <c r="H36" s="222"/>
      <c r="I36" s="222"/>
      <c r="J36" s="222"/>
      <c r="K36" s="213"/>
      <c r="L36" s="213" t="s">
        <v>44</v>
      </c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</row>
    <row r="37" customFormat="false" ht="12.75" hidden="false" customHeight="false" outlineLevel="0" collapsed="false">
      <c r="C37" s="213"/>
      <c r="D37" s="213"/>
      <c r="E37" s="258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</row>
    <row r="38" customFormat="false" ht="12.75" hidden="false" customHeight="false" outlineLevel="0" collapsed="false"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</row>
    <row r="39" customFormat="false" ht="15.75" hidden="false" customHeight="false" outlineLevel="0" collapsed="false">
      <c r="C39" s="172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</row>
    <row r="40" customFormat="false" ht="12.75" hidden="false" customHeight="false" outlineLevel="0" collapsed="false"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</row>
    <row r="41" customFormat="false" ht="12.75" hidden="false" customHeight="false" outlineLevel="0" collapsed="false"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</row>
    <row r="42" customFormat="false" ht="12.75" hidden="false" customHeight="false" outlineLevel="0" collapsed="false"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</row>
    <row r="43" customFormat="false" ht="12.75" hidden="false" customHeight="false" outlineLevel="0" collapsed="false"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</row>
    <row r="44" customFormat="false" ht="12.75" hidden="false" customHeight="false" outlineLevel="0" collapsed="false"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</row>
    <row r="45" customFormat="false" ht="12.75" hidden="false" customHeight="false" outlineLevel="0" collapsed="false"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</row>
    <row r="46" customFormat="false" ht="12.75" hidden="false" customHeight="false" outlineLevel="0" collapsed="false"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</row>
    <row r="47" customFormat="false" ht="12.75" hidden="false" customHeight="false" outlineLevel="0" collapsed="false">
      <c r="C47" s="213"/>
      <c r="D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 customFormat="false" ht="12.75" hidden="false" customHeight="false" outlineLevel="0" collapsed="false">
      <c r="C48" s="213"/>
      <c r="D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 customFormat="false" ht="12.75" hidden="false" customHeight="false" outlineLevel="0" collapsed="false">
      <c r="C49" s="213"/>
      <c r="D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 customFormat="false" ht="12.75" hidden="false" customHeight="false" outlineLevel="0" collapsed="false">
      <c r="C50" s="213"/>
      <c r="D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</row>
    <row r="51" customFormat="false" ht="12.75" hidden="false" customHeight="false" outlineLevel="0" collapsed="false">
      <c r="C51" s="213"/>
      <c r="D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</row>
    <row r="52" customFormat="false" ht="12.75" hidden="false" customHeight="false" outlineLevel="0" collapsed="false">
      <c r="C52" s="213"/>
      <c r="D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</row>
    <row r="53" customFormat="false" ht="12.75" hidden="false" customHeight="false" outlineLevel="0" collapsed="false"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</row>
    <row r="54" customFormat="false" ht="12.75" hidden="false" customHeight="false" outlineLevel="0" collapsed="false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</row>
    <row r="55" customFormat="false" ht="12.75" hidden="false" customHeight="false" outlineLevel="0" collapsed="false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</row>
    <row r="56" customFormat="false" ht="12.75" hidden="false" customHeight="false" outlineLevel="0" collapsed="false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 customFormat="false" ht="12.75" hidden="false" customHeight="false" outlineLevel="0" collapsed="false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</row>
    <row r="58" customFormat="false" ht="12.75" hidden="false" customHeight="false" outlineLevel="0" collapsed="false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</row>
    <row r="59" customFormat="false" ht="12.75" hidden="false" customHeight="false" outlineLevel="0" collapsed="false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 customFormat="false" ht="12.75" hidden="false" customHeight="false" outlineLevel="0" collapsed="false"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</row>
    <row r="61" customFormat="false" ht="12.75" hidden="false" customHeight="false" outlineLevel="0" collapsed="false"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</row>
    <row r="62" customFormat="false" ht="12.75" hidden="false" customHeight="false" outlineLevel="0" collapsed="false"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</row>
    <row r="63" customFormat="false" ht="12.75" hidden="false" customHeight="false" outlineLevel="0" collapsed="false"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</row>
    <row r="64" customFormat="false" ht="12.75" hidden="false" customHeight="false" outlineLevel="0" collapsed="false"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</row>
    <row r="65" customFormat="false" ht="12.75" hidden="false" customHeight="false" outlineLevel="0" collapsed="false"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</row>
    <row r="66" customFormat="false" ht="12.75" hidden="false" customHeight="false" outlineLevel="0" collapsed="false"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</row>
    <row r="67" customFormat="false" ht="12.75" hidden="false" customHeight="false" outlineLevel="0" collapsed="false"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</row>
    <row r="68" customFormat="false" ht="12.75" hidden="false" customHeight="false" outlineLevel="0" collapsed="false"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</row>
    <row r="69" customFormat="false" ht="12.75" hidden="false" customHeight="false" outlineLevel="0" collapsed="false"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</row>
    <row r="70" customFormat="false" ht="12.75" hidden="false" customHeight="false" outlineLevel="0" collapsed="false"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</row>
    <row r="71" customFormat="false" ht="12.75" hidden="false" customHeight="false" outlineLevel="0" collapsed="false"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</row>
    <row r="72" customFormat="false" ht="12.75" hidden="false" customHeight="false" outlineLevel="0" collapsed="false"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</row>
    <row r="73" customFormat="false" ht="12.75" hidden="false" customHeight="false" outlineLevel="0" collapsed="false"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</row>
    <row r="74" customFormat="false" ht="12.75" hidden="false" customHeight="false" outlineLevel="0" collapsed="false"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</row>
    <row r="75" customFormat="false" ht="12.75" hidden="false" customHeight="false" outlineLevel="0" collapsed="false"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</row>
    <row r="76" customFormat="false" ht="12.75" hidden="false" customHeight="false" outlineLevel="0" collapsed="false"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</row>
    <row r="77" customFormat="false" ht="12.75" hidden="false" customHeight="false" outlineLevel="0" collapsed="false"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</row>
    <row r="78" customFormat="false" ht="12.75" hidden="false" customHeight="false" outlineLevel="0" collapsed="false"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</row>
    <row r="79" customFormat="false" ht="12.75" hidden="false" customHeight="false" outlineLevel="0" collapsed="false"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</row>
    <row r="80" customFormat="false" ht="12.75" hidden="false" customHeight="false" outlineLevel="0" collapsed="false"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</row>
    <row r="81" customFormat="false" ht="12.75" hidden="false" customHeight="false" outlineLevel="0" collapsed="false"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</row>
    <row r="82" customFormat="false" ht="12.75" hidden="false" customHeight="false" outlineLevel="0" collapsed="false"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</row>
    <row r="83" customFormat="false" ht="12.75" hidden="false" customHeight="false" outlineLevel="0" collapsed="false"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</row>
    <row r="84" customFormat="false" ht="12.75" hidden="false" customHeight="false" outlineLevel="0" collapsed="false"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</row>
    <row r="85" customFormat="false" ht="12.75" hidden="false" customHeight="false" outlineLevel="0" collapsed="false"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</row>
    <row r="86" customFormat="false" ht="12.75" hidden="false" customHeight="false" outlineLevel="0" collapsed="false"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</row>
    <row r="87" customFormat="false" ht="12.75" hidden="false" customHeight="false" outlineLevel="0" collapsed="false"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</row>
    <row r="88" customFormat="false" ht="12.75" hidden="false" customHeight="false" outlineLevel="0" collapsed="false"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</row>
    <row r="89" customFormat="false" ht="12.75" hidden="false" customHeight="false" outlineLevel="0" collapsed="false"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</row>
    <row r="90" customFormat="false" ht="12.75" hidden="false" customHeight="false" outlineLevel="0" collapsed="false"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</row>
    <row r="91" customFormat="false" ht="12.75" hidden="false" customHeight="false" outlineLevel="0" collapsed="false"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</row>
    <row r="92" customFormat="false" ht="12.75" hidden="false" customHeight="false" outlineLevel="0" collapsed="false"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</row>
    <row r="93" customFormat="false" ht="12.75" hidden="false" customHeight="false" outlineLevel="0" collapsed="false"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</row>
    <row r="94" customFormat="false" ht="12.75" hidden="false" customHeight="false" outlineLevel="0" collapsed="false"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</row>
    <row r="95" customFormat="false" ht="12.75" hidden="false" customHeight="false" outlineLevel="0" collapsed="false"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</row>
    <row r="96" customFormat="false" ht="12.75" hidden="false" customHeight="false" outlineLevel="0" collapsed="false"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</row>
    <row r="97" customFormat="false" ht="12.75" hidden="false" customHeight="false" outlineLevel="0" collapsed="false"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</row>
    <row r="98" customFormat="false" ht="12.75" hidden="false" customHeight="false" outlineLevel="0" collapsed="false"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</row>
    <row r="99" customFormat="false" ht="12.75" hidden="false" customHeight="false" outlineLevel="0" collapsed="false"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</row>
    <row r="100" customFormat="false" ht="12.75" hidden="false" customHeight="false" outlineLevel="0" collapsed="false"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</row>
    <row r="101" customFormat="false" ht="12.75" hidden="false" customHeight="false" outlineLevel="0" collapsed="false"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</row>
    <row r="102" customFormat="false" ht="12.75" hidden="false" customHeight="false" outlineLevel="0" collapsed="false"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</row>
    <row r="103" customFormat="false" ht="12.75" hidden="false" customHeight="false" outlineLevel="0" collapsed="false"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</row>
    <row r="104" customFormat="false" ht="12.75" hidden="false" customHeight="false" outlineLevel="0" collapsed="false"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</row>
    <row r="105" customFormat="false" ht="12.75" hidden="false" customHeight="false" outlineLevel="0" collapsed="false"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</row>
    <row r="106" customFormat="false" ht="12.75" hidden="false" customHeight="false" outlineLevel="0" collapsed="false"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</row>
    <row r="107" customFormat="false" ht="12.75" hidden="false" customHeight="false" outlineLevel="0" collapsed="false"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</row>
    <row r="108" customFormat="false" ht="12.75" hidden="false" customHeight="false" outlineLevel="0" collapsed="false"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</row>
    <row r="109" customFormat="false" ht="12.75" hidden="false" customHeight="false" outlineLevel="0" collapsed="false"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</row>
    <row r="110" customFormat="false" ht="12.75" hidden="false" customHeight="false" outlineLevel="0" collapsed="false"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</row>
    <row r="111" customFormat="false" ht="12.75" hidden="false" customHeight="false" outlineLevel="0" collapsed="false"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</row>
    <row r="112" customFormat="false" ht="12.75" hidden="false" customHeight="false" outlineLevel="0" collapsed="false"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</row>
    <row r="113" customFormat="false" ht="12.75" hidden="false" customHeight="false" outlineLevel="0" collapsed="false"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</row>
    <row r="114" customFormat="false" ht="12.75" hidden="false" customHeight="false" outlineLevel="0" collapsed="false"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</row>
    <row r="115" customFormat="false" ht="12.75" hidden="false" customHeight="false" outlineLevel="0" collapsed="false"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</row>
    <row r="116" customFormat="false" ht="12.75" hidden="false" customHeight="false" outlineLevel="0" collapsed="false"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</row>
    <row r="117" customFormat="false" ht="12.75" hidden="false" customHeight="false" outlineLevel="0" collapsed="false"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</row>
    <row r="118" customFormat="false" ht="12.75" hidden="false" customHeight="false" outlineLevel="0" collapsed="false"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</row>
    <row r="119" customFormat="false" ht="12.75" hidden="false" customHeight="false" outlineLevel="0" collapsed="false"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</row>
    <row r="120" customFormat="false" ht="12.75" hidden="false" customHeight="false" outlineLevel="0" collapsed="false"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</row>
    <row r="121" customFormat="false" ht="12.75" hidden="false" customHeight="false" outlineLevel="0" collapsed="false"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</row>
    <row r="122" customFormat="false" ht="12.75" hidden="false" customHeight="false" outlineLevel="0" collapsed="false"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</row>
    <row r="123" customFormat="false" ht="12.75" hidden="false" customHeight="false" outlineLevel="0" collapsed="false"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</row>
    <row r="124" customFormat="false" ht="12.75" hidden="false" customHeight="false" outlineLevel="0" collapsed="false"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</row>
    <row r="125" customFormat="false" ht="12.75" hidden="false" customHeight="false" outlineLevel="0" collapsed="false"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</row>
    <row r="126" customFormat="false" ht="12.75" hidden="false" customHeight="false" outlineLevel="0" collapsed="false"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</row>
    <row r="127" customFormat="false" ht="12.75" hidden="false" customHeight="false" outlineLevel="0" collapsed="false"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</row>
    <row r="128" customFormat="false" ht="12.75" hidden="false" customHeight="false" outlineLevel="0" collapsed="false"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</row>
    <row r="129" customFormat="false" ht="12.75" hidden="false" customHeight="false" outlineLevel="0" collapsed="false"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</row>
    <row r="130" customFormat="false" ht="12.75" hidden="false" customHeight="false" outlineLevel="0" collapsed="false"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</row>
    <row r="131" customFormat="false" ht="12.75" hidden="false" customHeight="false" outlineLevel="0" collapsed="false"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3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false" outlineLevel="0" max="10" min="10" style="0" width="0.28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93" t="s">
        <v>79</v>
      </c>
    </row>
    <row r="2" customFormat="false" ht="15.75" hidden="false" customHeight="false" outlineLevel="0" collapsed="false">
      <c r="A2" s="193" t="s">
        <v>103</v>
      </c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customFormat="false" ht="15" hidden="false" customHeight="false" outlineLevel="0" collapsed="false">
      <c r="A3" s="193" t="s">
        <v>104</v>
      </c>
      <c r="B3" s="196" t="s">
        <v>105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customFormat="false" ht="12.75" hidden="false" customHeight="false" outlineLevel="0" collapsed="false">
      <c r="A4" s="195" t="n">
        <v>36861</v>
      </c>
      <c r="B4" s="197" t="str">
        <f aca="false">'Mgmt Summary'!A3</f>
        <v>Results based on activity through October 19, 2001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customFormat="false" ht="3" hidden="false" customHeight="true" outlineLevel="0" collapsed="false">
      <c r="A5" s="193" t="s">
        <v>82</v>
      </c>
    </row>
    <row r="6" customFormat="false" ht="12.75" hidden="false" customHeight="false" outlineLevel="0" collapsed="false">
      <c r="A6" s="193" t="s">
        <v>83</v>
      </c>
      <c r="B6" s="198"/>
      <c r="C6" s="199"/>
      <c r="D6" s="201"/>
      <c r="E6" s="202"/>
      <c r="F6" s="202"/>
      <c r="G6" s="202"/>
      <c r="H6" s="202"/>
      <c r="I6" s="203"/>
      <c r="J6" s="199"/>
      <c r="K6" s="201"/>
      <c r="L6" s="202"/>
      <c r="M6" s="202"/>
      <c r="N6" s="202"/>
      <c r="O6" s="202"/>
      <c r="P6" s="203"/>
    </row>
    <row r="7" customFormat="false" ht="12.75" hidden="false" customHeight="false" outlineLevel="0" collapsed="false">
      <c r="B7" s="214"/>
      <c r="C7" s="199"/>
      <c r="D7" s="208" t="s">
        <v>106</v>
      </c>
      <c r="E7" s="208"/>
      <c r="F7" s="208"/>
      <c r="G7" s="208"/>
      <c r="H7" s="208"/>
      <c r="I7" s="208"/>
      <c r="J7" s="199"/>
      <c r="K7" s="205" t="s">
        <v>107</v>
      </c>
      <c r="L7" s="205"/>
      <c r="M7" s="205"/>
      <c r="N7" s="265"/>
      <c r="O7" s="266"/>
      <c r="P7" s="267"/>
    </row>
    <row r="8" customFormat="false" ht="12.75" hidden="false" customHeight="false" outlineLevel="0" collapsed="false">
      <c r="B8" s="204" t="s">
        <v>14</v>
      </c>
      <c r="C8" s="199"/>
      <c r="D8" s="265" t="s">
        <v>8</v>
      </c>
      <c r="E8" s="266" t="s">
        <v>3</v>
      </c>
      <c r="F8" s="267" t="s">
        <v>55</v>
      </c>
      <c r="G8" s="268" t="s">
        <v>108</v>
      </c>
      <c r="H8" s="268"/>
      <c r="I8" s="268"/>
      <c r="J8" s="199"/>
      <c r="K8" s="205" t="s">
        <v>8</v>
      </c>
      <c r="L8" s="206" t="s">
        <v>3</v>
      </c>
      <c r="M8" s="206" t="s">
        <v>55</v>
      </c>
      <c r="N8" s="208" t="s">
        <v>95</v>
      </c>
      <c r="O8" s="208"/>
      <c r="P8" s="208"/>
    </row>
    <row r="9" customFormat="false" ht="8.25" hidden="false" customHeight="true" outlineLevel="0" collapsed="false">
      <c r="B9" s="198"/>
      <c r="C9" s="199"/>
      <c r="D9" s="201"/>
      <c r="E9" s="202"/>
      <c r="F9" s="202"/>
      <c r="G9" s="202"/>
      <c r="H9" s="202"/>
      <c r="I9" s="203"/>
      <c r="J9" s="199"/>
      <c r="K9" s="201"/>
      <c r="L9" s="202"/>
      <c r="M9" s="202"/>
      <c r="N9" s="202"/>
      <c r="O9" s="202"/>
      <c r="P9" s="203"/>
    </row>
    <row r="10" customFormat="false" ht="13.5" hidden="false" customHeight="true" outlineLevel="0" collapsed="false">
      <c r="B10" s="214" t="s">
        <v>21</v>
      </c>
      <c r="C10" s="215"/>
      <c r="D10" s="216" t="n">
        <v>0</v>
      </c>
      <c r="E10" s="217" t="n">
        <v>0</v>
      </c>
      <c r="F10" s="269" t="n">
        <f aca="false">E10-D10</f>
        <v>0</v>
      </c>
      <c r="G10" s="270"/>
      <c r="H10" s="270"/>
      <c r="I10" s="271"/>
      <c r="J10" s="215"/>
      <c r="K10" s="216" t="n">
        <f aca="false">+L10</f>
        <v>10018.624</v>
      </c>
      <c r="L10" s="217" t="n">
        <v>10018.624</v>
      </c>
      <c r="M10" s="269" t="n">
        <f aca="false">L10-K10</f>
        <v>0</v>
      </c>
      <c r="N10" s="241"/>
      <c r="O10" s="220"/>
      <c r="P10" s="272"/>
    </row>
    <row r="11" customFormat="false" ht="13.5" hidden="false" customHeight="true" outlineLevel="0" collapsed="false">
      <c r="A11" s="193" t="s">
        <v>84</v>
      </c>
      <c r="B11" s="214" t="s">
        <v>22</v>
      </c>
      <c r="C11" s="199"/>
      <c r="D11" s="216" t="n">
        <f aca="false">+E11</f>
        <v>0</v>
      </c>
      <c r="E11" s="217" t="n">
        <v>0</v>
      </c>
      <c r="F11" s="269" t="n">
        <f aca="false">E11-D11</f>
        <v>0</v>
      </c>
      <c r="G11" s="220"/>
      <c r="H11" s="220"/>
      <c r="I11" s="221"/>
      <c r="J11" s="199"/>
      <c r="K11" s="216" t="n">
        <f aca="false">L11</f>
        <v>3788.954</v>
      </c>
      <c r="L11" s="217" t="n">
        <f aca="false">3363.68+800.339-L12</f>
        <v>3788.954</v>
      </c>
      <c r="M11" s="269" t="n">
        <f aca="false">ROUND(L11-K11,0)</f>
        <v>0</v>
      </c>
      <c r="N11" s="220"/>
      <c r="O11" s="220"/>
      <c r="P11" s="272"/>
    </row>
    <row r="12" customFormat="false" ht="13.5" hidden="false" customHeight="true" outlineLevel="0" collapsed="false">
      <c r="B12" s="214" t="s">
        <v>23</v>
      </c>
      <c r="C12" s="199"/>
      <c r="D12" s="216"/>
      <c r="E12" s="217"/>
      <c r="F12" s="269"/>
      <c r="G12" s="220"/>
      <c r="H12" s="220"/>
      <c r="I12" s="221"/>
      <c r="J12" s="199"/>
      <c r="K12" s="216" t="n">
        <f aca="false">L12</f>
        <v>375.065</v>
      </c>
      <c r="L12" s="217" t="n">
        <v>375.065</v>
      </c>
      <c r="M12" s="269" t="n">
        <f aca="false">ROUND(L12-K12,0)</f>
        <v>0</v>
      </c>
      <c r="N12" s="220"/>
      <c r="O12" s="220"/>
      <c r="P12" s="272"/>
    </row>
    <row r="13" customFormat="false" ht="13.5" hidden="true" customHeight="true" outlineLevel="0" collapsed="false">
      <c r="A13" s="193" t="s">
        <v>85</v>
      </c>
      <c r="B13" s="214" t="s">
        <v>24</v>
      </c>
      <c r="C13" s="199"/>
      <c r="D13" s="216" t="n">
        <f aca="false">E13</f>
        <v>0</v>
      </c>
      <c r="E13" s="217" t="n">
        <v>0</v>
      </c>
      <c r="F13" s="269" t="n">
        <f aca="false">E13-D13</f>
        <v>0</v>
      </c>
      <c r="G13" s="220"/>
      <c r="H13" s="220"/>
      <c r="I13" s="221"/>
      <c r="J13" s="199"/>
      <c r="K13" s="216" t="n">
        <f aca="false">L13</f>
        <v>0</v>
      </c>
      <c r="L13" s="217" t="n">
        <v>0</v>
      </c>
      <c r="M13" s="269" t="n">
        <f aca="false">ROUND(L13-K13,0)</f>
        <v>0</v>
      </c>
      <c r="N13" s="220"/>
      <c r="O13" s="220"/>
      <c r="P13" s="272"/>
    </row>
    <row r="14" customFormat="false" ht="13.5" hidden="false" customHeight="true" outlineLevel="0" collapsed="false">
      <c r="A14" s="193" t="s">
        <v>86</v>
      </c>
      <c r="B14" s="214" t="s">
        <v>25</v>
      </c>
      <c r="C14" s="199"/>
      <c r="D14" s="216" t="n">
        <f aca="false">E14</f>
        <v>0</v>
      </c>
      <c r="E14" s="217" t="n">
        <v>0</v>
      </c>
      <c r="F14" s="269" t="n">
        <f aca="false">E14-D14</f>
        <v>0</v>
      </c>
      <c r="G14" s="220"/>
      <c r="H14" s="220"/>
      <c r="I14" s="221"/>
      <c r="J14" s="199"/>
      <c r="K14" s="216" t="n">
        <f aca="false">L14</f>
        <v>1776.752</v>
      </c>
      <c r="L14" s="217" t="n">
        <f aca="false">2094.915-318.163</f>
        <v>1776.752</v>
      </c>
      <c r="M14" s="269" t="n">
        <f aca="false">ROUND(L14-K14,0)</f>
        <v>0</v>
      </c>
      <c r="N14" s="220"/>
      <c r="O14" s="220"/>
      <c r="P14" s="272"/>
    </row>
    <row r="15" customFormat="false" ht="13.5" hidden="false" customHeight="true" outlineLevel="0" collapsed="false">
      <c r="A15" s="193" t="s">
        <v>87</v>
      </c>
      <c r="B15" s="214" t="s">
        <v>26</v>
      </c>
      <c r="C15" s="199"/>
      <c r="D15" s="216" t="n">
        <v>0</v>
      </c>
      <c r="E15" s="217" t="n">
        <v>0</v>
      </c>
      <c r="F15" s="269" t="n">
        <f aca="false">E15-D15</f>
        <v>0</v>
      </c>
      <c r="G15" s="220"/>
      <c r="H15" s="220"/>
      <c r="I15" s="221"/>
      <c r="J15" s="199"/>
      <c r="K15" s="216" t="n">
        <f aca="false">L15</f>
        <v>953.342</v>
      </c>
      <c r="L15" s="217" t="n">
        <v>953.342</v>
      </c>
      <c r="M15" s="269" t="n">
        <f aca="false">ROUND(L15-K15,0)</f>
        <v>0</v>
      </c>
      <c r="N15" s="220"/>
      <c r="O15" s="220"/>
      <c r="P15" s="272"/>
    </row>
    <row r="16" customFormat="false" ht="13.5" hidden="false" customHeight="true" outlineLevel="0" collapsed="false">
      <c r="A16" s="193" t="s">
        <v>88</v>
      </c>
      <c r="B16" s="223" t="s">
        <v>27</v>
      </c>
      <c r="C16" s="215"/>
      <c r="D16" s="216" t="n">
        <f aca="false">E16</f>
        <v>0</v>
      </c>
      <c r="E16" s="217" t="n">
        <v>0</v>
      </c>
      <c r="F16" s="269" t="n">
        <f aca="false">E16-D16</f>
        <v>0</v>
      </c>
      <c r="G16" s="270"/>
      <c r="H16" s="270"/>
      <c r="I16" s="271"/>
      <c r="J16" s="215"/>
      <c r="K16" s="216" t="n">
        <f aca="false">L16</f>
        <v>1281.411</v>
      </c>
      <c r="L16" s="217" t="n">
        <f aca="false">2210.893-929.482</f>
        <v>1281.411</v>
      </c>
      <c r="M16" s="269" t="n">
        <f aca="false">ROUND(L16-K16,0)</f>
        <v>0</v>
      </c>
      <c r="N16" s="220"/>
      <c r="O16" s="220"/>
      <c r="P16" s="272"/>
    </row>
    <row r="17" customFormat="false" ht="13.5" hidden="false" customHeight="true" outlineLevel="0" collapsed="false">
      <c r="B17" s="223" t="s">
        <v>28</v>
      </c>
      <c r="C17" s="215"/>
      <c r="D17" s="216" t="n">
        <v>0</v>
      </c>
      <c r="E17" s="217" t="n">
        <v>0</v>
      </c>
      <c r="F17" s="269" t="n">
        <f aca="false">E17-D17</f>
        <v>0</v>
      </c>
      <c r="G17" s="270"/>
      <c r="H17" s="270"/>
      <c r="I17" s="271"/>
      <c r="J17" s="215"/>
      <c r="K17" s="216" t="n">
        <f aca="false">+L17</f>
        <v>1441.034</v>
      </c>
      <c r="L17" s="217" t="n">
        <v>1441.034</v>
      </c>
      <c r="M17" s="269" t="n">
        <f aca="false">L17-K17</f>
        <v>0</v>
      </c>
      <c r="N17" s="220"/>
      <c r="O17" s="220"/>
      <c r="P17" s="272"/>
    </row>
    <row r="18" customFormat="false" ht="13.5" hidden="false" customHeight="true" outlineLevel="0" collapsed="false">
      <c r="B18" s="223" t="s">
        <v>29</v>
      </c>
      <c r="C18" s="215"/>
      <c r="D18" s="216" t="n">
        <f aca="false">+E18</f>
        <v>0</v>
      </c>
      <c r="E18" s="217" t="n">
        <v>0</v>
      </c>
      <c r="F18" s="269" t="n">
        <f aca="false">E18-D18</f>
        <v>0</v>
      </c>
      <c r="G18" s="270"/>
      <c r="H18" s="270"/>
      <c r="I18" s="271"/>
      <c r="J18" s="215"/>
      <c r="K18" s="216" t="n">
        <f aca="false">+L18</f>
        <v>1189.178</v>
      </c>
      <c r="L18" s="217" t="n">
        <v>1189.178</v>
      </c>
      <c r="M18" s="269" t="n">
        <f aca="false">L18-K18</f>
        <v>0</v>
      </c>
      <c r="N18" s="220"/>
      <c r="O18" s="220"/>
      <c r="P18" s="272"/>
    </row>
    <row r="19" customFormat="false" ht="13.5" hidden="true" customHeight="true" outlineLevel="0" collapsed="false">
      <c r="B19" s="223" t="s">
        <v>31</v>
      </c>
      <c r="C19" s="215"/>
      <c r="D19" s="216" t="n">
        <f aca="false">+E19</f>
        <v>0</v>
      </c>
      <c r="E19" s="217" t="n">
        <v>0</v>
      </c>
      <c r="F19" s="269" t="n">
        <f aca="false">E19-D19</f>
        <v>0</v>
      </c>
      <c r="G19" s="270"/>
      <c r="H19" s="270"/>
      <c r="I19" s="271"/>
      <c r="J19" s="215"/>
      <c r="K19" s="216" t="n">
        <f aca="false">+L19</f>
        <v>0</v>
      </c>
      <c r="L19" s="217" t="n">
        <f aca="false">569.964-569.964</f>
        <v>0</v>
      </c>
      <c r="M19" s="269" t="n">
        <f aca="false">L19-K19</f>
        <v>0</v>
      </c>
      <c r="N19" s="220"/>
      <c r="O19" s="220"/>
      <c r="P19" s="272"/>
    </row>
    <row r="20" customFormat="false" ht="13.5" hidden="false" customHeight="true" outlineLevel="0" collapsed="false">
      <c r="B20" s="223" t="s">
        <v>32</v>
      </c>
      <c r="C20" s="215"/>
      <c r="D20" s="216"/>
      <c r="E20" s="217"/>
      <c r="F20" s="269"/>
      <c r="G20" s="270"/>
      <c r="H20" s="270"/>
      <c r="I20" s="271"/>
      <c r="J20" s="215"/>
      <c r="K20" s="216" t="n">
        <f aca="false">+L20</f>
        <v>1823.892</v>
      </c>
      <c r="L20" s="217" t="n">
        <v>1823.892</v>
      </c>
      <c r="M20" s="269" t="n">
        <f aca="false">L20-K20</f>
        <v>0</v>
      </c>
      <c r="N20" s="220"/>
      <c r="O20" s="220"/>
      <c r="P20" s="272"/>
    </row>
    <row r="21" customFormat="false" ht="13.5" hidden="false" customHeight="true" outlineLevel="0" collapsed="false">
      <c r="B21" s="223" t="s">
        <v>33</v>
      </c>
      <c r="C21" s="215"/>
      <c r="D21" s="216"/>
      <c r="E21" s="217"/>
      <c r="F21" s="269"/>
      <c r="G21" s="270"/>
      <c r="H21" s="270"/>
      <c r="I21" s="271"/>
      <c r="J21" s="215"/>
      <c r="K21" s="216" t="n">
        <f aca="false">+L21</f>
        <v>0</v>
      </c>
      <c r="L21" s="217" t="n">
        <v>0</v>
      </c>
      <c r="M21" s="269" t="n">
        <f aca="false">L21-K21</f>
        <v>0</v>
      </c>
      <c r="N21" s="220"/>
      <c r="O21" s="220"/>
      <c r="P21" s="272"/>
    </row>
    <row r="22" customFormat="false" ht="13.5" hidden="false" customHeight="true" outlineLevel="0" collapsed="false">
      <c r="B22" s="223" t="s">
        <v>34</v>
      </c>
      <c r="C22" s="215"/>
      <c r="D22" s="216" t="n">
        <f aca="false">+E22</f>
        <v>0</v>
      </c>
      <c r="E22" s="217" t="n">
        <v>0</v>
      </c>
      <c r="F22" s="269" t="n">
        <f aca="false">E22-D22</f>
        <v>0</v>
      </c>
      <c r="G22" s="270"/>
      <c r="H22" s="270"/>
      <c r="I22" s="271"/>
      <c r="J22" s="215"/>
      <c r="K22" s="216" t="n">
        <f aca="false">+L22</f>
        <v>70.094</v>
      </c>
      <c r="L22" s="217" t="n">
        <v>70.094</v>
      </c>
      <c r="M22" s="269" t="n">
        <f aca="false">L22-K22</f>
        <v>0</v>
      </c>
      <c r="N22" s="220"/>
      <c r="O22" s="220"/>
      <c r="P22" s="272"/>
    </row>
    <row r="23" customFormat="false" ht="13.5" hidden="false" customHeight="true" outlineLevel="0" collapsed="false">
      <c r="B23" s="214" t="s">
        <v>35</v>
      </c>
      <c r="C23" s="199"/>
      <c r="D23" s="216" t="n">
        <v>0</v>
      </c>
      <c r="E23" s="217" t="n">
        <v>0</v>
      </c>
      <c r="F23" s="269" t="n">
        <f aca="false">E23-D23</f>
        <v>0</v>
      </c>
      <c r="G23" s="220"/>
      <c r="H23" s="220"/>
      <c r="I23" s="221"/>
      <c r="J23" s="199"/>
      <c r="K23" s="216" t="n">
        <f aca="false">L23</f>
        <v>473.752</v>
      </c>
      <c r="L23" s="217" t="n">
        <v>473.752</v>
      </c>
      <c r="M23" s="269" t="n">
        <f aca="false">L23-K23</f>
        <v>0</v>
      </c>
      <c r="N23" s="220"/>
      <c r="O23" s="220"/>
      <c r="P23" s="272"/>
    </row>
    <row r="24" customFormat="false" ht="3" hidden="false" customHeight="true" outlineLevel="0" collapsed="false">
      <c r="B24" s="214"/>
      <c r="C24" s="199"/>
      <c r="D24" s="216"/>
      <c r="E24" s="217"/>
      <c r="F24" s="269"/>
      <c r="G24" s="220"/>
      <c r="H24" s="220"/>
      <c r="I24" s="221"/>
      <c r="J24" s="199"/>
      <c r="K24" s="216"/>
      <c r="L24" s="217"/>
      <c r="M24" s="269"/>
      <c r="N24" s="220"/>
      <c r="O24" s="220"/>
      <c r="P24" s="272"/>
    </row>
    <row r="25" customFormat="false" ht="11.25" hidden="false" customHeight="true" outlineLevel="0" collapsed="false">
      <c r="B25" s="273" t="s">
        <v>58</v>
      </c>
      <c r="C25" s="199"/>
      <c r="D25" s="226" t="n">
        <f aca="false">SUM(D10:D24)</f>
        <v>0</v>
      </c>
      <c r="E25" s="227" t="n">
        <f aca="false">SUM(E10:E24)</f>
        <v>0</v>
      </c>
      <c r="F25" s="227" t="n">
        <f aca="false">SUM(F10:F24)</f>
        <v>0</v>
      </c>
      <c r="G25" s="230"/>
      <c r="H25" s="230"/>
      <c r="I25" s="231"/>
      <c r="J25" s="199"/>
      <c r="K25" s="226" t="n">
        <f aca="false">SUM(K10:K24)</f>
        <v>23192.098</v>
      </c>
      <c r="L25" s="227" t="n">
        <f aca="false">SUM(L10:L24)</f>
        <v>23192.098</v>
      </c>
      <c r="M25" s="227" t="n">
        <f aca="false">SUM(M10:M24)</f>
        <v>0</v>
      </c>
      <c r="N25" s="230"/>
      <c r="O25" s="230"/>
      <c r="P25" s="274"/>
    </row>
    <row r="26" customFormat="false" ht="3" hidden="false" customHeight="true" outlineLevel="0" collapsed="false">
      <c r="B26" s="214"/>
      <c r="C26" s="199"/>
      <c r="D26" s="216"/>
      <c r="E26" s="217"/>
      <c r="F26" s="269"/>
      <c r="G26" s="220"/>
      <c r="H26" s="220"/>
      <c r="I26" s="221"/>
      <c r="J26" s="199"/>
      <c r="K26" s="216"/>
      <c r="L26" s="217"/>
      <c r="M26" s="269"/>
      <c r="N26" s="220"/>
      <c r="O26" s="220"/>
      <c r="P26" s="272"/>
    </row>
    <row r="27" customFormat="false" ht="13.5" hidden="true" customHeight="true" outlineLevel="0" collapsed="false">
      <c r="B27" s="214" t="s">
        <v>109</v>
      </c>
      <c r="C27" s="199"/>
      <c r="D27" s="216" t="n">
        <f aca="false">-(D25)</f>
        <v>-0</v>
      </c>
      <c r="E27" s="217" t="n">
        <f aca="false">-(E25)</f>
        <v>-0</v>
      </c>
      <c r="F27" s="269" t="n">
        <f aca="false">E27-D27</f>
        <v>0</v>
      </c>
      <c r="G27" s="220"/>
      <c r="H27" s="220"/>
      <c r="I27" s="221"/>
      <c r="J27" s="199"/>
      <c r="K27" s="216" t="n">
        <v>0</v>
      </c>
      <c r="L27" s="217" t="n">
        <v>0</v>
      </c>
      <c r="M27" s="269" t="n">
        <f aca="false">L27-K27</f>
        <v>0</v>
      </c>
      <c r="N27" s="220"/>
      <c r="O27" s="220"/>
      <c r="P27" s="272"/>
    </row>
    <row r="28" customFormat="false" ht="13.5" hidden="false" customHeight="true" outlineLevel="0" collapsed="false">
      <c r="B28" s="214" t="s">
        <v>110</v>
      </c>
      <c r="C28" s="199"/>
      <c r="D28" s="216" t="n">
        <v>0</v>
      </c>
      <c r="E28" s="217" t="n">
        <v>0</v>
      </c>
      <c r="F28" s="269" t="n">
        <f aca="false">E28-D28</f>
        <v>0</v>
      </c>
      <c r="G28" s="220"/>
      <c r="H28" s="220"/>
      <c r="I28" s="221"/>
      <c r="J28" s="199"/>
      <c r="K28" s="216" t="n">
        <f aca="false">-K25</f>
        <v>-23192.098</v>
      </c>
      <c r="L28" s="217" t="n">
        <f aca="false">-L25</f>
        <v>-23192.098</v>
      </c>
      <c r="M28" s="269" t="n">
        <f aca="false">L28-K28</f>
        <v>0</v>
      </c>
      <c r="N28" s="220"/>
      <c r="O28" s="220"/>
      <c r="P28" s="272"/>
    </row>
    <row r="29" customFormat="false" ht="3" hidden="false" customHeight="true" outlineLevel="0" collapsed="false">
      <c r="B29" s="214"/>
      <c r="C29" s="199"/>
      <c r="D29" s="216"/>
      <c r="E29" s="217"/>
      <c r="F29" s="269"/>
      <c r="G29" s="220"/>
      <c r="H29" s="220"/>
      <c r="I29" s="221"/>
      <c r="J29" s="199"/>
      <c r="K29" s="216"/>
      <c r="L29" s="217"/>
      <c r="M29" s="269"/>
      <c r="N29" s="220"/>
      <c r="O29" s="220"/>
      <c r="P29" s="272"/>
    </row>
    <row r="30" customFormat="false" ht="11.25" hidden="false" customHeight="true" outlineLevel="0" collapsed="false">
      <c r="A30" s="199"/>
      <c r="B30" s="225" t="s">
        <v>9</v>
      </c>
      <c r="C30" s="199"/>
      <c r="D30" s="232" t="n">
        <f aca="false">SUM(D25:D28)</f>
        <v>0</v>
      </c>
      <c r="E30" s="233" t="n">
        <f aca="false">SUM(E25:E28)</f>
        <v>0</v>
      </c>
      <c r="F30" s="233" t="n">
        <f aca="false">SUM(F25:F28)</f>
        <v>0</v>
      </c>
      <c r="G30" s="230"/>
      <c r="H30" s="230"/>
      <c r="I30" s="231"/>
      <c r="J30" s="199"/>
      <c r="K30" s="232" t="n">
        <f aca="false">SUM(K25:K28)</f>
        <v>0</v>
      </c>
      <c r="L30" s="233" t="n">
        <f aca="false">SUM(L25:L28)</f>
        <v>0</v>
      </c>
      <c r="M30" s="233" t="n">
        <f aca="false">SUM(M25:M28)</f>
        <v>0</v>
      </c>
      <c r="N30" s="230"/>
      <c r="O30" s="230"/>
      <c r="P30" s="274"/>
    </row>
    <row r="31" customFormat="false" ht="3" hidden="false" customHeight="true" outlineLevel="0" collapsed="false">
      <c r="B31" s="235"/>
      <c r="C31" s="199"/>
      <c r="D31" s="254"/>
      <c r="E31" s="255"/>
      <c r="F31" s="255"/>
      <c r="G31" s="237"/>
      <c r="H31" s="237"/>
      <c r="I31" s="238"/>
      <c r="J31" s="199"/>
      <c r="K31" s="254"/>
      <c r="L31" s="255"/>
      <c r="M31" s="255"/>
      <c r="N31" s="237"/>
      <c r="O31" s="237"/>
      <c r="P31" s="263"/>
    </row>
    <row r="32" customFormat="false" ht="12.75" hidden="false" customHeight="false" outlineLevel="0" collapsed="false">
      <c r="D32" s="275"/>
      <c r="E32" s="275"/>
      <c r="F32" s="275"/>
      <c r="G32" s="213"/>
      <c r="H32" s="213"/>
      <c r="I32" s="213"/>
      <c r="J32" s="213"/>
      <c r="K32" s="275"/>
      <c r="L32" s="275"/>
      <c r="M32" s="275"/>
      <c r="N32" s="213"/>
      <c r="O32" s="213"/>
      <c r="P32" s="213"/>
    </row>
    <row r="33" customFormat="false" ht="12.75" hidden="false" customHeight="false" outlineLevel="0" collapsed="false">
      <c r="D33" s="275"/>
      <c r="E33" s="275"/>
      <c r="F33" s="275"/>
      <c r="G33" s="213"/>
      <c r="H33" s="213"/>
      <c r="I33" s="213"/>
      <c r="J33" s="213"/>
      <c r="K33" s="275"/>
      <c r="L33" s="275"/>
      <c r="M33" s="275"/>
      <c r="N33" s="213"/>
      <c r="O33" s="213"/>
      <c r="P33" s="213"/>
    </row>
    <row r="34" customFormat="false" ht="12.75" hidden="false" customHeight="false" outlineLevel="0" collapsed="false">
      <c r="D34" s="275"/>
      <c r="E34" s="275"/>
      <c r="F34" s="275"/>
      <c r="G34" s="213"/>
      <c r="H34" s="213"/>
      <c r="I34" s="213"/>
      <c r="J34" s="213"/>
      <c r="K34" s="275"/>
      <c r="L34" s="275"/>
      <c r="M34" s="275"/>
      <c r="N34" s="213"/>
      <c r="O34" s="213"/>
      <c r="P34" s="213"/>
    </row>
    <row r="35" customFormat="false" ht="12.75" hidden="false" customHeight="false" outlineLevel="0" collapsed="false">
      <c r="D35" s="275"/>
      <c r="E35" s="275"/>
      <c r="F35" s="275"/>
      <c r="G35" s="213"/>
      <c r="H35" s="213"/>
      <c r="I35" s="213"/>
      <c r="J35" s="213"/>
      <c r="K35" s="275"/>
      <c r="L35" s="275"/>
      <c r="M35" s="275"/>
      <c r="N35" s="213"/>
      <c r="O35" s="213"/>
      <c r="P35" s="213"/>
    </row>
    <row r="36" customFormat="false" ht="12.75" hidden="false" customHeight="false" outlineLevel="0" collapsed="false">
      <c r="D36" s="275"/>
      <c r="E36" s="275"/>
      <c r="F36" s="275"/>
      <c r="G36" s="213"/>
      <c r="H36" s="213"/>
      <c r="I36" s="213"/>
      <c r="J36" s="213"/>
      <c r="K36" s="275"/>
      <c r="L36" s="275"/>
      <c r="M36" s="275" t="s">
        <v>44</v>
      </c>
      <c r="N36" s="213"/>
      <c r="O36" s="213"/>
      <c r="P36" s="213"/>
    </row>
    <row r="37" customFormat="false" ht="12.75" hidden="false" customHeight="false" outlineLevel="0" collapsed="false">
      <c r="D37" s="275"/>
      <c r="E37" s="275"/>
      <c r="F37" s="275"/>
      <c r="G37" s="213"/>
      <c r="H37" s="213"/>
      <c r="I37" s="213"/>
      <c r="J37" s="213"/>
      <c r="K37" s="275"/>
      <c r="L37" s="275"/>
      <c r="M37" s="275"/>
      <c r="N37" s="213"/>
      <c r="O37" s="213"/>
      <c r="P37" s="213"/>
    </row>
    <row r="38" customFormat="false" ht="12.75" hidden="false" customHeight="false" outlineLevel="0" collapsed="false">
      <c r="D38" s="275"/>
      <c r="E38" s="275"/>
      <c r="F38" s="275"/>
      <c r="G38" s="213"/>
      <c r="H38" s="213"/>
      <c r="I38" s="213"/>
      <c r="J38" s="213"/>
      <c r="K38" s="275"/>
      <c r="L38" s="275"/>
      <c r="M38" s="275"/>
      <c r="N38" s="213"/>
      <c r="O38" s="213"/>
      <c r="P38" s="213"/>
    </row>
    <row r="39" customFormat="false" ht="12.75" hidden="false" customHeight="false" outlineLevel="0" collapsed="false">
      <c r="D39" s="275"/>
      <c r="E39" s="275"/>
      <c r="F39" s="275"/>
      <c r="G39" s="213"/>
      <c r="H39" s="213"/>
      <c r="I39" s="213"/>
      <c r="J39" s="213"/>
      <c r="K39" s="275"/>
      <c r="L39" s="275"/>
      <c r="M39" s="275"/>
      <c r="N39" s="213"/>
      <c r="O39" s="213"/>
      <c r="P39" s="213"/>
    </row>
    <row r="40" customFormat="false" ht="12.75" hidden="false" customHeight="false" outlineLevel="0" collapsed="false">
      <c r="D40" s="275"/>
      <c r="E40" s="275"/>
      <c r="F40" s="275"/>
      <c r="G40" s="213"/>
      <c r="H40" s="213"/>
      <c r="I40" s="213"/>
      <c r="J40" s="213"/>
      <c r="K40" s="275"/>
      <c r="L40" s="275"/>
      <c r="M40" s="275"/>
      <c r="N40" s="213"/>
      <c r="O40" s="213"/>
      <c r="P40" s="213"/>
    </row>
    <row r="41" customFormat="false" ht="12.75" hidden="false" customHeight="false" outlineLevel="0" collapsed="false">
      <c r="D41" s="275"/>
      <c r="E41" s="275"/>
      <c r="F41" s="275"/>
      <c r="G41" s="213"/>
      <c r="H41" s="213"/>
      <c r="I41" s="213"/>
      <c r="J41" s="213"/>
      <c r="K41" s="275"/>
      <c r="L41" s="275"/>
      <c r="M41" s="275"/>
      <c r="N41" s="213"/>
      <c r="O41" s="213"/>
      <c r="P41" s="213"/>
    </row>
    <row r="42" customFormat="false" ht="12.75" hidden="false" customHeight="false" outlineLevel="0" collapsed="false">
      <c r="D42" s="275"/>
      <c r="E42" s="275"/>
      <c r="F42" s="275"/>
      <c r="G42" s="213"/>
      <c r="H42" s="213"/>
      <c r="I42" s="213"/>
      <c r="J42" s="213"/>
      <c r="K42" s="275"/>
      <c r="L42" s="275"/>
      <c r="M42" s="275"/>
      <c r="N42" s="213"/>
      <c r="O42" s="213"/>
      <c r="P42" s="213"/>
    </row>
    <row r="43" customFormat="false" ht="12.75" hidden="false" customHeight="false" outlineLevel="0" collapsed="false">
      <c r="D43" s="275"/>
      <c r="E43" s="275"/>
      <c r="F43" s="275"/>
      <c r="G43" s="213"/>
      <c r="H43" s="213"/>
      <c r="I43" s="213"/>
      <c r="J43" s="213"/>
      <c r="K43" s="275"/>
      <c r="L43" s="275"/>
      <c r="M43" s="275"/>
      <c r="N43" s="213"/>
      <c r="O43" s="213"/>
      <c r="P43" s="213"/>
    </row>
    <row r="44" customFormat="false" ht="12.75" hidden="false" customHeight="false" outlineLevel="0" collapsed="false">
      <c r="D44" s="275"/>
      <c r="E44" s="275"/>
      <c r="F44" s="275"/>
      <c r="G44" s="213"/>
      <c r="H44" s="213"/>
      <c r="I44" s="213"/>
      <c r="J44" s="213"/>
      <c r="K44" s="275"/>
      <c r="L44" s="275"/>
      <c r="M44" s="275"/>
      <c r="N44" s="213"/>
      <c r="O44" s="213"/>
      <c r="P44" s="213"/>
    </row>
    <row r="45" customFormat="false" ht="12.75" hidden="false" customHeight="false" outlineLevel="0" collapsed="false">
      <c r="D45" s="275"/>
      <c r="E45" s="275"/>
      <c r="F45" s="275"/>
      <c r="G45" s="213"/>
      <c r="H45" s="213"/>
      <c r="I45" s="213"/>
      <c r="J45" s="213"/>
      <c r="K45" s="275"/>
      <c r="L45" s="275"/>
      <c r="M45" s="275"/>
      <c r="N45" s="213"/>
      <c r="O45" s="213"/>
      <c r="P45" s="213"/>
    </row>
    <row r="46" customFormat="false" ht="12.75" hidden="false" customHeight="false" outlineLevel="0" collapsed="false">
      <c r="D46" s="275"/>
      <c r="E46" s="275"/>
      <c r="F46" s="275"/>
      <c r="G46" s="213"/>
      <c r="H46" s="213"/>
      <c r="I46" s="213"/>
      <c r="J46" s="213"/>
      <c r="K46" s="275"/>
      <c r="L46" s="275"/>
      <c r="M46" s="275"/>
      <c r="N46" s="213"/>
      <c r="O46" s="213"/>
      <c r="P46" s="213"/>
    </row>
    <row r="47" customFormat="false" ht="12.75" hidden="false" customHeight="false" outlineLevel="0" collapsed="false">
      <c r="D47" s="275"/>
      <c r="E47" s="275"/>
      <c r="L47" s="275"/>
      <c r="M47" s="275"/>
      <c r="N47" s="213"/>
      <c r="O47" s="213"/>
      <c r="P47" s="213"/>
    </row>
    <row r="48" customFormat="false" ht="12.75" hidden="false" customHeight="false" outlineLevel="0" collapsed="false">
      <c r="D48" s="275"/>
      <c r="E48" s="275"/>
      <c r="L48" s="275"/>
      <c r="M48" s="275"/>
      <c r="N48" s="213"/>
      <c r="O48" s="213"/>
      <c r="P48" s="213"/>
    </row>
    <row r="49" customFormat="false" ht="12.75" hidden="false" customHeight="false" outlineLevel="0" collapsed="false">
      <c r="D49" s="275"/>
      <c r="E49" s="275"/>
      <c r="L49" s="275"/>
      <c r="M49" s="275"/>
      <c r="N49" s="213"/>
      <c r="O49" s="213"/>
      <c r="P49" s="213"/>
    </row>
    <row r="50" customFormat="false" ht="12.75" hidden="false" customHeight="false" outlineLevel="0" collapsed="false">
      <c r="D50" s="275"/>
      <c r="E50" s="275"/>
      <c r="L50" s="275"/>
      <c r="M50" s="275"/>
      <c r="N50" s="213"/>
      <c r="O50" s="213"/>
      <c r="P50" s="213"/>
    </row>
    <row r="51" customFormat="false" ht="12.75" hidden="false" customHeight="false" outlineLevel="0" collapsed="false">
      <c r="D51" s="275"/>
      <c r="E51" s="275"/>
      <c r="L51" s="275"/>
      <c r="M51" s="275"/>
      <c r="N51" s="213"/>
      <c r="O51" s="213"/>
      <c r="P51" s="213"/>
    </row>
    <row r="52" customFormat="false" ht="12.75" hidden="false" customHeight="false" outlineLevel="0" collapsed="false">
      <c r="D52" s="275"/>
      <c r="E52" s="275"/>
      <c r="L52" s="275"/>
      <c r="M52" s="275"/>
      <c r="N52" s="213"/>
      <c r="O52" s="213"/>
      <c r="P52" s="213"/>
    </row>
    <row r="53" customFormat="false" ht="12.75" hidden="false" customHeight="false" outlineLevel="0" collapsed="false">
      <c r="D53" s="275"/>
      <c r="E53" s="275"/>
      <c r="F53" s="275"/>
      <c r="G53" s="213"/>
      <c r="H53" s="213"/>
      <c r="I53" s="213"/>
      <c r="J53" s="213"/>
      <c r="K53" s="275"/>
      <c r="L53" s="275"/>
      <c r="M53" s="275"/>
      <c r="N53" s="213"/>
      <c r="O53" s="213"/>
      <c r="P53" s="213"/>
    </row>
    <row r="54" customFormat="false" ht="12.75" hidden="false" customHeight="false" outlineLevel="0" collapsed="false">
      <c r="A54" s="275"/>
      <c r="B54" s="213"/>
      <c r="C54" s="213"/>
      <c r="D54" s="213"/>
      <c r="E54" s="213"/>
      <c r="F54" s="275"/>
      <c r="G54" s="213"/>
      <c r="H54" s="213"/>
      <c r="I54" s="213"/>
      <c r="J54" s="213"/>
      <c r="K54" s="275"/>
      <c r="L54" s="275"/>
      <c r="M54" s="275"/>
      <c r="N54" s="213"/>
      <c r="O54" s="213"/>
      <c r="P54" s="213"/>
    </row>
    <row r="55" customFormat="false" ht="12.75" hidden="false" customHeight="false" outlineLevel="0" collapsed="false">
      <c r="A55" s="275"/>
      <c r="B55" s="213"/>
      <c r="C55" s="213"/>
      <c r="D55" s="213"/>
      <c r="E55" s="213"/>
      <c r="F55" s="275"/>
      <c r="G55" s="213"/>
      <c r="H55" s="213"/>
      <c r="I55" s="213"/>
      <c r="J55" s="213"/>
      <c r="K55" s="275"/>
      <c r="L55" s="275"/>
      <c r="M55" s="275"/>
      <c r="N55" s="213"/>
      <c r="O55" s="213"/>
      <c r="P55" s="213"/>
    </row>
    <row r="56" customFormat="false" ht="12.75" hidden="false" customHeight="false" outlineLevel="0" collapsed="false">
      <c r="A56" s="275"/>
      <c r="B56" s="213"/>
      <c r="C56" s="213"/>
      <c r="D56" s="213"/>
      <c r="E56" s="213"/>
      <c r="F56" s="275"/>
      <c r="G56" s="213"/>
      <c r="H56" s="213"/>
      <c r="I56" s="213"/>
      <c r="J56" s="213"/>
      <c r="K56" s="275"/>
      <c r="L56" s="275"/>
      <c r="M56" s="275"/>
      <c r="N56" s="213"/>
      <c r="O56" s="213"/>
      <c r="P56" s="213"/>
    </row>
    <row r="57" customFormat="false" ht="12.75" hidden="false" customHeight="false" outlineLevel="0" collapsed="false">
      <c r="A57" s="275"/>
      <c r="B57" s="213"/>
      <c r="C57" s="213"/>
      <c r="D57" s="213"/>
      <c r="E57" s="213"/>
      <c r="F57" s="275"/>
      <c r="G57" s="213"/>
      <c r="H57" s="213"/>
      <c r="I57" s="213"/>
      <c r="J57" s="213"/>
      <c r="K57" s="275"/>
      <c r="L57" s="275"/>
      <c r="M57" s="275"/>
      <c r="N57" s="213"/>
      <c r="O57" s="213"/>
      <c r="P57" s="213"/>
    </row>
    <row r="58" customFormat="false" ht="12.75" hidden="false" customHeight="false" outlineLevel="0" collapsed="false">
      <c r="A58" s="275"/>
      <c r="B58" s="213"/>
      <c r="C58" s="213"/>
      <c r="D58" s="213"/>
      <c r="E58" s="213"/>
      <c r="F58" s="275"/>
      <c r="G58" s="213"/>
      <c r="H58" s="213"/>
      <c r="I58" s="213"/>
      <c r="J58" s="213"/>
      <c r="K58" s="275"/>
      <c r="L58" s="275"/>
      <c r="M58" s="275"/>
      <c r="N58" s="213"/>
      <c r="O58" s="213"/>
      <c r="P58" s="213"/>
    </row>
    <row r="59" customFormat="false" ht="12.75" hidden="false" customHeight="false" outlineLevel="0" collapsed="false">
      <c r="A59" s="275"/>
      <c r="B59" s="213"/>
      <c r="C59" s="213"/>
      <c r="D59" s="213"/>
      <c r="E59" s="213"/>
      <c r="F59" s="275"/>
      <c r="G59" s="213"/>
      <c r="H59" s="213"/>
      <c r="I59" s="213"/>
      <c r="J59" s="213"/>
      <c r="K59" s="275"/>
      <c r="L59" s="275"/>
      <c r="M59" s="275"/>
      <c r="N59" s="213"/>
      <c r="O59" s="213"/>
      <c r="P59" s="213"/>
    </row>
    <row r="60" customFormat="false" ht="12.75" hidden="false" customHeight="false" outlineLevel="0" collapsed="false">
      <c r="D60" s="213"/>
      <c r="E60" s="213"/>
      <c r="F60" s="213"/>
      <c r="G60" s="213"/>
      <c r="H60" s="213"/>
      <c r="I60" s="213"/>
      <c r="J60" s="213"/>
      <c r="K60" s="275"/>
      <c r="L60" s="275"/>
      <c r="M60" s="275"/>
      <c r="N60" s="213"/>
      <c r="O60" s="213"/>
      <c r="P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75"/>
      <c r="L61" s="275"/>
      <c r="M61" s="275"/>
      <c r="N61" s="213"/>
      <c r="O61" s="213"/>
      <c r="P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75"/>
      <c r="L62" s="275"/>
      <c r="M62" s="275"/>
      <c r="N62" s="213"/>
      <c r="O62" s="213"/>
      <c r="P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75"/>
      <c r="L63" s="275"/>
      <c r="M63" s="275"/>
      <c r="N63" s="213"/>
      <c r="O63" s="213"/>
      <c r="P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75"/>
      <c r="L64" s="275"/>
      <c r="M64" s="275"/>
      <c r="N64" s="213"/>
      <c r="O64" s="213"/>
      <c r="P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75"/>
      <c r="L65" s="275"/>
      <c r="M65" s="275"/>
      <c r="N65" s="213"/>
      <c r="O65" s="213"/>
      <c r="P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75"/>
      <c r="L66" s="275"/>
      <c r="M66" s="275"/>
      <c r="N66" s="213"/>
      <c r="O66" s="213"/>
      <c r="P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75"/>
      <c r="L67" s="275"/>
      <c r="M67" s="275"/>
      <c r="N67" s="213"/>
      <c r="O67" s="213"/>
      <c r="P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75"/>
      <c r="L68" s="275"/>
      <c r="M68" s="275"/>
      <c r="N68" s="213"/>
      <c r="O68" s="213"/>
      <c r="P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75"/>
      <c r="L69" s="275"/>
      <c r="M69" s="275"/>
      <c r="N69" s="213"/>
      <c r="O69" s="213"/>
      <c r="P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75"/>
      <c r="L70" s="275"/>
      <c r="M70" s="275"/>
      <c r="N70" s="213"/>
      <c r="O70" s="213"/>
      <c r="P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75"/>
      <c r="L71" s="275"/>
      <c r="M71" s="275"/>
      <c r="N71" s="213"/>
      <c r="O71" s="213"/>
      <c r="P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75"/>
      <c r="L72" s="275"/>
      <c r="M72" s="275"/>
      <c r="N72" s="213"/>
      <c r="O72" s="213"/>
      <c r="P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75"/>
      <c r="L73" s="275"/>
      <c r="M73" s="275"/>
      <c r="N73" s="213"/>
      <c r="O73" s="213"/>
      <c r="P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75"/>
      <c r="L74" s="275"/>
      <c r="M74" s="275"/>
      <c r="N74" s="213"/>
      <c r="O74" s="213"/>
      <c r="P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75"/>
      <c r="L75" s="275"/>
      <c r="M75" s="275"/>
      <c r="N75" s="213"/>
      <c r="O75" s="213"/>
      <c r="P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75"/>
      <c r="L76" s="275"/>
      <c r="M76" s="275"/>
      <c r="N76" s="213"/>
      <c r="O76" s="213"/>
      <c r="P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75"/>
      <c r="L77" s="275"/>
      <c r="M77" s="275"/>
      <c r="N77" s="213"/>
      <c r="O77" s="213"/>
      <c r="P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75"/>
      <c r="L78" s="275"/>
      <c r="M78" s="275"/>
      <c r="N78" s="213"/>
      <c r="O78" s="213"/>
      <c r="P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75"/>
      <c r="L79" s="275"/>
      <c r="M79" s="275"/>
      <c r="N79" s="213"/>
      <c r="O79" s="213"/>
      <c r="P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75"/>
      <c r="L80" s="275"/>
      <c r="M80" s="275"/>
      <c r="N80" s="213"/>
      <c r="O80" s="213"/>
      <c r="P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75"/>
      <c r="L81" s="275"/>
      <c r="M81" s="275"/>
      <c r="N81" s="213"/>
      <c r="O81" s="213"/>
      <c r="P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75"/>
      <c r="L82" s="275"/>
      <c r="M82" s="275"/>
      <c r="N82" s="213"/>
      <c r="O82" s="213"/>
      <c r="P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75"/>
      <c r="L83" s="275"/>
      <c r="M83" s="275"/>
      <c r="N83" s="213"/>
      <c r="O83" s="213"/>
      <c r="P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75"/>
      <c r="L84" s="275"/>
      <c r="M84" s="275"/>
      <c r="N84" s="213"/>
      <c r="O84" s="213"/>
      <c r="P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75"/>
      <c r="L85" s="275"/>
      <c r="M85" s="275"/>
      <c r="N85" s="213"/>
      <c r="O85" s="213"/>
      <c r="P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75"/>
      <c r="L86" s="275"/>
      <c r="M86" s="275"/>
      <c r="N86" s="213"/>
      <c r="O86" s="213"/>
      <c r="P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75"/>
      <c r="L87" s="275"/>
      <c r="M87" s="275"/>
      <c r="N87" s="213"/>
      <c r="O87" s="213"/>
      <c r="P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75"/>
      <c r="L88" s="275"/>
      <c r="M88" s="275"/>
      <c r="N88" s="213"/>
      <c r="O88" s="213"/>
      <c r="P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75"/>
      <c r="L89" s="275"/>
      <c r="M89" s="275"/>
      <c r="N89" s="213"/>
      <c r="O89" s="213"/>
      <c r="P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75"/>
      <c r="L90" s="275"/>
      <c r="M90" s="275"/>
      <c r="N90" s="213"/>
      <c r="O90" s="213"/>
      <c r="P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75"/>
      <c r="L91" s="275"/>
      <c r="M91" s="275"/>
      <c r="N91" s="213"/>
      <c r="O91" s="213"/>
      <c r="P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75"/>
      <c r="L92" s="275"/>
      <c r="M92" s="275"/>
      <c r="N92" s="213"/>
      <c r="O92" s="213"/>
      <c r="P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75"/>
      <c r="L93" s="275"/>
      <c r="M93" s="275"/>
      <c r="N93" s="213"/>
      <c r="O93" s="213"/>
      <c r="P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75"/>
      <c r="L94" s="275"/>
      <c r="M94" s="275"/>
      <c r="N94" s="213"/>
      <c r="O94" s="213"/>
      <c r="P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75"/>
      <c r="L95" s="275"/>
      <c r="M95" s="275"/>
      <c r="N95" s="213"/>
      <c r="O95" s="213"/>
      <c r="P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75"/>
      <c r="L96" s="275"/>
      <c r="M96" s="275"/>
      <c r="N96" s="213"/>
      <c r="O96" s="213"/>
      <c r="P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75"/>
      <c r="L97" s="275"/>
      <c r="M97" s="275"/>
      <c r="N97" s="213"/>
      <c r="O97" s="213"/>
      <c r="P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75"/>
      <c r="L98" s="275"/>
      <c r="M98" s="275"/>
      <c r="N98" s="213"/>
      <c r="O98" s="213"/>
      <c r="P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75"/>
      <c r="L99" s="275"/>
      <c r="M99" s="275"/>
      <c r="N99" s="213"/>
      <c r="O99" s="213"/>
      <c r="P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75"/>
      <c r="L100" s="275"/>
      <c r="M100" s="275"/>
      <c r="N100" s="213"/>
      <c r="O100" s="213"/>
      <c r="P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75"/>
      <c r="L101" s="275"/>
      <c r="M101" s="275"/>
      <c r="N101" s="213"/>
      <c r="O101" s="213"/>
      <c r="P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75"/>
      <c r="L102" s="275"/>
      <c r="M102" s="275"/>
      <c r="N102" s="213"/>
      <c r="O102" s="213"/>
      <c r="P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75"/>
      <c r="L103" s="275"/>
      <c r="M103" s="275"/>
      <c r="N103" s="213"/>
      <c r="O103" s="213"/>
      <c r="P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75"/>
      <c r="L104" s="275"/>
      <c r="M104" s="275"/>
      <c r="N104" s="213"/>
      <c r="O104" s="213"/>
      <c r="P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75"/>
      <c r="L105" s="275"/>
      <c r="M105" s="275"/>
      <c r="N105" s="213"/>
      <c r="O105" s="213"/>
      <c r="P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75"/>
      <c r="L106" s="275"/>
      <c r="M106" s="275"/>
      <c r="N106" s="213"/>
      <c r="O106" s="213"/>
      <c r="P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75"/>
      <c r="L107" s="275"/>
      <c r="M107" s="275"/>
      <c r="N107" s="213"/>
      <c r="O107" s="213"/>
      <c r="P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75"/>
      <c r="L108" s="275"/>
      <c r="M108" s="275"/>
      <c r="N108" s="213"/>
      <c r="O108" s="213"/>
      <c r="P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75"/>
      <c r="L109" s="275"/>
      <c r="M109" s="275"/>
      <c r="N109" s="213"/>
      <c r="O109" s="213"/>
      <c r="P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75"/>
      <c r="L110" s="275"/>
      <c r="M110" s="275"/>
      <c r="N110" s="213"/>
      <c r="O110" s="213"/>
      <c r="P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75"/>
      <c r="L111" s="275"/>
      <c r="M111" s="275"/>
      <c r="N111" s="213"/>
      <c r="O111" s="213"/>
      <c r="P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75"/>
      <c r="L112" s="275"/>
      <c r="M112" s="275"/>
      <c r="N112" s="213"/>
      <c r="O112" s="213"/>
      <c r="P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75"/>
      <c r="L113" s="275"/>
      <c r="M113" s="275"/>
      <c r="N113" s="213"/>
      <c r="O113" s="213"/>
      <c r="P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75"/>
      <c r="L114" s="275"/>
      <c r="M114" s="275"/>
      <c r="N114" s="213"/>
      <c r="O114" s="213"/>
      <c r="P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75"/>
      <c r="L115" s="275"/>
      <c r="M115" s="275"/>
      <c r="N115" s="213"/>
      <c r="O115" s="213"/>
      <c r="P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75"/>
      <c r="L116" s="275"/>
      <c r="M116" s="275"/>
      <c r="N116" s="213"/>
      <c r="O116" s="213"/>
      <c r="P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75"/>
      <c r="L117" s="275"/>
      <c r="M117" s="275"/>
      <c r="N117" s="213"/>
      <c r="O117" s="213"/>
      <c r="P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75"/>
      <c r="L118" s="275"/>
      <c r="M118" s="275"/>
      <c r="N118" s="213"/>
      <c r="O118" s="213"/>
      <c r="P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</row>
    <row r="120" customFormat="false" ht="12.75" hidden="false" customHeight="false" outlineLevel="0" collapsed="false"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</row>
    <row r="121" customFormat="false" ht="12.75" hidden="false" customHeight="false" outlineLevel="0" collapsed="false"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</row>
    <row r="122" customFormat="false" ht="12.75" hidden="false" customHeight="false" outlineLevel="0" collapsed="false"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</row>
    <row r="123" customFormat="false" ht="12.75" hidden="false" customHeight="false" outlineLevel="0" collapsed="false"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</row>
    <row r="124" customFormat="false" ht="12.75" hidden="false" customHeight="false" outlineLevel="0" collapsed="false"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</row>
    <row r="125" customFormat="false" ht="12.75" hidden="false" customHeight="false" outlineLevel="0" collapsed="false"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</row>
    <row r="126" customFormat="false" ht="12.75" hidden="false" customHeight="false" outlineLevel="0" collapsed="false"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</row>
    <row r="127" customFormat="false" ht="12.75" hidden="false" customHeight="false" outlineLevel="0" collapsed="false"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</row>
    <row r="128" customFormat="false" ht="12.75" hidden="false" customHeight="false" outlineLevel="0" collapsed="false"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</row>
    <row r="129" customFormat="false" ht="12.75" hidden="false" customHeight="false" outlineLevel="0" collapsed="false"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</row>
    <row r="130" customFormat="false" ht="12.75" hidden="false" customHeight="false" outlineLevel="0" collapsed="false"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</row>
    <row r="131" customFormat="false" ht="12.75" hidden="false" customHeight="false" outlineLevel="0" collapsed="false"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</row>
    <row r="132" customFormat="false" ht="12.75" hidden="false" customHeight="false" outlineLevel="0" collapsed="false"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</row>
    <row r="133" customFormat="false" ht="12.75" hidden="false" customHeight="false" outlineLevel="0" collapsed="false"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</row>
    <row r="134" customFormat="false" ht="12.75" hidden="false" customHeight="false" outlineLevel="0" collapsed="false"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</row>
    <row r="135" customFormat="false" ht="12.75" hidden="false" customHeight="false" outlineLevel="0" collapsed="false"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</row>
    <row r="136" customFormat="false" ht="12.75" hidden="false" customHeight="false" outlineLevel="0" collapsed="false"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</row>
    <row r="137" customFormat="false" ht="12.75" hidden="false" customHeight="false" outlineLevel="0" collapsed="false"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</row>
    <row r="138" customFormat="false" ht="12.75" hidden="false" customHeight="false" outlineLevel="0" collapsed="false"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</row>
    <row r="139" customFormat="false" ht="12.75" hidden="false" customHeight="false" outlineLevel="0" collapsed="false"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</row>
    <row r="140" customFormat="false" ht="12.75" hidden="false" customHeight="false" outlineLevel="0" collapsed="false"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</row>
    <row r="141" customFormat="false" ht="12.75" hidden="false" customHeight="false" outlineLevel="0" collapsed="false"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</row>
    <row r="142" customFormat="false" ht="12.75" hidden="false" customHeight="false" outlineLevel="0" collapsed="false"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</row>
    <row r="143" customFormat="false" ht="12.75" hidden="false" customHeight="false" outlineLevel="0" collapsed="false"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</row>
    <row r="144" customFormat="false" ht="12.75" hidden="false" customHeight="false" outlineLevel="0" collapsed="false"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</row>
    <row r="145" customFormat="false" ht="12.75" hidden="false" customHeight="false" outlineLevel="0" collapsed="false"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</row>
    <row r="146" customFormat="false" ht="12.75" hidden="false" customHeight="false" outlineLevel="0" collapsed="false"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</row>
    <row r="147" customFormat="false" ht="12.75" hidden="false" customHeight="false" outlineLevel="0" collapsed="false"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</row>
    <row r="148" customFormat="false" ht="12.75" hidden="false" customHeight="false" outlineLevel="0" collapsed="false"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</row>
    <row r="149" customFormat="false" ht="12.75" hidden="false" customHeight="false" outlineLevel="0" collapsed="false"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</row>
    <row r="150" customFormat="false" ht="12.75" hidden="false" customHeight="false" outlineLevel="0" collapsed="false"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</row>
    <row r="151" customFormat="false" ht="12.75" hidden="false" customHeight="false" outlineLevel="0" collapsed="false"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</row>
    <row r="152" customFormat="false" ht="12.75" hidden="false" customHeight="false" outlineLevel="0" collapsed="false"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</row>
    <row r="153" customFormat="false" ht="12.75" hidden="false" customHeight="false" outlineLevel="0" collapsed="false"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</row>
    <row r="154" customFormat="false" ht="12.75" hidden="false" customHeight="false" outlineLevel="0" collapsed="false"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</row>
    <row r="155" customFormat="false" ht="12.75" hidden="false" customHeight="false" outlineLevel="0" collapsed="false"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</row>
    <row r="156" customFormat="false" ht="12.75" hidden="false" customHeight="false" outlineLevel="0" collapsed="false"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</row>
    <row r="157" customFormat="false" ht="12.75" hidden="false" customHeight="false" outlineLevel="0" collapsed="false"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</row>
    <row r="158" customFormat="false" ht="12.75" hidden="false" customHeight="false" outlineLevel="0" collapsed="false"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</row>
    <row r="159" customFormat="false" ht="12.75" hidden="false" customHeight="false" outlineLevel="0" collapsed="false"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</row>
    <row r="160" customFormat="false" ht="12.75" hidden="false" customHeight="false" outlineLevel="0" collapsed="false"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</row>
    <row r="161" customFormat="false" ht="12.75" hidden="false" customHeight="false" outlineLevel="0" collapsed="false"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</row>
    <row r="162" customFormat="false" ht="12.75" hidden="false" customHeight="false" outlineLevel="0" collapsed="false"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</row>
    <row r="163" customFormat="false" ht="12.75" hidden="false" customHeight="false" outlineLevel="0" collapsed="false"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</row>
    <row r="164" customFormat="false" ht="12.75" hidden="false" customHeight="false" outlineLevel="0" collapsed="false"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</row>
    <row r="165" customFormat="false" ht="12.75" hidden="false" customHeight="false" outlineLevel="0" collapsed="false"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</row>
    <row r="166" customFormat="false" ht="12.75" hidden="false" customHeight="false" outlineLevel="0" collapsed="false"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</row>
    <row r="167" customFormat="false" ht="12.75" hidden="false" customHeight="false" outlineLevel="0" collapsed="false"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</row>
    <row r="168" customFormat="false" ht="12.75" hidden="false" customHeight="false" outlineLevel="0" collapsed="false"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</row>
    <row r="169" customFormat="false" ht="12.75" hidden="false" customHeight="false" outlineLevel="0" collapsed="false"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</row>
    <row r="170" customFormat="false" ht="12.75" hidden="false" customHeight="false" outlineLevel="0" collapsed="false"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</row>
    <row r="171" customFormat="false" ht="12.75" hidden="false" customHeight="false" outlineLevel="0" collapsed="false"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</row>
    <row r="172" customFormat="false" ht="12.75" hidden="false" customHeight="false" outlineLevel="0" collapsed="false"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</row>
    <row r="173" customFormat="false" ht="12.75" hidden="false" customHeight="false" outlineLevel="0" collapsed="false"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</row>
    <row r="174" customFormat="false" ht="12.75" hidden="false" customHeight="false" outlineLevel="0" collapsed="false"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</row>
    <row r="175" customFormat="false" ht="12.75" hidden="false" customHeight="false" outlineLevel="0" collapsed="false"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</row>
    <row r="176" customFormat="false" ht="12.75" hidden="false" customHeight="false" outlineLevel="0" collapsed="false"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</row>
    <row r="177" customFormat="false" ht="12.75" hidden="false" customHeight="false" outlineLevel="0" collapsed="false"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</row>
    <row r="178" customFormat="false" ht="12.75" hidden="false" customHeight="false" outlineLevel="0" collapsed="false"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</row>
    <row r="179" customFormat="false" ht="12.75" hidden="false" customHeight="false" outlineLevel="0" collapsed="false"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</row>
    <row r="180" customFormat="false" ht="12.75" hidden="false" customHeight="false" outlineLevel="0" collapsed="false"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</row>
    <row r="181" customFormat="false" ht="12.75" hidden="false" customHeight="false" outlineLevel="0" collapsed="false"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</row>
    <row r="182" customFormat="false" ht="12.75" hidden="false" customHeight="false" outlineLevel="0" collapsed="false"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</row>
    <row r="183" customFormat="false" ht="12.75" hidden="false" customHeight="false" outlineLevel="0" collapsed="false"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</row>
    <row r="184" customFormat="false" ht="12.75" hidden="false" customHeight="false" outlineLevel="0" collapsed="false"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</row>
    <row r="185" customFormat="false" ht="12.75" hidden="false" customHeight="false" outlineLevel="0" collapsed="false"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</row>
    <row r="186" customFormat="false" ht="12.75" hidden="false" customHeight="false" outlineLevel="0" collapsed="false"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</row>
    <row r="187" customFormat="false" ht="12.75" hidden="false" customHeight="false" outlineLevel="0" collapsed="false"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</row>
    <row r="188" customFormat="false" ht="12.75" hidden="false" customHeight="false" outlineLevel="0" collapsed="false"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</row>
    <row r="189" customFormat="false" ht="12.75" hidden="false" customHeight="false" outlineLevel="0" collapsed="false"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</row>
    <row r="190" customFormat="false" ht="12.75" hidden="false" customHeight="false" outlineLevel="0" collapsed="false"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</row>
    <row r="191" customFormat="false" ht="12.75" hidden="false" customHeight="false" outlineLevel="0" collapsed="false"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</row>
    <row r="192" customFormat="false" ht="12.75" hidden="false" customHeight="false" outlineLevel="0" collapsed="false"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</row>
    <row r="193" customFormat="false" ht="12.75" hidden="false" customHeight="false" outlineLevel="0" collapsed="false"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</row>
    <row r="194" customFormat="false" ht="12.75" hidden="false" customHeight="false" outlineLevel="0" collapsed="false"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</row>
    <row r="195" customFormat="false" ht="12.75" hidden="false" customHeight="false" outlineLevel="0" collapsed="false"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</row>
    <row r="196" customFormat="false" ht="12.75" hidden="false" customHeight="false" outlineLevel="0" collapsed="false"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</row>
    <row r="197" customFormat="false" ht="12.75" hidden="false" customHeight="false" outlineLevel="0" collapsed="false"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</row>
    <row r="198" customFormat="false" ht="12.75" hidden="false" customHeight="false" outlineLevel="0" collapsed="false"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</row>
    <row r="199" customFormat="false" ht="12.75" hidden="false" customHeight="false" outlineLevel="0" collapsed="false"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</row>
    <row r="200" customFormat="false" ht="12.75" hidden="false" customHeight="false" outlineLevel="0" collapsed="false"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3" t="s">
        <v>79</v>
      </c>
      <c r="B1" s="276" t="s">
        <v>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customFormat="false" ht="15" hidden="false" customHeight="false" outlineLevel="0" collapsed="false">
      <c r="A2" s="193" t="s">
        <v>111</v>
      </c>
      <c r="B2" s="277" t="s">
        <v>112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customFormat="false" ht="12.75" hidden="false" customHeight="false" outlineLevel="0" collapsed="false">
      <c r="A3" s="193" t="s">
        <v>113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customFormat="false" ht="3" hidden="false" customHeight="true" outlineLevel="0" collapsed="false">
      <c r="A4" s="195" t="n">
        <v>36586</v>
      </c>
    </row>
    <row r="5" customFormat="false" ht="12.75" hidden="false" customHeight="false" outlineLevel="0" collapsed="false">
      <c r="A5" s="195" t="n">
        <v>36770</v>
      </c>
      <c r="B5" s="209"/>
      <c r="D5" s="210"/>
      <c r="E5" s="211"/>
      <c r="F5" s="212"/>
      <c r="G5" s="213"/>
      <c r="H5" s="210"/>
      <c r="I5" s="211"/>
      <c r="J5" s="212"/>
      <c r="K5" s="213"/>
      <c r="L5" s="210"/>
      <c r="M5" s="211"/>
      <c r="N5" s="212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</row>
    <row r="6" customFormat="false" ht="12.75" hidden="false" customHeight="false" outlineLevel="0" collapsed="false">
      <c r="A6" s="193" t="s">
        <v>82</v>
      </c>
      <c r="B6" s="279"/>
      <c r="D6" s="280" t="s">
        <v>114</v>
      </c>
      <c r="E6" s="280"/>
      <c r="F6" s="280"/>
      <c r="G6" s="213"/>
      <c r="H6" s="280" t="s">
        <v>115</v>
      </c>
      <c r="I6" s="280"/>
      <c r="J6" s="280"/>
      <c r="K6" s="213"/>
      <c r="L6" s="280" t="s">
        <v>116</v>
      </c>
      <c r="M6" s="280"/>
      <c r="N6" s="280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</row>
    <row r="7" customFormat="false" ht="12.75" hidden="false" customHeight="false" outlineLevel="0" collapsed="false">
      <c r="A7" s="193" t="s">
        <v>83</v>
      </c>
      <c r="B7" s="281" t="s">
        <v>14</v>
      </c>
      <c r="D7" s="282" t="s">
        <v>117</v>
      </c>
      <c r="E7" s="282" t="s">
        <v>118</v>
      </c>
      <c r="F7" s="282" t="s">
        <v>9</v>
      </c>
      <c r="G7" s="213"/>
      <c r="H7" s="283" t="s">
        <v>117</v>
      </c>
      <c r="I7" s="283" t="s">
        <v>118</v>
      </c>
      <c r="J7" s="283" t="s">
        <v>9</v>
      </c>
      <c r="K7" s="213"/>
      <c r="L7" s="283" t="s">
        <v>117</v>
      </c>
      <c r="M7" s="283" t="s">
        <v>118</v>
      </c>
      <c r="N7" s="283" t="s">
        <v>9</v>
      </c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</row>
    <row r="8" customFormat="false" ht="3" hidden="false" customHeight="true" outlineLevel="0" collapsed="false">
      <c r="B8" s="209"/>
      <c r="D8" s="210"/>
      <c r="E8" s="211"/>
      <c r="F8" s="212"/>
      <c r="G8" s="213"/>
      <c r="H8" s="210"/>
      <c r="I8" s="211"/>
      <c r="J8" s="212"/>
      <c r="K8" s="213"/>
      <c r="L8" s="210"/>
      <c r="M8" s="211"/>
      <c r="N8" s="212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</row>
    <row r="9" customFormat="false" ht="13.5" hidden="false" customHeight="true" outlineLevel="0" collapsed="false">
      <c r="B9" s="214" t="s">
        <v>119</v>
      </c>
      <c r="C9" s="199"/>
      <c r="D9" s="284" t="n">
        <v>0</v>
      </c>
      <c r="E9" s="285" t="n">
        <v>0</v>
      </c>
      <c r="F9" s="286" t="n">
        <f aca="false">+D9+E9</f>
        <v>0</v>
      </c>
      <c r="G9" s="217"/>
      <c r="H9" s="284" t="n">
        <v>0</v>
      </c>
      <c r="I9" s="285" t="n">
        <v>0</v>
      </c>
      <c r="J9" s="286" t="n">
        <f aca="false">+H9+I9</f>
        <v>0</v>
      </c>
      <c r="K9" s="199"/>
      <c r="L9" s="284" t="n">
        <f aca="false">+D9-H9</f>
        <v>0</v>
      </c>
      <c r="M9" s="285" t="n">
        <f aca="false">+E9-I9</f>
        <v>0</v>
      </c>
      <c r="N9" s="286" t="n">
        <f aca="false">+L9+M9</f>
        <v>0</v>
      </c>
      <c r="O9" s="199"/>
      <c r="P9" s="222"/>
      <c r="Q9" s="222"/>
      <c r="R9" s="222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customFormat="false" ht="13.5" hidden="false" customHeight="true" outlineLevel="0" collapsed="false">
      <c r="A10" s="193" t="s">
        <v>84</v>
      </c>
      <c r="B10" s="214" t="s">
        <v>101</v>
      </c>
      <c r="C10" s="199"/>
      <c r="D10" s="284" t="e">
        <f aca="false">HPVAL($A10,$A$18,$A$2,$A$5,$A$6,$A$7)</f>
        <v>#NAME?</v>
      </c>
      <c r="E10" s="285" t="e">
        <f aca="false">HPVAL($A10,$A$18,$A$3,$A$5,$A$6,$A$7)</f>
        <v>#NAME?</v>
      </c>
      <c r="F10" s="286" t="e">
        <f aca="false">+D10+E10</f>
        <v>#NAME?</v>
      </c>
      <c r="G10" s="217"/>
      <c r="H10" s="284" t="e">
        <f aca="false">HPVAL($A10,$A$1,$A$2,$A$5,$A$6,$A$7)</f>
        <v>#NAME?</v>
      </c>
      <c r="I10" s="285" t="e">
        <f aca="false">HPVAL($A10,$A$1,$A$3,$A$5,$A$6,$A$7)</f>
        <v>#NAME?</v>
      </c>
      <c r="J10" s="286" t="e">
        <f aca="false">+H10+I10</f>
        <v>#NAME?</v>
      </c>
      <c r="K10" s="199"/>
      <c r="L10" s="284" t="e">
        <f aca="false">+D10-H10</f>
        <v>#NAME?</v>
      </c>
      <c r="M10" s="285" t="e">
        <f aca="false">+E10-I10</f>
        <v>#NAME?</v>
      </c>
      <c r="N10" s="286" t="e">
        <f aca="false">+L10+M10</f>
        <v>#NAME?</v>
      </c>
      <c r="O10" s="199"/>
      <c r="P10" s="222"/>
      <c r="Q10" s="222"/>
      <c r="R10" s="222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</row>
    <row r="11" customFormat="false" ht="13.5" hidden="false" customHeight="true" outlineLevel="0" collapsed="false">
      <c r="A11" s="193" t="s">
        <v>85</v>
      </c>
      <c r="B11" s="214" t="s">
        <v>24</v>
      </c>
      <c r="C11" s="199"/>
      <c r="D11" s="284" t="e">
        <f aca="false">HPVAL($A11,$A$18,$A$2,$A$5,$A$6,$A$7)</f>
        <v>#NAME?</v>
      </c>
      <c r="E11" s="285" t="e">
        <f aca="false">HPVAL($A11,$A$18,$A$3,$A$5,$A$6,$A$7)</f>
        <v>#NAME?</v>
      </c>
      <c r="F11" s="286" t="e">
        <f aca="false">+D11+E11</f>
        <v>#NAME?</v>
      </c>
      <c r="G11" s="217"/>
      <c r="H11" s="284" t="e">
        <f aca="false">HPVAL($A11,$A$1,$A$2,$A$5,$A$6,$A$7)</f>
        <v>#NAME?</v>
      </c>
      <c r="I11" s="285" t="e">
        <f aca="false">HPVAL($A11,$A$1,$A$3,$A$5,$A$6,$A$7)</f>
        <v>#NAME?</v>
      </c>
      <c r="J11" s="286" t="e">
        <f aca="false">+H11+I11</f>
        <v>#NAME?</v>
      </c>
      <c r="K11" s="199"/>
      <c r="L11" s="284" t="e">
        <f aca="false">+D11-H11</f>
        <v>#NAME?</v>
      </c>
      <c r="M11" s="285" t="e">
        <f aca="false">+E11-I11</f>
        <v>#NAME?</v>
      </c>
      <c r="N11" s="286" t="e">
        <f aca="false">+L11+M11</f>
        <v>#NAME?</v>
      </c>
      <c r="O11" s="199"/>
      <c r="P11" s="222"/>
      <c r="Q11" s="222"/>
      <c r="R11" s="222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</row>
    <row r="12" customFormat="false" ht="13.5" hidden="false" customHeight="true" outlineLevel="0" collapsed="false">
      <c r="A12" s="193" t="s">
        <v>86</v>
      </c>
      <c r="B12" s="214" t="s">
        <v>25</v>
      </c>
      <c r="C12" s="199"/>
      <c r="D12" s="284" t="e">
        <f aca="false">HPVAL($A12,$A$18,$A$2,$A$5,$A$6,$A$7)</f>
        <v>#NAME?</v>
      </c>
      <c r="E12" s="285" t="e">
        <f aca="false">HPVAL($A12,$A$18,$A$3,$A$5,$A$6,$A$7)</f>
        <v>#NAME?</v>
      </c>
      <c r="F12" s="286" t="e">
        <f aca="false">+D12+E12</f>
        <v>#NAME?</v>
      </c>
      <c r="G12" s="217"/>
      <c r="H12" s="284" t="e">
        <f aca="false">HPVAL($A12,$A$1,$A$2,$A$5,$A$6,$A$7)</f>
        <v>#NAME?</v>
      </c>
      <c r="I12" s="285" t="e">
        <f aca="false">HPVAL($A12,$A$1,$A$3,$A$5,$A$6,$A$7)</f>
        <v>#NAME?</v>
      </c>
      <c r="J12" s="286" t="e">
        <f aca="false">+H12+I12</f>
        <v>#NAME?</v>
      </c>
      <c r="K12" s="199"/>
      <c r="L12" s="284" t="e">
        <f aca="false">+D12-H12</f>
        <v>#NAME?</v>
      </c>
      <c r="M12" s="285" t="e">
        <f aca="false">+E12-I12</f>
        <v>#NAME?</v>
      </c>
      <c r="N12" s="286" t="e">
        <f aca="false">+L12+M12</f>
        <v>#NAME?</v>
      </c>
      <c r="O12" s="199"/>
      <c r="P12" s="222"/>
      <c r="Q12" s="222"/>
      <c r="R12" s="222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</row>
    <row r="13" customFormat="false" ht="13.5" hidden="false" customHeight="true" outlineLevel="0" collapsed="false">
      <c r="A13" s="193" t="s">
        <v>87</v>
      </c>
      <c r="B13" s="214" t="s">
        <v>120</v>
      </c>
      <c r="C13" s="199"/>
      <c r="D13" s="284" t="e">
        <f aca="false">HPVAL($A13,$A$18,$A$2,$A$5,$A$6,$A$7)</f>
        <v>#NAME?</v>
      </c>
      <c r="E13" s="285" t="e">
        <f aca="false">HPVAL($A13,$A$18,$A$3,$A$5,$A$6,$A$7)</f>
        <v>#NAME?</v>
      </c>
      <c r="F13" s="286" t="e">
        <f aca="false">+D13+E13</f>
        <v>#NAME?</v>
      </c>
      <c r="G13" s="217"/>
      <c r="H13" s="284" t="e">
        <f aca="false">HPVAL($A13,$A$1,$A$2,$A$5,$A$6,$A$7)</f>
        <v>#NAME?</v>
      </c>
      <c r="I13" s="285" t="e">
        <f aca="false">HPVAL($A13,$A$1,$A$3,$A$5,$A$6,$A$7)</f>
        <v>#NAME?</v>
      </c>
      <c r="J13" s="286" t="e">
        <f aca="false">+H13+I13</f>
        <v>#NAME?</v>
      </c>
      <c r="K13" s="199"/>
      <c r="L13" s="284" t="e">
        <f aca="false">+D13-H13</f>
        <v>#NAME?</v>
      </c>
      <c r="M13" s="285" t="e">
        <f aca="false">+E13-I13</f>
        <v>#NAME?</v>
      </c>
      <c r="N13" s="286" t="e">
        <f aca="false">+L13+M13</f>
        <v>#NAME?</v>
      </c>
      <c r="O13" s="199"/>
      <c r="P13" s="222"/>
      <c r="Q13" s="222"/>
      <c r="R13" s="222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</row>
    <row r="14" customFormat="false" ht="13.5" hidden="false" customHeight="true" outlineLevel="0" collapsed="false">
      <c r="A14" s="193" t="s">
        <v>121</v>
      </c>
      <c r="B14" s="214" t="s">
        <v>27</v>
      </c>
      <c r="C14" s="199"/>
      <c r="D14" s="284" t="e">
        <f aca="false">HPVAL($A14,$A$18,$A$2,$A$5,$A$6,$A$7)</f>
        <v>#NAME?</v>
      </c>
      <c r="E14" s="285" t="e">
        <f aca="false">HPVAL($A14,$A$18,$A$3,$A$5,$A$6,$A$7)</f>
        <v>#NAME?</v>
      </c>
      <c r="F14" s="286" t="e">
        <f aca="false">+D14+E14</f>
        <v>#NAME?</v>
      </c>
      <c r="G14" s="217"/>
      <c r="H14" s="284" t="e">
        <f aca="false">HPVAL($A14,$A$1,$A$2,$A$5,$A$6,$A$7)</f>
        <v>#NAME?</v>
      </c>
      <c r="I14" s="285" t="e">
        <f aca="false">HPVAL($A14,$A$1,$A$3,$A$5,$A$6,$A$7)</f>
        <v>#NAME?</v>
      </c>
      <c r="J14" s="286" t="e">
        <f aca="false">+H14+I14</f>
        <v>#NAME?</v>
      </c>
      <c r="K14" s="199"/>
      <c r="L14" s="284" t="e">
        <f aca="false">+D14-H14</f>
        <v>#NAME?</v>
      </c>
      <c r="M14" s="285" t="e">
        <f aca="false">+E14-I14</f>
        <v>#NAME?</v>
      </c>
      <c r="N14" s="286" t="e">
        <f aca="false">+L14+M14</f>
        <v>#NAME?</v>
      </c>
      <c r="O14" s="199"/>
      <c r="P14" s="222"/>
      <c r="Q14" s="222"/>
      <c r="R14" s="222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</row>
    <row r="15" customFormat="false" ht="13.5" hidden="false" customHeight="true" outlineLevel="0" collapsed="false">
      <c r="A15" s="199"/>
      <c r="B15" s="214" t="s">
        <v>35</v>
      </c>
      <c r="C15" s="199"/>
      <c r="D15" s="284" t="n">
        <v>0</v>
      </c>
      <c r="E15" s="285" t="n">
        <v>0</v>
      </c>
      <c r="F15" s="286" t="n">
        <f aca="false">+D15+E15</f>
        <v>0</v>
      </c>
      <c r="G15" s="217"/>
      <c r="H15" s="284" t="n">
        <v>0</v>
      </c>
      <c r="I15" s="285" t="n">
        <v>0</v>
      </c>
      <c r="J15" s="286" t="n">
        <f aca="false">+H15+I15</f>
        <v>0</v>
      </c>
      <c r="K15" s="199"/>
      <c r="L15" s="284" t="n">
        <f aca="false">+D15-H15</f>
        <v>0</v>
      </c>
      <c r="M15" s="285" t="n">
        <f aca="false">+E15-I15</f>
        <v>0</v>
      </c>
      <c r="N15" s="286" t="n">
        <f aca="false">+L15+M15</f>
        <v>0</v>
      </c>
      <c r="O15" s="199"/>
      <c r="P15" s="222"/>
      <c r="Q15" s="222"/>
      <c r="R15" s="222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</row>
    <row r="16" customFormat="false" ht="13.5" hidden="false" customHeight="true" outlineLevel="0" collapsed="false">
      <c r="A16" s="193" t="s">
        <v>122</v>
      </c>
      <c r="B16" s="214" t="s">
        <v>98</v>
      </c>
      <c r="C16" s="199"/>
      <c r="D16" s="284" t="n">
        <v>0</v>
      </c>
      <c r="E16" s="285" t="n">
        <v>0</v>
      </c>
      <c r="F16" s="286" t="n">
        <f aca="false">+D16+E16</f>
        <v>0</v>
      </c>
      <c r="G16" s="217"/>
      <c r="H16" s="284" t="n">
        <v>0</v>
      </c>
      <c r="I16" s="285" t="n">
        <v>0</v>
      </c>
      <c r="J16" s="286" t="n">
        <f aca="false">+H16+I16</f>
        <v>0</v>
      </c>
      <c r="K16" s="199"/>
      <c r="L16" s="284" t="n">
        <f aca="false">+D16-H16</f>
        <v>0</v>
      </c>
      <c r="M16" s="285" t="n">
        <f aca="false">+E16-I16</f>
        <v>0</v>
      </c>
      <c r="N16" s="286" t="n">
        <f aca="false">+L16+M16</f>
        <v>0</v>
      </c>
      <c r="O16" s="199"/>
      <c r="P16" s="222"/>
      <c r="Q16" s="222"/>
      <c r="R16" s="222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</row>
    <row r="17" customFormat="false" ht="3" hidden="false" customHeight="true" outlineLevel="0" collapsed="false">
      <c r="A17" s="193" t="s">
        <v>122</v>
      </c>
      <c r="B17" s="214"/>
      <c r="C17" s="199"/>
      <c r="D17" s="284"/>
      <c r="E17" s="285"/>
      <c r="F17" s="286"/>
      <c r="G17" s="217"/>
      <c r="H17" s="284"/>
      <c r="I17" s="285"/>
      <c r="J17" s="286"/>
      <c r="K17" s="199"/>
      <c r="L17" s="284"/>
      <c r="M17" s="285"/>
      <c r="N17" s="286"/>
      <c r="O17" s="199"/>
      <c r="P17" s="222"/>
      <c r="Q17" s="222"/>
      <c r="R17" s="222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</row>
    <row r="18" customFormat="false" ht="11.25" hidden="false" customHeight="true" outlineLevel="0" collapsed="false">
      <c r="A18" s="193" t="s">
        <v>123</v>
      </c>
      <c r="B18" s="225" t="s">
        <v>124</v>
      </c>
      <c r="C18" s="199"/>
      <c r="D18" s="287" t="e">
        <f aca="false">SUM(D9:D17)</f>
        <v>#NAME?</v>
      </c>
      <c r="E18" s="288" t="e">
        <f aca="false">SUM(E9:E17)</f>
        <v>#NAME?</v>
      </c>
      <c r="F18" s="289" t="e">
        <f aca="false">SUM(F9:F16)</f>
        <v>#NAME?</v>
      </c>
      <c r="G18" s="217"/>
      <c r="H18" s="287" t="e">
        <f aca="false">SUM(H9:H17)</f>
        <v>#NAME?</v>
      </c>
      <c r="I18" s="288" t="e">
        <f aca="false">SUM(I9:I17)</f>
        <v>#NAME?</v>
      </c>
      <c r="J18" s="289" t="e">
        <f aca="false">SUM(J9:J16)</f>
        <v>#NAME?</v>
      </c>
      <c r="K18" s="199"/>
      <c r="L18" s="287" t="e">
        <f aca="false">SUM(L9:L17)</f>
        <v>#NAME?</v>
      </c>
      <c r="M18" s="288" t="e">
        <f aca="false">SUM(M9:M17)</f>
        <v>#NAME?</v>
      </c>
      <c r="N18" s="289" t="e">
        <f aca="false">SUM(N9:N16)</f>
        <v>#NAME?</v>
      </c>
      <c r="O18" s="199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</row>
    <row r="19" customFormat="false" ht="3" hidden="false" customHeight="true" outlineLevel="0" collapsed="false">
      <c r="A19" s="199"/>
      <c r="B19" s="235"/>
      <c r="C19" s="199"/>
      <c r="D19" s="236"/>
      <c r="E19" s="237"/>
      <c r="F19" s="238"/>
      <c r="G19" s="199"/>
      <c r="H19" s="236"/>
      <c r="I19" s="237"/>
      <c r="J19" s="238"/>
      <c r="K19" s="199"/>
      <c r="L19" s="236"/>
      <c r="M19" s="237"/>
      <c r="N19" s="238"/>
      <c r="O19" s="199"/>
      <c r="P19" s="222"/>
      <c r="Q19" s="222"/>
      <c r="R19" s="222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</row>
    <row r="20" customFormat="false" ht="12.75" hidden="false" customHeight="false" outlineLevel="0" collapsed="false"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22"/>
      <c r="Q20" s="222"/>
      <c r="R20" s="222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</row>
    <row r="21" customFormat="false" ht="12.75" hidden="false" customHeight="false" outlineLevel="0" collapsed="false"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</row>
    <row r="22" customFormat="false" ht="12.75" hidden="false" customHeight="false" outlineLevel="0" collapsed="false"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</row>
    <row r="23" customFormat="false" ht="12.75" hidden="false" customHeight="false" outlineLevel="0" collapsed="false"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</row>
    <row r="24" customFormat="false" ht="12.75" hidden="false" customHeight="false" outlineLevel="0" collapsed="false"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</row>
    <row r="25" customFormat="false" ht="12.75" hidden="false" customHeight="false" outlineLevel="0" collapsed="false"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</row>
    <row r="26" customFormat="false" ht="12.75" hidden="false" customHeight="false" outlineLevel="0" collapsed="false"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</row>
    <row r="27" customFormat="false" ht="12.75" hidden="false" customHeight="false" outlineLevel="0" collapsed="false"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</row>
    <row r="28" customFormat="false" ht="12.75" hidden="false" customHeight="false" outlineLevel="0" collapsed="false"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</row>
    <row r="29" customFormat="false" ht="12.75" hidden="false" customHeight="false" outlineLevel="0" collapsed="false"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</row>
    <row r="30" customFormat="false" ht="12.75" hidden="false" customHeight="false" outlineLevel="0" collapsed="false"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</row>
    <row r="31" customFormat="false" ht="12.75" hidden="false" customHeight="false" outlineLevel="0" collapsed="false"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</row>
    <row r="32" customFormat="false" ht="12.75" hidden="false" customHeight="false" outlineLevel="0" collapsed="false"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</row>
    <row r="33" customFormat="false" ht="12.75" hidden="false" customHeight="false" outlineLevel="0" collapsed="false"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</row>
    <row r="34" customFormat="false" ht="12.75" hidden="false" customHeight="false" outlineLevel="0" collapsed="false"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</row>
    <row r="35" customFormat="false" ht="12.75" hidden="false" customHeight="false" outlineLevel="0" collapsed="false"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</row>
    <row r="36" customFormat="false" ht="12.75" hidden="false" customHeight="false" outlineLevel="0" collapsed="false"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</row>
    <row r="37" customFormat="false" ht="12.75" hidden="false" customHeight="false" outlineLevel="0" collapsed="false"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</row>
    <row r="38" customFormat="false" ht="12.75" hidden="false" customHeight="false" outlineLevel="0" collapsed="false"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</row>
    <row r="39" customFormat="false" ht="12.75" hidden="false" customHeight="false" outlineLevel="0" collapsed="false"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</row>
    <row r="40" customFormat="false" ht="12.75" hidden="false" customHeight="false" outlineLevel="0" collapsed="false"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</row>
    <row r="41" customFormat="false" ht="12.75" hidden="false" customHeight="false" outlineLevel="0" collapsed="false"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</row>
    <row r="42" customFormat="false" ht="12.75" hidden="false" customHeight="false" outlineLevel="0" collapsed="false"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</row>
    <row r="43" customFormat="false" ht="12.75" hidden="false" customHeight="false" outlineLevel="0" collapsed="false"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</row>
    <row r="44" customFormat="false" ht="12.75" hidden="false" customHeight="false" outlineLevel="0" collapsed="false"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</row>
    <row r="45" customFormat="false" ht="12.75" hidden="false" customHeight="false" outlineLevel="0" collapsed="false"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</row>
    <row r="46" customFormat="false" ht="12.75" hidden="false" customHeight="false" outlineLevel="0" collapsed="false"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</row>
    <row r="47" customFormat="false" ht="12.75" hidden="false" customHeight="false" outlineLevel="0" collapsed="false"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</row>
    <row r="48" customFormat="false" ht="12.75" hidden="false" customHeight="false" outlineLevel="0" collapsed="false"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</row>
    <row r="49" customFormat="false" ht="12.75" hidden="false" customHeight="false" outlineLevel="0" collapsed="false"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</row>
    <row r="50" customFormat="false" ht="12.75" hidden="false" customHeight="false" outlineLevel="0" collapsed="false"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</row>
    <row r="51" customFormat="false" ht="12.75" hidden="false" customHeight="false" outlineLevel="0" collapsed="false"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</row>
    <row r="52" customFormat="false" ht="12.75" hidden="false" customHeight="false" outlineLevel="0" collapsed="false"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</row>
    <row r="53" customFormat="false" ht="12.75" hidden="false" customHeight="false" outlineLevel="0" collapsed="false"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</row>
    <row r="54" customFormat="false" ht="12.75" hidden="false" customHeight="false" outlineLevel="0" collapsed="false"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</row>
    <row r="55" customFormat="false" ht="12.75" hidden="false" customHeight="false" outlineLevel="0" collapsed="false"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</row>
    <row r="56" customFormat="false" ht="12.75" hidden="false" customHeight="false" outlineLevel="0" collapsed="false"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</row>
    <row r="57" customFormat="false" ht="12.75" hidden="false" customHeight="false" outlineLevel="0" collapsed="false"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</row>
    <row r="58" customFormat="false" ht="12.75" hidden="false" customHeight="false" outlineLevel="0" collapsed="false"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</row>
    <row r="59" customFormat="false" ht="12.75" hidden="false" customHeight="false" outlineLevel="0" collapsed="false"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</row>
    <row r="60" customFormat="false" ht="12.75" hidden="false" customHeight="false" outlineLevel="0" collapsed="false"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  <c r="AL116" s="213"/>
      <c r="AM116" s="213"/>
      <c r="AN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  <c r="AL117" s="213"/>
      <c r="AM117" s="213"/>
      <c r="AN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2001-10-22T10:29:28Z</cp:lastPrinted>
  <dcterms:modified xsi:type="dcterms:W3CDTF">2001-10-22T10:33:03Z</dcterms:modified>
  <cp:revision>0</cp:revision>
  <dc:subject/>
  <dc:title/>
</cp:coreProperties>
</file>