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YTD Mgmt Summary" sheetId="1" state="hidden" r:id="rId3"/>
    <sheet name="QTD Mgmt Summary" sheetId="2" state="visible" r:id="rId4"/>
    <sheet name="GM-WklyChnge" sheetId="3" state="hidden" r:id="rId5"/>
    <sheet name="GrossMargin" sheetId="4" state="visible" r:id="rId6"/>
    <sheet name="WeeklyExpChange" sheetId="5" state="hidden" r:id="rId7"/>
    <sheet name="Expenses" sheetId="6" state="visible" r:id="rId8"/>
    <sheet name="Cap Charge" sheetId="7" state="visible" r:id="rId9"/>
    <sheet name="YTD Mgmt Summ" sheetId="8" state="visible" r:id="rId10"/>
    <sheet name="YTD GrossMargin" sheetId="9" state="visible" r:id="rId11"/>
  </sheets>
  <externalReferences>
    <externalReference r:id="rId12"/>
    <externalReference r:id="rId13"/>
    <externalReference r:id="rId14"/>
  </externalReferences>
  <definedNames>
    <definedName function="false" hidden="false" localSheetId="6" name="_xlnm.Print_Area" vbProcedure="false">'Cap Charge'!$A$1:$K$88</definedName>
    <definedName function="false" hidden="false" localSheetId="5" name="_xlnm.Print_Area" vbProcedure="false">Expenses!$A$1:$K$91</definedName>
    <definedName function="false" hidden="false" localSheetId="2" name="_xlnm.Print_Area" vbProcedure="false">'GM-WklyChnge'!$A$1:$K$68</definedName>
    <definedName function="false" hidden="false" localSheetId="3" name="_xlnm.Print_Area" vbProcedure="false">GrossMargin!$A$1:$K$89</definedName>
    <definedName function="false" hidden="false" localSheetId="1" name="_xlnm.Print_Area" vbProcedure="false">'QTD Mgmt Summary'!$A$1:$Q$91</definedName>
    <definedName function="false" hidden="false" localSheetId="4" name="_xlnm.Print_Area" vbProcedure="false">WeeklyExpChange!$A$1:$J$87</definedName>
    <definedName function="false" hidden="false" localSheetId="8" name="_xlnm.Print_Area" vbProcedure="false">'YTD GrossMargin'!$A$1:$K$91</definedName>
    <definedName function="false" hidden="false" localSheetId="7" name="_xlnm.Print_Area" vbProcedure="false">'YTD Mgmt Summ'!$A$1:$Q$93</definedName>
    <definedName function="false" hidden="false" localSheetId="0" name="_xlnm.Print_Area" vbProcedure="false">'YTD Mgmt Summary'!$A$1:$Q$90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<sst xmlns="http://schemas.openxmlformats.org/spreadsheetml/2006/main" count="604" uniqueCount="213">
  <si>
    <t xml:space="preserve">Enron North America</t>
  </si>
  <si>
    <t xml:space="preserve">1st QTR 2001 EARNINGS ESTIMATE</t>
  </si>
  <si>
    <t xml:space="preserve">Direct &amp; </t>
  </si>
  <si>
    <t xml:space="preserve">Margin</t>
  </si>
  <si>
    <t xml:space="preserve">Operating Expenses</t>
  </si>
  <si>
    <t xml:space="preserve">Capital Charge</t>
  </si>
  <si>
    <t xml:space="preserve">EBIT</t>
  </si>
  <si>
    <t xml:space="preserve">Business Team</t>
  </si>
  <si>
    <t xml:space="preserve">Actual</t>
  </si>
  <si>
    <t xml:space="preserve">Plan</t>
  </si>
  <si>
    <t xml:space="preserve">Variance</t>
  </si>
  <si>
    <t xml:space="preserve">Forecast</t>
  </si>
  <si>
    <t xml:space="preserve">    ERCOT (Smith/Sukaly)</t>
  </si>
  <si>
    <t xml:space="preserve">    Southeast (Herndon/Pagan)</t>
  </si>
  <si>
    <t xml:space="preserve">    Midwest (Sturm/Baughman)</t>
  </si>
  <si>
    <t xml:space="preserve">    Northeast (Davis/Ader)</t>
  </si>
  <si>
    <t xml:space="preserve">    Management Book (Presto)</t>
  </si>
  <si>
    <t xml:space="preserve">    New Albany (Presto)   </t>
  </si>
  <si>
    <t xml:space="preserve">    Development (Jacoby)</t>
  </si>
  <si>
    <t xml:space="preserve">    Structuring (Aucoin)</t>
  </si>
  <si>
    <t xml:space="preserve">    Fundamentals (Will)</t>
  </si>
  <si>
    <t xml:space="preserve">  Total East Power</t>
  </si>
  <si>
    <t xml:space="preserve">    Originations (Calger)</t>
  </si>
  <si>
    <t xml:space="preserve">    QF (Calger)</t>
  </si>
  <si>
    <t xml:space="preserve">    Development (Parquet)</t>
  </si>
  <si>
    <t xml:space="preserve">    Trading (Belden)</t>
  </si>
  <si>
    <t xml:space="preserve">    Middle Market/Services (Foster/Wolfe)</t>
  </si>
  <si>
    <t xml:space="preserve">    Fundamentals (Heisenreiker)</t>
  </si>
  <si>
    <t xml:space="preserve">  Total West Power</t>
  </si>
  <si>
    <t xml:space="preserve">    West (Allen/Tycholiz)</t>
  </si>
  <si>
    <t xml:space="preserve">    Midwest (Shively/Luce)</t>
  </si>
  <si>
    <t xml:space="preserve">    East (Neal/Vickers)</t>
  </si>
  <si>
    <t xml:space="preserve">   Texas (Martin)</t>
  </si>
  <si>
    <t xml:space="preserve">   Financial (Arnold)</t>
  </si>
  <si>
    <t xml:space="preserve">   Derivatives (Lagrasta)</t>
  </si>
  <si>
    <t xml:space="preserve">   NG Structuring (McMicheal)</t>
  </si>
  <si>
    <t xml:space="preserve">   NG Fundamentals (Gaskill)</t>
  </si>
  <si>
    <t xml:space="preserve">   Management</t>
  </si>
  <si>
    <t xml:space="preserve">  Total Natural Gas</t>
  </si>
  <si>
    <t xml:space="preserve">    Natural Gas (McKay/LeDain)</t>
  </si>
  <si>
    <t xml:space="preserve">    Finance (Kitagawa)</t>
  </si>
  <si>
    <t xml:space="preserve">    Alberta Power (Zufferli/Davies)</t>
  </si>
  <si>
    <t xml:space="preserve">    Ontario Power (Devries)</t>
  </si>
  <si>
    <t xml:space="preserve">    Retail (Pope)</t>
  </si>
  <si>
    <t xml:space="preserve">    Executive (Milnthorp)</t>
  </si>
  <si>
    <t xml:space="preserve">  Total Canada </t>
  </si>
  <si>
    <t xml:space="preserve">    Upstream Executive (Mrha)</t>
  </si>
  <si>
    <t xml:space="preserve">      Compression Services (Hilgert)</t>
  </si>
  <si>
    <t xml:space="preserve">      Offshore (Byargeon)</t>
  </si>
  <si>
    <t xml:space="preserve">      Storage (Bieniawski)</t>
  </si>
  <si>
    <t xml:space="preserve">      Producer E-Commerce (Grass)</t>
  </si>
  <si>
    <t xml:space="preserve">      Wellhead Desk (Mrha)</t>
  </si>
  <si>
    <t xml:space="preserve">    Bridgeline (Mrha)</t>
  </si>
  <si>
    <t xml:space="preserve">    HPL (Redmond)</t>
  </si>
  <si>
    <t xml:space="preserve">    LT Fundamentals/Transport (Gomez)</t>
  </si>
  <si>
    <t xml:space="preserve">    Mexico (Yzaguirre)</t>
  </si>
  <si>
    <t xml:space="preserve">    Generation Investments (Duran)</t>
  </si>
  <si>
    <t xml:space="preserve">    Principal Investing (Miller)</t>
  </si>
  <si>
    <t xml:space="preserve">    Energy Capital Svcs (Thompson/Josey)</t>
  </si>
  <si>
    <t xml:space="preserve">    Corporate Development (Detmering)</t>
  </si>
  <si>
    <t xml:space="preserve">    Restructuring (Redmond)</t>
  </si>
  <si>
    <t xml:space="preserve">    Sold Peakers</t>
  </si>
  <si>
    <t xml:space="preserve">    Cross Commodity (Lavorato)</t>
  </si>
  <si>
    <t xml:space="preserve">    Office of the Chairman (Delainey/Lavorato)</t>
  </si>
  <si>
    <t xml:space="preserve">    TVA Settlement</t>
  </si>
  <si>
    <t xml:space="preserve">    Overview</t>
  </si>
  <si>
    <t xml:space="preserve">Total Commercial</t>
  </si>
  <si>
    <t xml:space="preserve">    Business Analysis &amp; Reptg (Colwell)</t>
  </si>
  <si>
    <t xml:space="preserve">    Transaction Support (Colwell)</t>
  </si>
  <si>
    <t xml:space="preserve">    Canada Support (Milnthorp)</t>
  </si>
  <si>
    <t xml:space="preserve">    Energy Operations (Beck)</t>
  </si>
  <si>
    <t xml:space="preserve">    Human Resources (Oxley)</t>
  </si>
  <si>
    <t xml:space="preserve">    Legal (Haedicke)</t>
  </si>
  <si>
    <t xml:space="preserve">    Public Relations (Thoede)</t>
  </si>
  <si>
    <t xml:space="preserve">    Tax (Douglas)</t>
  </si>
  <si>
    <t xml:space="preserve">    Research (Kaminski)</t>
  </si>
  <si>
    <t xml:space="preserve">    Competitive Analysis (Tholan)</t>
  </si>
  <si>
    <t xml:space="preserve">    Treasury (Deffner)</t>
  </si>
  <si>
    <t xml:space="preserve">    Technical Services (Redmond))</t>
  </si>
  <si>
    <t xml:space="preserve">    Information Technology (Bibi)</t>
  </si>
  <si>
    <t xml:space="preserve">    Corp Charges and Non-Allocable</t>
  </si>
  <si>
    <t xml:space="preserve">Total Group</t>
  </si>
  <si>
    <t xml:space="preserve">    Prepay Expenses</t>
  </si>
  <si>
    <t xml:space="preserve">    U.S. Drift</t>
  </si>
  <si>
    <t xml:space="preserve">    Facility Costs</t>
  </si>
  <si>
    <t xml:space="preserve">    Capital Charge Offset</t>
  </si>
  <si>
    <t xml:space="preserve">ENA EBIT</t>
  </si>
  <si>
    <t xml:space="preserve">Interest Expense/(Income)</t>
  </si>
  <si>
    <t xml:space="preserve">ENA Pre-tax Income</t>
  </si>
  <si>
    <t xml:space="preserve">Margin change from: 12/31/00</t>
  </si>
  <si>
    <t xml:space="preserve">Expense changes from: 12/31/00</t>
  </si>
  <si>
    <t xml:space="preserve">DPR Change</t>
  </si>
  <si>
    <t xml:space="preserve">Operating Expense</t>
  </si>
  <si>
    <t xml:space="preserve">MPR Change</t>
  </si>
  <si>
    <t xml:space="preserve">Commercial Expense</t>
  </si>
  <si>
    <t xml:space="preserve">Other Margin Changes</t>
  </si>
  <si>
    <t xml:space="preserve">Other</t>
  </si>
  <si>
    <t xml:space="preserve">Total Change</t>
  </si>
  <si>
    <t xml:space="preserve">Prior Day:</t>
  </si>
  <si>
    <t xml:space="preserve">Current Day:</t>
  </si>
  <si>
    <t xml:space="preserve">Change:</t>
  </si>
  <si>
    <t xml:space="preserve">3rd QTR 2001 EARNINGS ESTIMATE</t>
  </si>
  <si>
    <t xml:space="preserve"> </t>
  </si>
  <si>
    <t xml:space="preserve">Results based on activity through Aug 3, 2001</t>
  </si>
  <si>
    <t xml:space="preserve">Capital</t>
  </si>
  <si>
    <t xml:space="preserve">Charge</t>
  </si>
  <si>
    <t xml:space="preserve">Norteast Trading (Davis)</t>
  </si>
  <si>
    <t xml:space="preserve">Northeast Origination (Llodia)</t>
  </si>
  <si>
    <t xml:space="preserve">Midwest Trading (Sturm/Baughman)</t>
  </si>
  <si>
    <t xml:space="preserve">Midwest Origination (Sturm/Baughman)</t>
  </si>
  <si>
    <t xml:space="preserve">Southeast Trading (Herndon/Kroll) </t>
  </si>
  <si>
    <t xml:space="preserve">Southeast Orig (Herndon/Kroll) </t>
  </si>
  <si>
    <t xml:space="preserve">ERCOT Trading (Smith/Corry)</t>
  </si>
  <si>
    <t xml:space="preserve">ERCOT Orig (Smith/Corry)</t>
  </si>
  <si>
    <t xml:space="preserve">Options (Arora)</t>
  </si>
  <si>
    <t xml:space="preserve">Management  Book (Presto)</t>
  </si>
  <si>
    <t xml:space="preserve">Services (Will)</t>
  </si>
  <si>
    <t xml:space="preserve">Development (Jacoby)</t>
  </si>
  <si>
    <t xml:space="preserve">Generation Investments (Duran)</t>
  </si>
  <si>
    <t xml:space="preserve">Structuring/Fundamentals (Meyn/Will)</t>
  </si>
  <si>
    <t xml:space="preserve">Trading (Belden)</t>
  </si>
  <si>
    <t xml:space="preserve">Services (Foster/Wolfe)</t>
  </si>
  <si>
    <t xml:space="preserve">Middle Market Originations (Foster)</t>
  </si>
  <si>
    <t xml:space="preserve">Orginations (Thomas/McDonald)</t>
  </si>
  <si>
    <t xml:space="preserve">Fixed capital charge allocation per Chris Calger</t>
  </si>
  <si>
    <t xml:space="preserve">Executive (Calger)</t>
  </si>
  <si>
    <t xml:space="preserve">Generation (Parquet)</t>
  </si>
  <si>
    <t xml:space="preserve">Higher Las Vegas Cogen Equity &amp; Commodity balance than planned</t>
  </si>
  <si>
    <t xml:space="preserve">Fundamentals (Heizenreiker)</t>
  </si>
  <si>
    <t xml:space="preserve">East Trading (Neal)</t>
  </si>
  <si>
    <t xml:space="preserve">Gas inventory lower than planned</t>
  </si>
  <si>
    <t xml:space="preserve">East Origination (Vickors)</t>
  </si>
  <si>
    <t xml:space="preserve">Central Trading (Shively)</t>
  </si>
  <si>
    <t xml:space="preserve">Gas inventory higher than planned</t>
  </si>
  <si>
    <t xml:space="preserve">Central Origination (Luce)</t>
  </si>
  <si>
    <t xml:space="preserve">Texas Trading (Martin)</t>
  </si>
  <si>
    <t xml:space="preserve">Texas Origination (Redmond)</t>
  </si>
  <si>
    <t xml:space="preserve">West Trading (Allen)</t>
  </si>
  <si>
    <t xml:space="preserve">West Origination (Tycholiz)</t>
  </si>
  <si>
    <t xml:space="preserve">Financial Gas (Arnold)</t>
  </si>
  <si>
    <t xml:space="preserve">Derivative (Lagrasta)</t>
  </si>
  <si>
    <t xml:space="preserve">NG Structuring (McMichael)</t>
  </si>
  <si>
    <t xml:space="preserve">NG Fundamentals (Gaskill)</t>
  </si>
  <si>
    <t xml:space="preserve">Management</t>
  </si>
  <si>
    <t xml:space="preserve">Natural Gas Trading (Zufferli)</t>
  </si>
  <si>
    <t xml:space="preserve">Natural Gas Origination (LeDain)</t>
  </si>
  <si>
    <t xml:space="preserve">Finance (Kitagawa)</t>
  </si>
  <si>
    <t xml:space="preserve">2 ABB 11n1 turbines not planned</t>
  </si>
  <si>
    <t xml:space="preserve">Alberta Power (Zufferli/Davies)</t>
  </si>
  <si>
    <t xml:space="preserve">Ontario Power (Devries)</t>
  </si>
  <si>
    <t xml:space="preserve">Executive (Milnthorp)</t>
  </si>
  <si>
    <t xml:space="preserve">Upstream Products (Mrha)</t>
  </si>
  <si>
    <t xml:space="preserve">Bridgeline (Redmond)</t>
  </si>
  <si>
    <t xml:space="preserve">HPL (Redmond)</t>
  </si>
  <si>
    <t xml:space="preserve">Mexico (Irvin/Williams)</t>
  </si>
  <si>
    <t xml:space="preserve">TexMex</t>
  </si>
  <si>
    <t xml:space="preserve">Energy Capital Svcs (Thompson/Josey)</t>
  </si>
  <si>
    <t xml:space="preserve">Plan assumes new deals that have not materialized thus far</t>
  </si>
  <si>
    <t xml:space="preserve">Mariner</t>
  </si>
  <si>
    <t xml:space="preserve">Plan assuemes 3Q Marnier monetization</t>
  </si>
  <si>
    <t xml:space="preserve">Asset Marketing (D. Miller)</t>
  </si>
  <si>
    <t xml:space="preserve">Sold Peakers</t>
  </si>
  <si>
    <t xml:space="preserve">Cross Commodity (Lavorato)</t>
  </si>
  <si>
    <t xml:space="preserve">Office of the Chairman (Lavorato/Kitchen)</t>
  </si>
  <si>
    <t xml:space="preserve">TVA Settlement</t>
  </si>
  <si>
    <t xml:space="preserve">Other *</t>
  </si>
  <si>
    <t xml:space="preserve">June true up adjustment</t>
  </si>
  <si>
    <t xml:space="preserve">Prepay Expenses</t>
  </si>
  <si>
    <t xml:space="preserve">U.S. Drift</t>
  </si>
  <si>
    <t xml:space="preserve">Facility Costs</t>
  </si>
  <si>
    <t xml:space="preserve">Capital Charge Offset</t>
  </si>
  <si>
    <t xml:space="preserve">North America EBIT</t>
  </si>
  <si>
    <t xml:space="preserve">North America Pre-tax Income</t>
  </si>
  <si>
    <t xml:space="preserve">* LT Fundamentals, Special Assets</t>
  </si>
  <si>
    <t xml:space="preserve">ENRON NORTH AMERICA</t>
  </si>
  <si>
    <t xml:space="preserve">1st QUARTER 2001 DETAIL OF GROSS MARGIN</t>
  </si>
  <si>
    <t xml:space="preserve">DAILY CHANGE </t>
  </si>
  <si>
    <t xml:space="preserve">Deals</t>
  </si>
  <si>
    <t xml:space="preserve">Total</t>
  </si>
  <si>
    <r>
      <rPr>
        <b val="true"/>
        <sz val="8"/>
        <rFont val="Arial Narrow"/>
        <family val="2"/>
      </rPr>
      <t xml:space="preserve">DPR</t>
    </r>
    <r>
      <rPr>
        <b val="true"/>
        <vertAlign val="superscript"/>
        <sz val="8"/>
        <rFont val="Arial Narrow"/>
        <family val="2"/>
      </rPr>
      <t xml:space="preserve">(1)</t>
    </r>
  </si>
  <si>
    <t xml:space="preserve">MPR</t>
  </si>
  <si>
    <t xml:space="preserve">Accruals</t>
  </si>
  <si>
    <t xml:space="preserve">FTA</t>
  </si>
  <si>
    <t xml:space="preserve">Identified</t>
  </si>
  <si>
    <t xml:space="preserve">(1) Excludes Cap. Charge &amp; Operating Costs</t>
  </si>
  <si>
    <t xml:space="preserve">3rd Quarter 2001 Detail of Gross Margin</t>
  </si>
  <si>
    <t xml:space="preserve">Margin Detail</t>
  </si>
  <si>
    <t xml:space="preserve">Trading</t>
  </si>
  <si>
    <t xml:space="preserve">Mid Mkt</t>
  </si>
  <si>
    <t xml:space="preserve">Origination</t>
  </si>
  <si>
    <t xml:space="preserve">North America Margin</t>
  </si>
  <si>
    <t xml:space="preserve">1st QUARTER 2001 EXPENSES - WEEKLY CHANGE</t>
  </si>
  <si>
    <t xml:space="preserve">Direct Expenses</t>
  </si>
  <si>
    <t xml:space="preserve">Variance Explanation</t>
  </si>
  <si>
    <t xml:space="preserve">    Other Interest Related</t>
  </si>
  <si>
    <t xml:space="preserve">    Capital Charge Offset/Facility Costs</t>
  </si>
  <si>
    <t xml:space="preserve">TOTAL</t>
  </si>
  <si>
    <t xml:space="preserve">3rd Quarter 2001 Detail of Expenses</t>
  </si>
  <si>
    <t xml:space="preserve">Variance Explanations</t>
  </si>
  <si>
    <t xml:space="preserve">North America Expenses</t>
  </si>
  <si>
    <t xml:space="preserve">3rd Quarter 2001 Detail of Capital Charge</t>
  </si>
  <si>
    <t xml:space="preserve">Capaital Charge</t>
  </si>
  <si>
    <t xml:space="preserve">AIG and 50% Tex Mex capital charge</t>
  </si>
  <si>
    <t xml:space="preserve">MEGS reclassed to Energy Capital Services</t>
  </si>
  <si>
    <t xml:space="preserve">North America Cap Charge</t>
  </si>
  <si>
    <t xml:space="preserve">YTD 2001 EARNINGS ESTIMATE</t>
  </si>
  <si>
    <t xml:space="preserve">Middle Market Originations</t>
  </si>
  <si>
    <t xml:space="preserve">Upstream Executive (Mrha)</t>
  </si>
  <si>
    <t xml:space="preserve">Bridgeline (Mrha)</t>
  </si>
  <si>
    <t xml:space="preserve">Asset Marketing (Miller)</t>
  </si>
  <si>
    <t xml:space="preserve">Principal Investing (Miller)</t>
  </si>
  <si>
    <t xml:space="preserve">Corporate Development (Detmering)</t>
  </si>
  <si>
    <t xml:space="preserve">YTD 2001 Detail of Gross Margin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</si>
</sst>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\ d&quot;, &quot;yyyy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_(* #,##0_);_(* \(#,##0\);_(* \-??_);_(@_)"/>
    <numFmt numFmtId="170" formatCode="_(* #,##0_);_(* \(#,##0\);_(* \-_);_(@_)"/>
    <numFmt numFmtId="171" formatCode="mm/dd/yy"/>
    <numFmt numFmtId="172" formatCode="_(\$* #,##0_);_(\$* \(#,##0\);_(\$* \-_);_(@_)"/>
    <numFmt numFmtId="173" formatCode="@"/>
  </numFmts>
  <fonts count="3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b val="true"/>
      <sz val="12"/>
      <color rgb="FF000000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000000"/>
      <name val="Arial Narrow"/>
      <family val="2"/>
    </font>
    <font>
      <b val="true"/>
      <sz val="10"/>
      <color rgb="FF000000"/>
      <name val="Arial"/>
      <family val="2"/>
    </font>
    <font>
      <b val="true"/>
      <sz val="10"/>
      <color rgb="FF000000"/>
      <name val="Arial Narrow"/>
      <family val="2"/>
    </font>
    <font>
      <sz val="8"/>
      <color rgb="FFFF0000"/>
      <name val="Arial Narrow"/>
      <family val="2"/>
    </font>
    <font>
      <b val="true"/>
      <sz val="10"/>
      <color rgb="FF0000FF"/>
      <name val="Arial Narrow"/>
      <family val="2"/>
    </font>
    <font>
      <b val="true"/>
      <sz val="8"/>
      <color rgb="FF0000FF"/>
      <name val="Arial Narrow"/>
      <family val="2"/>
    </font>
    <font>
      <b val="true"/>
      <i val="true"/>
      <sz val="8"/>
      <name val="Arial Narrow"/>
      <family val="2"/>
    </font>
    <font>
      <b val="true"/>
      <sz val="8"/>
      <name val="Arial Narrow"/>
      <family val="2"/>
    </font>
    <font>
      <b val="true"/>
      <sz val="9"/>
      <color rgb="FF0000FF"/>
      <name val="Arial Narrow"/>
      <family val="2"/>
    </font>
    <font>
      <b val="true"/>
      <sz val="9"/>
      <name val="Arial Narrow"/>
      <family val="2"/>
    </font>
    <font>
      <sz val="9"/>
      <name val="Arial Narrow"/>
      <family val="2"/>
    </font>
    <font>
      <b val="true"/>
      <sz val="10"/>
      <name val="Arial Narrow"/>
      <family val="2"/>
    </font>
    <font>
      <b val="true"/>
      <sz val="12"/>
      <color rgb="FFFFFFFF"/>
      <name val="Arial Narrow"/>
      <family val="2"/>
    </font>
    <font>
      <b val="true"/>
      <sz val="11"/>
      <color rgb="FFFFFFFF"/>
      <name val="Arial Narrow"/>
      <family val="2"/>
    </font>
    <font>
      <b val="true"/>
      <sz val="10"/>
      <color rgb="FFFFFFFF"/>
      <name val="Arial Narrow"/>
      <family val="2"/>
    </font>
    <font>
      <b val="true"/>
      <vertAlign val="superscript"/>
      <sz val="8"/>
      <name val="Arial Narrow"/>
      <family val="2"/>
    </font>
    <font>
      <i val="true"/>
      <sz val="8"/>
      <name val="Arial Narrow"/>
      <family val="2"/>
    </font>
    <font>
      <b val="true"/>
      <i val="true"/>
      <sz val="8"/>
      <color rgb="FFFFFFFF"/>
      <name val="Arial Narrow"/>
      <family val="2"/>
    </font>
    <font>
      <b val="true"/>
      <sz val="10"/>
      <name val="Arial"/>
      <family val="2"/>
    </font>
    <font>
      <b val="true"/>
      <sz val="12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FFFFFF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0000"/>
        <bgColor rgb="FF00330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ck"/>
      <top style="medium"/>
      <bottom/>
      <diagonal/>
    </border>
    <border diagonalUp="false" diagonalDown="false">
      <left style="thin"/>
      <right style="thick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3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3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3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3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3" borderId="1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3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3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8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4" fillId="0" borderId="2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3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18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19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3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7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18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6" fillId="0" borderId="1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3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0" borderId="7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0" borderId="18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3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2" borderId="2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8" fillId="3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7" fillId="2" borderId="2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2" borderId="2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2" borderId="2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8" fillId="3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2" borderId="24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17" fillId="2" borderId="25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17" fillId="2" borderId="27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17" fillId="3" borderId="28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17" fillId="2" borderId="26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18" fillId="3" borderId="0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2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2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8" fillId="3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7" fillId="2" borderId="3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7" fillId="2" borderId="3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7" fillId="2" borderId="3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8" fillId="3" borderId="3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7" fillId="2" borderId="30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7" fillId="2" borderId="31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7" fillId="3" borderId="33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7" fillId="2" borderId="32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18" fillId="3" borderId="33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2" borderId="3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2" borderId="2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2" borderId="2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36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3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3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38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0" fillId="2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2" borderId="2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20" fillId="2" borderId="28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20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20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2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2" fontId="20" fillId="0" borderId="4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2" fontId="20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20" fillId="0" borderId="0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7" fontId="20" fillId="0" borderId="4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8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2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3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4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45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4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29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0" borderId="4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9" fontId="4" fillId="0" borderId="22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0" borderId="4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4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46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0" borderId="47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0" borderId="1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8" fillId="3" borderId="3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7" fillId="2" borderId="4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2" borderId="3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2" borderId="3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2" borderId="30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17" fillId="2" borderId="31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17" fillId="2" borderId="32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17" fillId="2" borderId="15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17" fillId="2" borderId="16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4" fillId="0" borderId="2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4" fillId="0" borderId="4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4" fillId="0" borderId="5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0" borderId="19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4" fillId="0" borderId="7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4" fillId="0" borderId="1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4" fillId="0" borderId="14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4" fillId="0" borderId="15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4" fillId="0" borderId="16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2" borderId="5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8" fillId="3" borderId="4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3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3" borderId="42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4" fillId="0" borderId="18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4" fillId="0" borderId="19" xfId="1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3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7" fillId="2" borderId="42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3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7" xfId="1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4" fillId="0" borderId="18" xfId="1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2" borderId="3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2" borderId="3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8" fillId="3" borderId="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2" borderId="5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16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7" fillId="2" borderId="14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7" fillId="2" borderId="15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7" fillId="2" borderId="16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2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3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5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5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2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2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2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2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5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3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2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2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2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2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9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6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2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2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2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0" borderId="1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2" borderId="33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17" fillId="2" borderId="43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4" fillId="0" borderId="0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4" fillId="0" borderId="22" xfId="1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0" fontId="4" fillId="0" borderId="7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4" fillId="0" borderId="0" xfId="1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2" borderId="4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22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5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7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57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3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3" fillId="2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7" fillId="2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2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2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3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2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4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4" fillId="0" borderId="1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4" fillId="0" borderId="6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3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9" fontId="4" fillId="0" borderId="7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2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7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6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7" fillId="2" borderId="3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7" fillId="2" borderId="4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7" fillId="2" borderId="33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7" fillId="2" borderId="43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3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2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4" fillId="0" borderId="6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0" fontId="4" fillId="0" borderId="13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4" fillId="0" borderId="9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4" fillId="2" borderId="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3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2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3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3" borderId="5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2" borderId="5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7" fillId="2" borderId="5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48" xfId="15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externalLink" Target="externalLinks/externalLink3.xml"/><Relationship Id="rId1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9000</xdr:colOff>
      <xdr:row>0</xdr:row>
      <xdr:rowOff>47880</xdr:rowOff>
    </xdr:from>
    <xdr:to>
      <xdr:col>5</xdr:col>
      <xdr:colOff>39600</xdr:colOff>
      <xdr:row>0</xdr:row>
      <xdr:rowOff>47880</xdr:rowOff>
    </xdr:to>
    <xdr:sp>
      <xdr:nvSpPr>
        <xdr:cNvPr id="0" name="Line 2"/>
        <xdr:cNvSpPr/>
      </xdr:nvSpPr>
      <xdr:spPr>
        <a:xfrm flipH="1">
          <a:off x="9000" y="47880"/>
          <a:ext cx="4074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-360</xdr:colOff>
      <xdr:row>3</xdr:row>
      <xdr:rowOff>114480</xdr:rowOff>
    </xdr:from>
    <xdr:to>
      <xdr:col>16</xdr:col>
      <xdr:colOff>603360</xdr:colOff>
      <xdr:row>3</xdr:row>
      <xdr:rowOff>114480</xdr:rowOff>
    </xdr:to>
    <xdr:sp>
      <xdr:nvSpPr>
        <xdr:cNvPr id="1" name="Line 3"/>
        <xdr:cNvSpPr/>
      </xdr:nvSpPr>
      <xdr:spPr>
        <a:xfrm flipH="1">
          <a:off x="2604960" y="812520"/>
          <a:ext cx="70484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-360</xdr:colOff>
      <xdr:row>3</xdr:row>
      <xdr:rowOff>114480</xdr:rowOff>
    </xdr:from>
    <xdr:to>
      <xdr:col>16</xdr:col>
      <xdr:colOff>603360</xdr:colOff>
      <xdr:row>3</xdr:row>
      <xdr:rowOff>114480</xdr:rowOff>
    </xdr:to>
    <xdr:sp>
      <xdr:nvSpPr>
        <xdr:cNvPr id="2" name="Line 6"/>
        <xdr:cNvSpPr/>
      </xdr:nvSpPr>
      <xdr:spPr>
        <a:xfrm flipH="1">
          <a:off x="2604960" y="812520"/>
          <a:ext cx="70484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9720</xdr:colOff>
      <xdr:row>0</xdr:row>
      <xdr:rowOff>47880</xdr:rowOff>
    </xdr:from>
    <xdr:to>
      <xdr:col>5</xdr:col>
      <xdr:colOff>39600</xdr:colOff>
      <xdr:row>0</xdr:row>
      <xdr:rowOff>47880</xdr:rowOff>
    </xdr:to>
    <xdr:sp>
      <xdr:nvSpPr>
        <xdr:cNvPr id="3" name="Line 2"/>
        <xdr:cNvSpPr/>
      </xdr:nvSpPr>
      <xdr:spPr>
        <a:xfrm flipH="1">
          <a:off x="9720" y="47880"/>
          <a:ext cx="4074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4</xdr:row>
      <xdr:rowOff>114480</xdr:rowOff>
    </xdr:from>
    <xdr:to>
      <xdr:col>16</xdr:col>
      <xdr:colOff>603720</xdr:colOff>
      <xdr:row>4</xdr:row>
      <xdr:rowOff>114480</xdr:rowOff>
    </xdr:to>
    <xdr:sp>
      <xdr:nvSpPr>
        <xdr:cNvPr id="4" name="Line 3"/>
        <xdr:cNvSpPr/>
      </xdr:nvSpPr>
      <xdr:spPr>
        <a:xfrm flipH="1">
          <a:off x="2716560" y="1012320"/>
          <a:ext cx="70992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361800</xdr:colOff>
      <xdr:row>0</xdr:row>
      <xdr:rowOff>76680</xdr:rowOff>
    </xdr:from>
    <xdr:to>
      <xdr:col>10</xdr:col>
      <xdr:colOff>543240</xdr:colOff>
      <xdr:row>2</xdr:row>
      <xdr:rowOff>38160</xdr:rowOff>
    </xdr:to>
    <xdr:sp>
      <xdr:nvSpPr>
        <xdr:cNvPr id="5" name="Text 1"/>
        <xdr:cNvSpPr/>
      </xdr:nvSpPr>
      <xdr:spPr>
        <a:xfrm>
          <a:off x="5542200" y="76680"/>
          <a:ext cx="202176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9720</xdr:colOff>
      <xdr:row>0</xdr:row>
      <xdr:rowOff>28800</xdr:rowOff>
    </xdr:from>
    <xdr:to>
      <xdr:col>7</xdr:col>
      <xdr:colOff>281520</xdr:colOff>
      <xdr:row>0</xdr:row>
      <xdr:rowOff>47880</xdr:rowOff>
    </xdr:to>
    <xdr:sp>
      <xdr:nvSpPr>
        <xdr:cNvPr id="6" name="Line 2"/>
        <xdr:cNvSpPr/>
      </xdr:nvSpPr>
      <xdr:spPr>
        <a:xfrm flipH="1">
          <a:off x="9720" y="28800"/>
          <a:ext cx="5533560" cy="1908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50400</xdr:colOff>
      <xdr:row>4</xdr:row>
      <xdr:rowOff>105120</xdr:rowOff>
    </xdr:from>
    <xdr:to>
      <xdr:col>10</xdr:col>
      <xdr:colOff>584280</xdr:colOff>
      <xdr:row>4</xdr:row>
      <xdr:rowOff>123480</xdr:rowOff>
    </xdr:to>
    <xdr:sp>
      <xdr:nvSpPr>
        <xdr:cNvPr id="7" name="Line 5"/>
        <xdr:cNvSpPr/>
      </xdr:nvSpPr>
      <xdr:spPr>
        <a:xfrm flipH="1">
          <a:off x="2153520" y="1002960"/>
          <a:ext cx="5532480" cy="1836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9720</xdr:colOff>
      <xdr:row>0</xdr:row>
      <xdr:rowOff>66240</xdr:rowOff>
    </xdr:from>
    <xdr:to>
      <xdr:col>9</xdr:col>
      <xdr:colOff>996480</xdr:colOff>
      <xdr:row>2</xdr:row>
      <xdr:rowOff>47520</xdr:rowOff>
    </xdr:to>
    <xdr:sp>
      <xdr:nvSpPr>
        <xdr:cNvPr id="8" name="Text 1"/>
        <xdr:cNvSpPr/>
      </xdr:nvSpPr>
      <xdr:spPr>
        <a:xfrm>
          <a:off x="6462000" y="66240"/>
          <a:ext cx="198288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0</xdr:row>
      <xdr:rowOff>66240</xdr:rowOff>
    </xdr:from>
    <xdr:to>
      <xdr:col>9</xdr:col>
      <xdr:colOff>996480</xdr:colOff>
      <xdr:row>2</xdr:row>
      <xdr:rowOff>47520</xdr:rowOff>
    </xdr:to>
    <xdr:sp>
      <xdr:nvSpPr>
        <xdr:cNvPr id="9" name="Text 2"/>
        <xdr:cNvSpPr/>
      </xdr:nvSpPr>
      <xdr:spPr>
        <a:xfrm>
          <a:off x="6462000" y="66240"/>
          <a:ext cx="198288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9720</xdr:colOff>
      <xdr:row>0</xdr:row>
      <xdr:rowOff>28800</xdr:rowOff>
    </xdr:from>
    <xdr:to>
      <xdr:col>7</xdr:col>
      <xdr:colOff>281520</xdr:colOff>
      <xdr:row>0</xdr:row>
      <xdr:rowOff>47880</xdr:rowOff>
    </xdr:to>
    <xdr:sp>
      <xdr:nvSpPr>
        <xdr:cNvPr id="10" name="Line 2"/>
        <xdr:cNvSpPr/>
      </xdr:nvSpPr>
      <xdr:spPr>
        <a:xfrm flipH="1">
          <a:off x="9720" y="28800"/>
          <a:ext cx="5533560" cy="1908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50040</xdr:colOff>
      <xdr:row>4</xdr:row>
      <xdr:rowOff>105120</xdr:rowOff>
    </xdr:from>
    <xdr:to>
      <xdr:col>10</xdr:col>
      <xdr:colOff>585720</xdr:colOff>
      <xdr:row>4</xdr:row>
      <xdr:rowOff>123480</xdr:rowOff>
    </xdr:to>
    <xdr:sp>
      <xdr:nvSpPr>
        <xdr:cNvPr id="11" name="Line 4"/>
        <xdr:cNvSpPr/>
      </xdr:nvSpPr>
      <xdr:spPr>
        <a:xfrm flipH="1">
          <a:off x="2153160" y="1002960"/>
          <a:ext cx="5534280" cy="1836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9720</xdr:colOff>
      <xdr:row>0</xdr:row>
      <xdr:rowOff>28800</xdr:rowOff>
    </xdr:from>
    <xdr:to>
      <xdr:col>7</xdr:col>
      <xdr:colOff>281520</xdr:colOff>
      <xdr:row>0</xdr:row>
      <xdr:rowOff>47880</xdr:rowOff>
    </xdr:to>
    <xdr:sp>
      <xdr:nvSpPr>
        <xdr:cNvPr id="12" name="Line 2"/>
        <xdr:cNvSpPr/>
      </xdr:nvSpPr>
      <xdr:spPr>
        <a:xfrm flipH="1">
          <a:off x="9720" y="28800"/>
          <a:ext cx="5533560" cy="1908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50040</xdr:colOff>
      <xdr:row>4</xdr:row>
      <xdr:rowOff>105120</xdr:rowOff>
    </xdr:from>
    <xdr:to>
      <xdr:col>10</xdr:col>
      <xdr:colOff>585720</xdr:colOff>
      <xdr:row>4</xdr:row>
      <xdr:rowOff>123480</xdr:rowOff>
    </xdr:to>
    <xdr:sp>
      <xdr:nvSpPr>
        <xdr:cNvPr id="13" name="Line 4"/>
        <xdr:cNvSpPr/>
      </xdr:nvSpPr>
      <xdr:spPr>
        <a:xfrm flipH="1">
          <a:off x="2153160" y="1002960"/>
          <a:ext cx="5534280" cy="1836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9720</xdr:colOff>
      <xdr:row>0</xdr:row>
      <xdr:rowOff>47880</xdr:rowOff>
    </xdr:from>
    <xdr:to>
      <xdr:col>5</xdr:col>
      <xdr:colOff>39600</xdr:colOff>
      <xdr:row>0</xdr:row>
      <xdr:rowOff>47880</xdr:rowOff>
    </xdr:to>
    <xdr:sp>
      <xdr:nvSpPr>
        <xdr:cNvPr id="14" name="Line 2"/>
        <xdr:cNvSpPr/>
      </xdr:nvSpPr>
      <xdr:spPr>
        <a:xfrm flipH="1">
          <a:off x="9720" y="47880"/>
          <a:ext cx="4074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4</xdr:row>
      <xdr:rowOff>114480</xdr:rowOff>
    </xdr:from>
    <xdr:to>
      <xdr:col>16</xdr:col>
      <xdr:colOff>603720</xdr:colOff>
      <xdr:row>4</xdr:row>
      <xdr:rowOff>114480</xdr:rowOff>
    </xdr:to>
    <xdr:sp>
      <xdr:nvSpPr>
        <xdr:cNvPr id="15" name="Line 3"/>
        <xdr:cNvSpPr/>
      </xdr:nvSpPr>
      <xdr:spPr>
        <a:xfrm flipH="1">
          <a:off x="2716560" y="1012320"/>
          <a:ext cx="70992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9720</xdr:colOff>
      <xdr:row>0</xdr:row>
      <xdr:rowOff>28800</xdr:rowOff>
    </xdr:from>
    <xdr:to>
      <xdr:col>7</xdr:col>
      <xdr:colOff>281520</xdr:colOff>
      <xdr:row>0</xdr:row>
      <xdr:rowOff>47880</xdr:rowOff>
    </xdr:to>
    <xdr:sp>
      <xdr:nvSpPr>
        <xdr:cNvPr id="16" name="Line 2"/>
        <xdr:cNvSpPr/>
      </xdr:nvSpPr>
      <xdr:spPr>
        <a:xfrm flipH="1">
          <a:off x="9720" y="28800"/>
          <a:ext cx="5533560" cy="1908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50400</xdr:colOff>
      <xdr:row>4</xdr:row>
      <xdr:rowOff>105120</xdr:rowOff>
    </xdr:from>
    <xdr:to>
      <xdr:col>10</xdr:col>
      <xdr:colOff>584280</xdr:colOff>
      <xdr:row>4</xdr:row>
      <xdr:rowOff>123480</xdr:rowOff>
    </xdr:to>
    <xdr:sp>
      <xdr:nvSpPr>
        <xdr:cNvPr id="17" name="Line 4"/>
        <xdr:cNvSpPr/>
      </xdr:nvSpPr>
      <xdr:spPr>
        <a:xfrm flipH="1">
          <a:off x="2153520" y="1002960"/>
          <a:ext cx="5532480" cy="1836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CONSOL/Mgmt%20Summary/2000/4Q%202000/MgmtSum-Q4_1227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CONSOL/Mgmt%20Summary/2000/4Q%202000/MgmtSum-Q4_1223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CONSOL/Mgmt%20Summary/2001/2Q%202001/canad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1 Mgmt Summary"/>
      <sheetName val="YTD"/>
      <sheetName val="Sept YTD"/>
      <sheetName val="QTD Mgmt Summary"/>
      <sheetName val="Greensheet"/>
      <sheetName val="Old Mgmt Summary"/>
      <sheetName val="Summary YTD"/>
      <sheetName val="Summary YTD-Qtr"/>
      <sheetName val="GM-WklyChnge"/>
      <sheetName val="GrossMargin"/>
      <sheetName val="Expenses"/>
      <sheetName val="Expense Weekly Change"/>
      <sheetName val="CapChrg-AllocExp"/>
      <sheetName val="Headcou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1 Mgmt Summary"/>
      <sheetName val="YTD"/>
      <sheetName val="Sept YTD"/>
      <sheetName val="QTD Mgmt Summary"/>
      <sheetName val="Greensheet"/>
      <sheetName val="Old Mgmt Summary"/>
      <sheetName val="Summary YTD"/>
      <sheetName val="Summary YTD-Qtr"/>
      <sheetName val="GM-WklyChnge"/>
      <sheetName val="GrossMargin"/>
      <sheetName val="Expenses"/>
      <sheetName val="Expense Weekly Change"/>
      <sheetName val="CapChrg-AllocExp"/>
      <sheetName val="Headcou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rossMargin"/>
      <sheetName val="orig"/>
      <sheetName val="MPR &amp; Accruals"/>
      <sheetName val="other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7.42"/>
    <col collapsed="false" customWidth="true" hidden="false" outlineLevel="0" max="2" min="2" style="1" width="0.85"/>
    <col collapsed="false" customWidth="true" hidden="false" outlineLevel="0" max="4" min="3" style="1" width="8.7"/>
    <col collapsed="false" customWidth="true" hidden="false" outlineLevel="0" max="5" min="5" style="1" width="11.7"/>
    <col collapsed="false" customWidth="true" hidden="false" outlineLevel="0" max="6" min="6" style="1" width="0.85"/>
    <col collapsed="false" customWidth="true" hidden="false" outlineLevel="0" max="9" min="7" style="2" width="8.7"/>
    <col collapsed="false" customWidth="true" hidden="false" outlineLevel="0" max="10" min="10" style="2" width="1.13"/>
    <col collapsed="false" customWidth="true" hidden="false" outlineLevel="0" max="12" min="11" style="2" width="8.7"/>
    <col collapsed="false" customWidth="true" hidden="false" outlineLevel="0" max="13" min="13" style="2" width="7.28"/>
    <col collapsed="false" customWidth="true" hidden="false" outlineLevel="0" max="14" min="14" style="2" width="0.85"/>
    <col collapsed="false" customWidth="true" hidden="false" outlineLevel="0" max="17" min="15" style="2" width="8.7"/>
    <col collapsed="false" customWidth="true" hidden="false" outlineLevel="0" max="18" min="18" style="1" width="0.85"/>
    <col collapsed="false" customWidth="true" hidden="false" outlineLevel="0" max="19" min="19" style="1" width="8.7"/>
    <col collapsed="false" customWidth="true" hidden="false" outlineLevel="0" max="23" min="20" style="1" width="7.7"/>
    <col collapsed="false" customWidth="true" hidden="false" outlineLevel="0" max="25" min="24" style="1" width="8.7"/>
    <col collapsed="false" customWidth="true" hidden="false" outlineLevel="0" max="26" min="26" style="1" width="0.85"/>
    <col collapsed="false" customWidth="false" hidden="false" outlineLevel="0" max="257" min="27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0"/>
      <c r="S1" s="0"/>
      <c r="T1" s="0"/>
      <c r="U1" s="0"/>
      <c r="V1" s="0"/>
      <c r="W1" s="0"/>
      <c r="X1" s="0"/>
      <c r="Y1" s="0"/>
      <c r="Z1" s="4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29.25" hidden="false" customHeight="true" outlineLevel="0" collapsed="false">
      <c r="A2" s="6" t="s">
        <v>0</v>
      </c>
      <c r="B2" s="7"/>
      <c r="C2" s="7"/>
      <c r="D2" s="7"/>
      <c r="E2" s="7"/>
      <c r="F2" s="7"/>
      <c r="G2" s="3"/>
      <c r="H2" s="3"/>
      <c r="I2" s="3"/>
      <c r="J2" s="3"/>
      <c r="K2" s="3"/>
      <c r="L2" s="3"/>
      <c r="M2" s="3"/>
      <c r="N2" s="3"/>
      <c r="O2" s="3"/>
      <c r="P2" s="3"/>
      <c r="Q2" s="8" t="s">
        <v>1</v>
      </c>
      <c r="R2" s="7"/>
      <c r="S2" s="7"/>
      <c r="T2" s="7"/>
      <c r="U2" s="7"/>
      <c r="V2" s="7"/>
      <c r="W2" s="7"/>
      <c r="X2" s="7"/>
      <c r="Y2" s="9"/>
      <c r="Z2" s="10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3"/>
      <c r="H3" s="11"/>
      <c r="I3" s="11"/>
      <c r="J3" s="11"/>
      <c r="K3" s="11"/>
      <c r="L3" s="11"/>
      <c r="M3" s="11"/>
      <c r="N3" s="11"/>
      <c r="O3" s="11"/>
      <c r="P3" s="11"/>
      <c r="Q3" s="11"/>
      <c r="R3" s="0"/>
      <c r="S3" s="0"/>
      <c r="T3" s="0"/>
      <c r="U3" s="0"/>
      <c r="V3" s="0"/>
      <c r="W3" s="0"/>
      <c r="X3" s="0"/>
      <c r="Y3" s="5"/>
      <c r="Z3" s="10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5" hidden="false" customHeight="true" outlineLevel="0" collapsed="false">
      <c r="A4" s="0"/>
      <c r="B4" s="0"/>
      <c r="C4" s="0"/>
      <c r="D4" s="0"/>
      <c r="E4" s="0"/>
      <c r="F4" s="0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0"/>
      <c r="S4" s="0"/>
      <c r="T4" s="0"/>
      <c r="U4" s="0"/>
      <c r="V4" s="0"/>
      <c r="W4" s="0"/>
      <c r="X4" s="0"/>
      <c r="Y4" s="0"/>
      <c r="Z4" s="12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</row>
    <row r="5" customFormat="false" ht="18" hidden="false" customHeight="true" outlineLevel="0" collapsed="false">
      <c r="A5" s="13"/>
      <c r="B5" s="14"/>
      <c r="C5" s="15"/>
      <c r="D5" s="15"/>
      <c r="E5" s="15"/>
      <c r="F5" s="16"/>
      <c r="G5" s="17" t="s">
        <v>2</v>
      </c>
      <c r="H5" s="17"/>
      <c r="I5" s="17"/>
      <c r="J5" s="18"/>
      <c r="K5" s="19"/>
      <c r="L5" s="20"/>
      <c r="M5" s="21"/>
      <c r="N5" s="22"/>
      <c r="O5" s="23"/>
      <c r="P5" s="23"/>
      <c r="Q5" s="23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  <c r="IW5" s="24"/>
    </row>
    <row r="6" customFormat="false" ht="18" hidden="false" customHeight="true" outlineLevel="0" collapsed="false">
      <c r="A6" s="25"/>
      <c r="B6" s="26"/>
      <c r="C6" s="27" t="s">
        <v>3</v>
      </c>
      <c r="D6" s="27"/>
      <c r="E6" s="27"/>
      <c r="F6" s="28"/>
      <c r="G6" s="29" t="s">
        <v>4</v>
      </c>
      <c r="H6" s="29"/>
      <c r="I6" s="29"/>
      <c r="J6" s="30"/>
      <c r="K6" s="29" t="s">
        <v>5</v>
      </c>
      <c r="L6" s="29"/>
      <c r="M6" s="29"/>
      <c r="N6" s="31"/>
      <c r="O6" s="29" t="s">
        <v>6</v>
      </c>
      <c r="P6" s="29"/>
      <c r="Q6" s="29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</row>
    <row r="7" customFormat="false" ht="15" hidden="false" customHeight="true" outlineLevel="0" collapsed="false">
      <c r="A7" s="32" t="s">
        <v>7</v>
      </c>
      <c r="B7" s="33"/>
      <c r="C7" s="34" t="s">
        <v>8</v>
      </c>
      <c r="D7" s="35" t="s">
        <v>9</v>
      </c>
      <c r="E7" s="36" t="s">
        <v>10</v>
      </c>
      <c r="F7" s="37"/>
      <c r="G7" s="38" t="s">
        <v>11</v>
      </c>
      <c r="H7" s="39" t="s">
        <v>9</v>
      </c>
      <c r="I7" s="40" t="s">
        <v>10</v>
      </c>
      <c r="J7" s="41"/>
      <c r="K7" s="42" t="s">
        <v>11</v>
      </c>
      <c r="L7" s="43" t="s">
        <v>9</v>
      </c>
      <c r="M7" s="44" t="s">
        <v>10</v>
      </c>
      <c r="N7" s="45"/>
      <c r="O7" s="42" t="s">
        <v>11</v>
      </c>
      <c r="P7" s="43" t="s">
        <v>9</v>
      </c>
      <c r="Q7" s="44" t="s">
        <v>10</v>
      </c>
    </row>
    <row r="8" customFormat="false" ht="12.75" hidden="false" customHeight="false" outlineLevel="0" collapsed="false">
      <c r="A8" s="46"/>
      <c r="B8" s="47"/>
      <c r="C8" s="48"/>
      <c r="D8" s="49"/>
      <c r="E8" s="50"/>
      <c r="F8" s="51"/>
      <c r="G8" s="52"/>
      <c r="H8" s="53"/>
      <c r="I8" s="54"/>
      <c r="J8" s="55"/>
      <c r="K8" s="53"/>
      <c r="L8" s="53"/>
      <c r="M8" s="53"/>
      <c r="N8" s="56"/>
      <c r="O8" s="52"/>
      <c r="P8" s="53"/>
      <c r="Q8" s="57"/>
    </row>
    <row r="9" customFormat="false" ht="12.75" hidden="false" customHeight="true" outlineLevel="0" collapsed="false">
      <c r="A9" s="46" t="s">
        <v>12</v>
      </c>
      <c r="B9" s="58"/>
      <c r="C9" s="59" t="e">
        <f aca="false">#REF!</f>
        <v>#REF!</v>
      </c>
      <c r="D9" s="60" t="e">
        <f aca="false">#REF!</f>
        <v>#REF!</v>
      </c>
      <c r="E9" s="61" t="e">
        <f aca="false">-D9+C9</f>
        <v>#REF!</v>
      </c>
      <c r="F9" s="62"/>
      <c r="G9" s="63" t="e">
        <f aca="false">#REF!+#REF!</f>
        <v>#REF!</v>
      </c>
      <c r="H9" s="63" t="e">
        <f aca="false">#REF!+#REF!</f>
        <v>#REF!</v>
      </c>
      <c r="I9" s="64" t="e">
        <f aca="false">G9-H9</f>
        <v>#REF!</v>
      </c>
      <c r="J9" s="65"/>
      <c r="K9" s="63" t="e">
        <f aca="false">#REF!</f>
        <v>#REF!</v>
      </c>
      <c r="L9" s="66" t="e">
        <f aca="false">#REF!</f>
        <v>#REF!</v>
      </c>
      <c r="M9" s="67" t="e">
        <f aca="false">K9-L9</f>
        <v>#REF!</v>
      </c>
      <c r="N9" s="68"/>
      <c r="O9" s="69" t="e">
        <f aca="false">C9-G9-K9</f>
        <v>#REF!</v>
      </c>
      <c r="P9" s="70" t="e">
        <f aca="false">D9-H9-L9</f>
        <v>#REF!</v>
      </c>
      <c r="Q9" s="71" t="e">
        <f aca="false">O9-P9</f>
        <v>#REF!</v>
      </c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</row>
    <row r="10" customFormat="false" ht="12.75" hidden="false" customHeight="true" outlineLevel="0" collapsed="false">
      <c r="A10" s="46" t="s">
        <v>13</v>
      </c>
      <c r="B10" s="73"/>
      <c r="C10" s="74" t="e">
        <f aca="false">#REF!</f>
        <v>#REF!</v>
      </c>
      <c r="D10" s="75" t="e">
        <f aca="false">#REF!</f>
        <v>#REF!</v>
      </c>
      <c r="E10" s="76" t="e">
        <f aca="false">-D10+C10</f>
        <v>#REF!</v>
      </c>
      <c r="F10" s="62"/>
      <c r="G10" s="63" t="e">
        <f aca="false">#REF!+#REF!</f>
        <v>#REF!</v>
      </c>
      <c r="H10" s="63" t="e">
        <f aca="false">#REF!+#REF!</f>
        <v>#REF!</v>
      </c>
      <c r="I10" s="64" t="e">
        <f aca="false">G10-H10</f>
        <v>#REF!</v>
      </c>
      <c r="J10" s="77"/>
      <c r="K10" s="63" t="e">
        <f aca="false">#REF!</f>
        <v>#REF!</v>
      </c>
      <c r="L10" s="66" t="e">
        <f aca="false">#REF!</f>
        <v>#REF!</v>
      </c>
      <c r="M10" s="67" t="e">
        <f aca="false">K10-L10</f>
        <v>#REF!</v>
      </c>
      <c r="N10" s="68"/>
      <c r="O10" s="78" t="e">
        <f aca="false">C10-G10-K10</f>
        <v>#REF!</v>
      </c>
      <c r="P10" s="79" t="e">
        <f aca="false">D10-H10-L10</f>
        <v>#REF!</v>
      </c>
      <c r="Q10" s="67" t="e">
        <f aca="false">O10-P10</f>
        <v>#REF!</v>
      </c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  <c r="IU10" s="72"/>
      <c r="IV10" s="72"/>
      <c r="IW10" s="72"/>
    </row>
    <row r="11" customFormat="false" ht="12" hidden="false" customHeight="true" outlineLevel="0" collapsed="false">
      <c r="A11" s="46" t="s">
        <v>14</v>
      </c>
      <c r="B11" s="80"/>
      <c r="C11" s="74" t="e">
        <f aca="false">#REF!</f>
        <v>#REF!</v>
      </c>
      <c r="D11" s="75" t="e">
        <f aca="false">#REF!</f>
        <v>#REF!</v>
      </c>
      <c r="E11" s="76" t="e">
        <f aca="false">-D11+C11</f>
        <v>#REF!</v>
      </c>
      <c r="F11" s="81"/>
      <c r="G11" s="63" t="e">
        <f aca="false">#REF!+#REF!</f>
        <v>#REF!</v>
      </c>
      <c r="H11" s="63" t="e">
        <f aca="false">#REF!+#REF!</f>
        <v>#REF!</v>
      </c>
      <c r="I11" s="64" t="e">
        <f aca="false">G11-H11</f>
        <v>#REF!</v>
      </c>
      <c r="J11" s="77"/>
      <c r="K11" s="63" t="e">
        <f aca="false">#REF!</f>
        <v>#REF!</v>
      </c>
      <c r="L11" s="79" t="e">
        <f aca="false">#REF!</f>
        <v>#REF!</v>
      </c>
      <c r="M11" s="67" t="e">
        <f aca="false">K11-L11</f>
        <v>#REF!</v>
      </c>
      <c r="N11" s="77"/>
      <c r="O11" s="78" t="e">
        <f aca="false">C11-G11-K11</f>
        <v>#REF!</v>
      </c>
      <c r="P11" s="79" t="e">
        <f aca="false">D11-H11-L11</f>
        <v>#REF!</v>
      </c>
      <c r="Q11" s="67" t="e">
        <f aca="false">O11-P11</f>
        <v>#REF!</v>
      </c>
    </row>
    <row r="12" customFormat="false" ht="12" hidden="false" customHeight="true" outlineLevel="0" collapsed="false">
      <c r="A12" s="46" t="s">
        <v>15</v>
      </c>
      <c r="B12" s="80"/>
      <c r="C12" s="74" t="e">
        <f aca="false">#REF!</f>
        <v>#REF!</v>
      </c>
      <c r="D12" s="75" t="e">
        <f aca="false">#REF!</f>
        <v>#REF!</v>
      </c>
      <c r="E12" s="76" t="e">
        <f aca="false">-D12+C12</f>
        <v>#REF!</v>
      </c>
      <c r="F12" s="81"/>
      <c r="G12" s="63" t="e">
        <f aca="false">#REF!+#REF!</f>
        <v>#REF!</v>
      </c>
      <c r="H12" s="63" t="e">
        <f aca="false">#REF!+#REF!</f>
        <v>#REF!</v>
      </c>
      <c r="I12" s="64" t="e">
        <f aca="false">G12-H12</f>
        <v>#REF!</v>
      </c>
      <c r="J12" s="77"/>
      <c r="K12" s="63" t="e">
        <f aca="false">#REF!</f>
        <v>#REF!</v>
      </c>
      <c r="L12" s="79" t="e">
        <f aca="false">#REF!</f>
        <v>#REF!</v>
      </c>
      <c r="M12" s="67" t="e">
        <f aca="false">K12-L12</f>
        <v>#REF!</v>
      </c>
      <c r="N12" s="77"/>
      <c r="O12" s="78" t="e">
        <f aca="false">C12-G12-K12</f>
        <v>#REF!</v>
      </c>
      <c r="P12" s="79" t="e">
        <f aca="false">D12-H12-L12</f>
        <v>#REF!</v>
      </c>
      <c r="Q12" s="67" t="e">
        <f aca="false">O12-P12</f>
        <v>#REF!</v>
      </c>
    </row>
    <row r="13" customFormat="false" ht="12" hidden="false" customHeight="true" outlineLevel="0" collapsed="false">
      <c r="A13" s="46" t="s">
        <v>16</v>
      </c>
      <c r="B13" s="80"/>
      <c r="C13" s="74" t="e">
        <f aca="false">#REF!</f>
        <v>#REF!</v>
      </c>
      <c r="D13" s="75" t="e">
        <f aca="false">#REF!</f>
        <v>#REF!</v>
      </c>
      <c r="E13" s="76" t="e">
        <f aca="false">-D13+C13</f>
        <v>#REF!</v>
      </c>
      <c r="F13" s="81"/>
      <c r="G13" s="63" t="e">
        <f aca="false">#REF!+#REF!</f>
        <v>#REF!</v>
      </c>
      <c r="H13" s="63" t="e">
        <f aca="false">#REF!+#REF!</f>
        <v>#REF!</v>
      </c>
      <c r="I13" s="64" t="e">
        <f aca="false">G13-H13</f>
        <v>#REF!</v>
      </c>
      <c r="J13" s="77"/>
      <c r="K13" s="63" t="e">
        <f aca="false">#REF!</f>
        <v>#REF!</v>
      </c>
      <c r="L13" s="79" t="e">
        <f aca="false">#REF!</f>
        <v>#REF!</v>
      </c>
      <c r="M13" s="67" t="e">
        <f aca="false">K13-L13</f>
        <v>#REF!</v>
      </c>
      <c r="N13" s="77"/>
      <c r="O13" s="78" t="e">
        <f aca="false">C13-G13-K13</f>
        <v>#REF!</v>
      </c>
      <c r="P13" s="79" t="e">
        <f aca="false">D13-H13-L13</f>
        <v>#REF!</v>
      </c>
      <c r="Q13" s="67" t="e">
        <f aca="false">O13-P13</f>
        <v>#REF!</v>
      </c>
    </row>
    <row r="14" customFormat="false" ht="12" hidden="false" customHeight="true" outlineLevel="0" collapsed="false">
      <c r="A14" s="46" t="s">
        <v>17</v>
      </c>
      <c r="B14" s="80"/>
      <c r="C14" s="74" t="e">
        <f aca="false">#REF!</f>
        <v>#REF!</v>
      </c>
      <c r="D14" s="75" t="e">
        <f aca="false">#REF!</f>
        <v>#REF!</v>
      </c>
      <c r="E14" s="76" t="e">
        <f aca="false">-D14+C14</f>
        <v>#REF!</v>
      </c>
      <c r="F14" s="81"/>
      <c r="G14" s="63" t="e">
        <f aca="false">#REF!+#REF!</f>
        <v>#REF!</v>
      </c>
      <c r="H14" s="63" t="e">
        <f aca="false">#REF!+#REF!</f>
        <v>#REF!</v>
      </c>
      <c r="I14" s="64" t="e">
        <f aca="false">G14-H14</f>
        <v>#REF!</v>
      </c>
      <c r="J14" s="77"/>
      <c r="K14" s="63" t="e">
        <f aca="false">#REF!</f>
        <v>#REF!</v>
      </c>
      <c r="L14" s="79" t="e">
        <f aca="false">#REF!</f>
        <v>#REF!</v>
      </c>
      <c r="M14" s="67" t="e">
        <f aca="false">K14-L14</f>
        <v>#REF!</v>
      </c>
      <c r="N14" s="77"/>
      <c r="O14" s="78" t="e">
        <f aca="false">C14-G14-K14</f>
        <v>#REF!</v>
      </c>
      <c r="P14" s="79" t="e">
        <f aca="false">D14-H14-L14</f>
        <v>#REF!</v>
      </c>
      <c r="Q14" s="67" t="e">
        <f aca="false">O14-P14</f>
        <v>#REF!</v>
      </c>
    </row>
    <row r="15" customFormat="false" ht="12" hidden="false" customHeight="true" outlineLevel="0" collapsed="false">
      <c r="A15" s="46" t="s">
        <v>18</v>
      </c>
      <c r="B15" s="80"/>
      <c r="C15" s="74" t="e">
        <f aca="false">#REF!</f>
        <v>#REF!</v>
      </c>
      <c r="D15" s="75" t="e">
        <f aca="false">#REF!</f>
        <v>#REF!</v>
      </c>
      <c r="E15" s="76" t="e">
        <f aca="false">-D15+C15</f>
        <v>#REF!</v>
      </c>
      <c r="F15" s="81"/>
      <c r="G15" s="63" t="e">
        <f aca="false">#REF!+#REF!</f>
        <v>#REF!</v>
      </c>
      <c r="H15" s="63" t="e">
        <f aca="false">#REF!+#REF!</f>
        <v>#REF!</v>
      </c>
      <c r="I15" s="64" t="e">
        <f aca="false">G15-H15</f>
        <v>#REF!</v>
      </c>
      <c r="J15" s="77"/>
      <c r="K15" s="63" t="e">
        <f aca="false">#REF!</f>
        <v>#REF!</v>
      </c>
      <c r="L15" s="79" t="e">
        <f aca="false">#REF!</f>
        <v>#REF!</v>
      </c>
      <c r="M15" s="67" t="e">
        <f aca="false">K15-L15</f>
        <v>#REF!</v>
      </c>
      <c r="N15" s="77"/>
      <c r="O15" s="78" t="e">
        <f aca="false">C15-G15-K15</f>
        <v>#REF!</v>
      </c>
      <c r="P15" s="79" t="e">
        <f aca="false">D15-H15-L15</f>
        <v>#REF!</v>
      </c>
      <c r="Q15" s="67" t="e">
        <f aca="false">O15-P15</f>
        <v>#REF!</v>
      </c>
    </row>
    <row r="16" customFormat="false" ht="12" hidden="false" customHeight="true" outlineLevel="0" collapsed="false">
      <c r="A16" s="46" t="s">
        <v>19</v>
      </c>
      <c r="B16" s="80"/>
      <c r="C16" s="74" t="e">
        <f aca="false">#REF!</f>
        <v>#REF!</v>
      </c>
      <c r="D16" s="75" t="e">
        <f aca="false">#REF!</f>
        <v>#REF!</v>
      </c>
      <c r="E16" s="76" t="e">
        <f aca="false">-D16+C16</f>
        <v>#REF!</v>
      </c>
      <c r="F16" s="81"/>
      <c r="G16" s="63" t="e">
        <f aca="false">#REF!+#REF!</f>
        <v>#REF!</v>
      </c>
      <c r="H16" s="63" t="e">
        <f aca="false">#REF!+#REF!</f>
        <v>#REF!</v>
      </c>
      <c r="I16" s="64" t="e">
        <f aca="false">G16-H16</f>
        <v>#REF!</v>
      </c>
      <c r="J16" s="77"/>
      <c r="K16" s="63" t="e">
        <f aca="false">#REF!</f>
        <v>#REF!</v>
      </c>
      <c r="L16" s="79" t="e">
        <f aca="false">#REF!</f>
        <v>#REF!</v>
      </c>
      <c r="M16" s="67" t="e">
        <f aca="false">K16-L16</f>
        <v>#REF!</v>
      </c>
      <c r="N16" s="77"/>
      <c r="O16" s="78" t="e">
        <f aca="false">C16-G16-K16</f>
        <v>#REF!</v>
      </c>
      <c r="P16" s="79" t="e">
        <f aca="false">D16-H16-L16</f>
        <v>#REF!</v>
      </c>
      <c r="Q16" s="67" t="e">
        <f aca="false">O16-P16</f>
        <v>#REF!</v>
      </c>
    </row>
    <row r="17" customFormat="false" ht="12" hidden="false" customHeight="true" outlineLevel="0" collapsed="false">
      <c r="A17" s="46" t="s">
        <v>20</v>
      </c>
      <c r="B17" s="80"/>
      <c r="C17" s="74" t="e">
        <f aca="false">#REF!</f>
        <v>#REF!</v>
      </c>
      <c r="D17" s="75" t="e">
        <f aca="false">#REF!</f>
        <v>#REF!</v>
      </c>
      <c r="E17" s="76" t="e">
        <f aca="false">-D17+C17</f>
        <v>#REF!</v>
      </c>
      <c r="F17" s="81"/>
      <c r="G17" s="63" t="e">
        <f aca="false">#REF!+#REF!</f>
        <v>#REF!</v>
      </c>
      <c r="H17" s="63" t="e">
        <f aca="false">#REF!+#REF!</f>
        <v>#REF!</v>
      </c>
      <c r="I17" s="64" t="e">
        <f aca="false">G17-H17</f>
        <v>#REF!</v>
      </c>
      <c r="J17" s="77"/>
      <c r="K17" s="63" t="e">
        <f aca="false">#REF!</f>
        <v>#REF!</v>
      </c>
      <c r="L17" s="79" t="e">
        <f aca="false">#REF!</f>
        <v>#REF!</v>
      </c>
      <c r="M17" s="67" t="e">
        <f aca="false">K17-L17</f>
        <v>#REF!</v>
      </c>
      <c r="N17" s="77"/>
      <c r="O17" s="78" t="e">
        <f aca="false">C17-G17-K17</f>
        <v>#REF!</v>
      </c>
      <c r="P17" s="79" t="e">
        <f aca="false">D17-H17-L17</f>
        <v>#REF!</v>
      </c>
      <c r="Q17" s="67" t="e">
        <f aca="false">O17-P17</f>
        <v>#REF!</v>
      </c>
    </row>
    <row r="18" customFormat="false" ht="12" hidden="false" customHeight="true" outlineLevel="0" collapsed="false">
      <c r="A18" s="82" t="s">
        <v>21</v>
      </c>
      <c r="B18" s="83"/>
      <c r="C18" s="84" t="e">
        <f aca="false">SUM(C8:C17)</f>
        <v>#REF!</v>
      </c>
      <c r="D18" s="85" t="e">
        <f aca="false">SUM(D8:D17)</f>
        <v>#REF!</v>
      </c>
      <c r="E18" s="86" t="e">
        <f aca="false">SUM(E8:E17)</f>
        <v>#REF!</v>
      </c>
      <c r="F18" s="87"/>
      <c r="G18" s="88" t="e">
        <f aca="false">SUM(G9:G17)</f>
        <v>#REF!</v>
      </c>
      <c r="H18" s="89" t="e">
        <f aca="false">SUM(H9:H17)</f>
        <v>#REF!</v>
      </c>
      <c r="I18" s="90" t="e">
        <f aca="false">SUM(I9:I17)</f>
        <v>#REF!</v>
      </c>
      <c r="J18" s="91"/>
      <c r="K18" s="89" t="e">
        <f aca="false">SUM(K9:K17)</f>
        <v>#REF!</v>
      </c>
      <c r="L18" s="89" t="e">
        <f aca="false">SUM(L9:L17)</f>
        <v>#REF!</v>
      </c>
      <c r="M18" s="92" t="e">
        <f aca="false">SUM(M9:M17)</f>
        <v>#REF!</v>
      </c>
      <c r="N18" s="93"/>
      <c r="O18" s="88" t="e">
        <f aca="false">SUM(O9:O17)</f>
        <v>#REF!</v>
      </c>
      <c r="P18" s="89" t="e">
        <f aca="false">SUM(P9:P17)</f>
        <v>#REF!</v>
      </c>
      <c r="Q18" s="92" t="e">
        <f aca="false">SUM(Q9:Q17)</f>
        <v>#REF!</v>
      </c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  <c r="IV18" s="94"/>
      <c r="IW18" s="94"/>
    </row>
    <row r="19" customFormat="false" ht="7.5" hidden="false" customHeight="true" outlineLevel="0" collapsed="false">
      <c r="A19" s="46"/>
      <c r="B19" s="47"/>
      <c r="C19" s="74"/>
      <c r="D19" s="95"/>
      <c r="E19" s="76"/>
      <c r="F19" s="81"/>
      <c r="G19" s="78"/>
      <c r="H19" s="79"/>
      <c r="I19" s="96"/>
      <c r="J19" s="77"/>
      <c r="K19" s="79"/>
      <c r="L19" s="79"/>
      <c r="M19" s="67"/>
      <c r="N19" s="77"/>
      <c r="O19" s="78"/>
      <c r="P19" s="79"/>
      <c r="Q19" s="67"/>
    </row>
    <row r="20" customFormat="false" ht="14.25" hidden="false" customHeight="true" outlineLevel="0" collapsed="false">
      <c r="A20" s="46" t="s">
        <v>22</v>
      </c>
      <c r="B20" s="47"/>
      <c r="C20" s="74" t="e">
        <f aca="false">#REF!</f>
        <v>#REF!</v>
      </c>
      <c r="D20" s="75" t="e">
        <f aca="false">#REF!</f>
        <v>#REF!</v>
      </c>
      <c r="E20" s="76" t="e">
        <f aca="false">-D20+C20</f>
        <v>#REF!</v>
      </c>
      <c r="F20" s="81"/>
      <c r="G20" s="63" t="e">
        <f aca="false">#REF!+#REF!</f>
        <v>#REF!</v>
      </c>
      <c r="H20" s="63" t="e">
        <f aca="false">#REF!+#REF!</f>
        <v>#REF!</v>
      </c>
      <c r="I20" s="64" t="e">
        <f aca="false">G20-H20</f>
        <v>#REF!</v>
      </c>
      <c r="J20" s="77"/>
      <c r="K20" s="63" t="e">
        <f aca="false">#REF!</f>
        <v>#REF!</v>
      </c>
      <c r="L20" s="66" t="e">
        <f aca="false">#REF!</f>
        <v>#REF!</v>
      </c>
      <c r="M20" s="67" t="e">
        <f aca="false">K20-L20</f>
        <v>#REF!</v>
      </c>
      <c r="N20" s="77"/>
      <c r="O20" s="78" t="e">
        <f aca="false">C20-G20-K20</f>
        <v>#REF!</v>
      </c>
      <c r="P20" s="79" t="e">
        <f aca="false">D20-H20-L20</f>
        <v>#REF!</v>
      </c>
      <c r="Q20" s="67" t="e">
        <f aca="false">O20-P20</f>
        <v>#REF!</v>
      </c>
    </row>
    <row r="21" customFormat="false" ht="14.25" hidden="false" customHeight="true" outlineLevel="0" collapsed="false">
      <c r="A21" s="46" t="s">
        <v>23</v>
      </c>
      <c r="B21" s="47"/>
      <c r="C21" s="74" t="e">
        <f aca="false">#REF!</f>
        <v>#REF!</v>
      </c>
      <c r="D21" s="75" t="e">
        <f aca="false">#REF!</f>
        <v>#REF!</v>
      </c>
      <c r="E21" s="76" t="e">
        <f aca="false">-D21+C21</f>
        <v>#REF!</v>
      </c>
      <c r="F21" s="81"/>
      <c r="G21" s="63" t="e">
        <f aca="false">#REF!+#REF!</f>
        <v>#REF!</v>
      </c>
      <c r="H21" s="63" t="e">
        <f aca="false">#REF!+#REF!</f>
        <v>#REF!</v>
      </c>
      <c r="I21" s="64" t="e">
        <f aca="false">G21-H21</f>
        <v>#REF!</v>
      </c>
      <c r="J21" s="77"/>
      <c r="K21" s="63" t="e">
        <f aca="false">#REF!</f>
        <v>#REF!</v>
      </c>
      <c r="L21" s="66" t="e">
        <f aca="false">#REF!</f>
        <v>#REF!</v>
      </c>
      <c r="M21" s="67" t="e">
        <f aca="false">K21-L21</f>
        <v>#REF!</v>
      </c>
      <c r="N21" s="77"/>
      <c r="O21" s="78" t="e">
        <f aca="false">C21-G21-K21</f>
        <v>#REF!</v>
      </c>
      <c r="P21" s="79" t="e">
        <f aca="false">D21-H21-L21</f>
        <v>#REF!</v>
      </c>
      <c r="Q21" s="67" t="e">
        <f aca="false">O21-P21</f>
        <v>#REF!</v>
      </c>
    </row>
    <row r="22" customFormat="false" ht="14.25" hidden="false" customHeight="true" outlineLevel="0" collapsed="false">
      <c r="A22" s="46" t="s">
        <v>24</v>
      </c>
      <c r="B22" s="47"/>
      <c r="C22" s="74" t="e">
        <f aca="false">#REF!</f>
        <v>#REF!</v>
      </c>
      <c r="D22" s="75" t="e">
        <f aca="false">#REF!</f>
        <v>#REF!</v>
      </c>
      <c r="E22" s="76" t="e">
        <f aca="false">-D22+C22</f>
        <v>#REF!</v>
      </c>
      <c r="F22" s="81"/>
      <c r="G22" s="63" t="e">
        <f aca="false">#REF!+#REF!</f>
        <v>#REF!</v>
      </c>
      <c r="H22" s="63" t="e">
        <f aca="false">#REF!+#REF!</f>
        <v>#REF!</v>
      </c>
      <c r="I22" s="64" t="e">
        <f aca="false">G22-H22</f>
        <v>#REF!</v>
      </c>
      <c r="J22" s="77"/>
      <c r="K22" s="63" t="e">
        <f aca="false">#REF!</f>
        <v>#REF!</v>
      </c>
      <c r="L22" s="66" t="e">
        <f aca="false">#REF!</f>
        <v>#REF!</v>
      </c>
      <c r="M22" s="67" t="e">
        <f aca="false">K22-L22</f>
        <v>#REF!</v>
      </c>
      <c r="N22" s="77"/>
      <c r="O22" s="78" t="e">
        <f aca="false">C22-G22-K22</f>
        <v>#REF!</v>
      </c>
      <c r="P22" s="79" t="e">
        <f aca="false">D22-H22-L22</f>
        <v>#REF!</v>
      </c>
      <c r="Q22" s="67" t="e">
        <f aca="false">O22-P22</f>
        <v>#REF!</v>
      </c>
    </row>
    <row r="23" customFormat="false" ht="14.25" hidden="false" customHeight="true" outlineLevel="0" collapsed="false">
      <c r="A23" s="46" t="s">
        <v>25</v>
      </c>
      <c r="B23" s="47"/>
      <c r="C23" s="74" t="e">
        <f aca="false">#REF!</f>
        <v>#REF!</v>
      </c>
      <c r="D23" s="75" t="e">
        <f aca="false">#REF!</f>
        <v>#REF!</v>
      </c>
      <c r="E23" s="76" t="e">
        <f aca="false">-D23+C23</f>
        <v>#REF!</v>
      </c>
      <c r="F23" s="81"/>
      <c r="G23" s="63" t="e">
        <f aca="false">#REF!+#REF!</f>
        <v>#REF!</v>
      </c>
      <c r="H23" s="63" t="e">
        <f aca="false">#REF!+#REF!</f>
        <v>#REF!</v>
      </c>
      <c r="I23" s="64" t="e">
        <f aca="false">G23-H23</f>
        <v>#REF!</v>
      </c>
      <c r="J23" s="77"/>
      <c r="K23" s="63" t="e">
        <f aca="false">#REF!</f>
        <v>#REF!</v>
      </c>
      <c r="L23" s="66" t="e">
        <f aca="false">#REF!</f>
        <v>#REF!</v>
      </c>
      <c r="M23" s="67" t="e">
        <f aca="false">K23-L23</f>
        <v>#REF!</v>
      </c>
      <c r="N23" s="77"/>
      <c r="O23" s="78" t="e">
        <f aca="false">C23-G23-K23</f>
        <v>#REF!</v>
      </c>
      <c r="P23" s="79" t="e">
        <f aca="false">D23-H23-L23</f>
        <v>#REF!</v>
      </c>
      <c r="Q23" s="67" t="e">
        <f aca="false">O23-P23</f>
        <v>#REF!</v>
      </c>
    </row>
    <row r="24" customFormat="false" ht="14.25" hidden="false" customHeight="true" outlineLevel="0" collapsed="false">
      <c r="A24" s="46" t="s">
        <v>26</v>
      </c>
      <c r="B24" s="47"/>
      <c r="C24" s="74" t="e">
        <f aca="false">#REF!</f>
        <v>#REF!</v>
      </c>
      <c r="D24" s="75" t="e">
        <f aca="false">#REF!</f>
        <v>#REF!</v>
      </c>
      <c r="E24" s="76" t="e">
        <f aca="false">-D24+C24</f>
        <v>#REF!</v>
      </c>
      <c r="F24" s="81"/>
      <c r="G24" s="63" t="e">
        <f aca="false">#REF!+#REF!</f>
        <v>#REF!</v>
      </c>
      <c r="H24" s="63" t="e">
        <f aca="false">#REF!+#REF!</f>
        <v>#REF!</v>
      </c>
      <c r="I24" s="64" t="e">
        <f aca="false">G24-H24</f>
        <v>#REF!</v>
      </c>
      <c r="J24" s="77"/>
      <c r="K24" s="63" t="e">
        <f aca="false">#REF!</f>
        <v>#REF!</v>
      </c>
      <c r="L24" s="66" t="e">
        <f aca="false">#REF!</f>
        <v>#REF!</v>
      </c>
      <c r="M24" s="67" t="e">
        <f aca="false">K24-L24</f>
        <v>#REF!</v>
      </c>
      <c r="N24" s="77"/>
      <c r="O24" s="78" t="e">
        <f aca="false">C24-G24-K24</f>
        <v>#REF!</v>
      </c>
      <c r="P24" s="79" t="e">
        <f aca="false">D24-H24-L24</f>
        <v>#REF!</v>
      </c>
      <c r="Q24" s="67" t="e">
        <f aca="false">O24-P24</f>
        <v>#REF!</v>
      </c>
    </row>
    <row r="25" customFormat="false" ht="14.25" hidden="false" customHeight="true" outlineLevel="0" collapsed="false">
      <c r="A25" s="46" t="s">
        <v>27</v>
      </c>
      <c r="B25" s="47"/>
      <c r="C25" s="74" t="e">
        <f aca="false">#REF!</f>
        <v>#REF!</v>
      </c>
      <c r="D25" s="75" t="e">
        <f aca="false">#REF!</f>
        <v>#REF!</v>
      </c>
      <c r="E25" s="76" t="e">
        <f aca="false">-D25+C25</f>
        <v>#REF!</v>
      </c>
      <c r="F25" s="81"/>
      <c r="G25" s="63" t="e">
        <f aca="false">#REF!+#REF!</f>
        <v>#REF!</v>
      </c>
      <c r="H25" s="63" t="e">
        <f aca="false">#REF!+#REF!</f>
        <v>#REF!</v>
      </c>
      <c r="I25" s="64" t="e">
        <f aca="false">G25-H25</f>
        <v>#REF!</v>
      </c>
      <c r="J25" s="77"/>
      <c r="K25" s="63" t="e">
        <f aca="false">#REF!</f>
        <v>#REF!</v>
      </c>
      <c r="L25" s="66" t="e">
        <f aca="false">#REF!</f>
        <v>#REF!</v>
      </c>
      <c r="M25" s="67" t="e">
        <f aca="false">K25-L25</f>
        <v>#REF!</v>
      </c>
      <c r="N25" s="77"/>
      <c r="O25" s="78" t="e">
        <f aca="false">C25-G25-K25</f>
        <v>#REF!</v>
      </c>
      <c r="P25" s="79" t="e">
        <f aca="false">D25-H25-L25</f>
        <v>#REF!</v>
      </c>
      <c r="Q25" s="67" t="e">
        <f aca="false">O25-P25</f>
        <v>#REF!</v>
      </c>
    </row>
    <row r="26" customFormat="false" ht="14.25" hidden="false" customHeight="true" outlineLevel="0" collapsed="false">
      <c r="A26" s="82" t="s">
        <v>28</v>
      </c>
      <c r="B26" s="83"/>
      <c r="C26" s="84" t="e">
        <f aca="false">SUM(C20:C25)</f>
        <v>#REF!</v>
      </c>
      <c r="D26" s="85" t="e">
        <f aca="false">SUM(D20:D25)</f>
        <v>#REF!</v>
      </c>
      <c r="E26" s="86" t="e">
        <f aca="false">SUM(E20:E25)</f>
        <v>#REF!</v>
      </c>
      <c r="F26" s="87"/>
      <c r="G26" s="88" t="e">
        <f aca="false">SUM(G20:G25)</f>
        <v>#REF!</v>
      </c>
      <c r="H26" s="89" t="e">
        <f aca="false">SUM(H20:H25)</f>
        <v>#REF!</v>
      </c>
      <c r="I26" s="90" t="e">
        <f aca="false">G26-H26</f>
        <v>#REF!</v>
      </c>
      <c r="J26" s="91"/>
      <c r="K26" s="89" t="e">
        <f aca="false">SUM(K20:K25)</f>
        <v>#REF!</v>
      </c>
      <c r="L26" s="89" t="e">
        <f aca="false">SUM(L20:L25)</f>
        <v>#REF!</v>
      </c>
      <c r="M26" s="92" t="e">
        <f aca="false">SUM(M20:M25)</f>
        <v>#REF!</v>
      </c>
      <c r="N26" s="93"/>
      <c r="O26" s="88" t="e">
        <f aca="false">SUM(O20:O25)</f>
        <v>#REF!</v>
      </c>
      <c r="P26" s="89" t="e">
        <f aca="false">SUM(P20:P25)</f>
        <v>#REF!</v>
      </c>
      <c r="Q26" s="92" t="e">
        <f aca="false">SUM(Q20:Q25)</f>
        <v>#REF!</v>
      </c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  <c r="CO26" s="94"/>
      <c r="CP26" s="94"/>
      <c r="CQ26" s="94"/>
      <c r="CR26" s="94"/>
      <c r="CS26" s="94"/>
      <c r="CT26" s="94"/>
      <c r="CU26" s="94"/>
      <c r="CV26" s="94"/>
      <c r="CW26" s="94"/>
      <c r="CX26" s="94"/>
      <c r="CY26" s="94"/>
      <c r="CZ26" s="94"/>
      <c r="DA26" s="94"/>
      <c r="DB26" s="94"/>
      <c r="DC26" s="94"/>
      <c r="DD26" s="94"/>
      <c r="DE26" s="94"/>
      <c r="DF26" s="94"/>
      <c r="DG26" s="94"/>
      <c r="DH26" s="94"/>
      <c r="DI26" s="94"/>
      <c r="DJ26" s="94"/>
      <c r="DK26" s="94"/>
      <c r="DL26" s="94"/>
      <c r="DM26" s="94"/>
      <c r="DN26" s="94"/>
      <c r="DO26" s="94"/>
      <c r="DP26" s="94"/>
      <c r="DQ26" s="94"/>
      <c r="DR26" s="94"/>
      <c r="DS26" s="94"/>
      <c r="DT26" s="94"/>
      <c r="DU26" s="94"/>
      <c r="DV26" s="94"/>
      <c r="DW26" s="94"/>
      <c r="DX26" s="94"/>
      <c r="DY26" s="94"/>
      <c r="DZ26" s="94"/>
      <c r="EA26" s="94"/>
      <c r="EB26" s="94"/>
      <c r="EC26" s="94"/>
      <c r="ED26" s="94"/>
      <c r="EE26" s="94"/>
      <c r="EF26" s="94"/>
      <c r="EG26" s="94"/>
      <c r="EH26" s="94"/>
      <c r="EI26" s="94"/>
      <c r="EJ26" s="94"/>
      <c r="EK26" s="94"/>
      <c r="EL26" s="94"/>
      <c r="EM26" s="94"/>
      <c r="EN26" s="94"/>
      <c r="EO26" s="94"/>
      <c r="EP26" s="94"/>
      <c r="EQ26" s="94"/>
      <c r="ER26" s="94"/>
      <c r="ES26" s="94"/>
      <c r="ET26" s="94"/>
      <c r="EU26" s="94"/>
      <c r="EV26" s="94"/>
      <c r="EW26" s="94"/>
      <c r="EX26" s="94"/>
      <c r="EY26" s="94"/>
      <c r="EZ26" s="94"/>
      <c r="FA26" s="94"/>
      <c r="FB26" s="94"/>
      <c r="FC26" s="94"/>
      <c r="FD26" s="94"/>
      <c r="FE26" s="94"/>
      <c r="FF26" s="94"/>
      <c r="FG26" s="94"/>
      <c r="FH26" s="94"/>
      <c r="FI26" s="94"/>
      <c r="FJ26" s="94"/>
      <c r="FK26" s="94"/>
      <c r="FL26" s="94"/>
      <c r="FM26" s="94"/>
      <c r="FN26" s="94"/>
      <c r="FO26" s="94"/>
      <c r="FP26" s="94"/>
      <c r="FQ26" s="94"/>
      <c r="FR26" s="94"/>
      <c r="FS26" s="94"/>
      <c r="FT26" s="94"/>
      <c r="FU26" s="94"/>
      <c r="FV26" s="94"/>
      <c r="FW26" s="94"/>
      <c r="FX26" s="94"/>
      <c r="FY26" s="94"/>
      <c r="FZ26" s="94"/>
      <c r="GA26" s="94"/>
      <c r="GB26" s="94"/>
      <c r="GC26" s="94"/>
      <c r="GD26" s="94"/>
      <c r="GE26" s="94"/>
      <c r="GF26" s="94"/>
      <c r="GG26" s="94"/>
      <c r="GH26" s="94"/>
      <c r="GI26" s="94"/>
      <c r="GJ26" s="94"/>
      <c r="GK26" s="94"/>
      <c r="GL26" s="94"/>
      <c r="GM26" s="94"/>
      <c r="GN26" s="94"/>
      <c r="GO26" s="94"/>
      <c r="GP26" s="94"/>
      <c r="GQ26" s="94"/>
      <c r="GR26" s="94"/>
      <c r="GS26" s="94"/>
      <c r="GT26" s="94"/>
      <c r="GU26" s="94"/>
      <c r="GV26" s="94"/>
      <c r="GW26" s="94"/>
      <c r="GX26" s="94"/>
      <c r="GY26" s="94"/>
      <c r="GZ26" s="94"/>
      <c r="HA26" s="94"/>
      <c r="HB26" s="94"/>
      <c r="HC26" s="94"/>
      <c r="HD26" s="94"/>
      <c r="HE26" s="94"/>
      <c r="HF26" s="94"/>
      <c r="HG26" s="94"/>
      <c r="HH26" s="94"/>
      <c r="HI26" s="94"/>
      <c r="HJ26" s="94"/>
      <c r="HK26" s="94"/>
      <c r="HL26" s="94"/>
      <c r="HM26" s="94"/>
      <c r="HN26" s="94"/>
      <c r="HO26" s="94"/>
      <c r="HP26" s="94"/>
      <c r="HQ26" s="94"/>
      <c r="HR26" s="94"/>
      <c r="HS26" s="94"/>
      <c r="HT26" s="94"/>
      <c r="HU26" s="94"/>
      <c r="HV26" s="94"/>
      <c r="HW26" s="94"/>
      <c r="HX26" s="94"/>
      <c r="HY26" s="94"/>
      <c r="HZ26" s="94"/>
      <c r="IA26" s="94"/>
      <c r="IB26" s="94"/>
      <c r="IC26" s="94"/>
      <c r="ID26" s="94"/>
      <c r="IE26" s="94"/>
      <c r="IF26" s="94"/>
      <c r="IG26" s="94"/>
      <c r="IH26" s="94"/>
      <c r="II26" s="94"/>
      <c r="IJ26" s="94"/>
      <c r="IK26" s="94"/>
      <c r="IL26" s="94"/>
      <c r="IM26" s="94"/>
      <c r="IN26" s="94"/>
      <c r="IO26" s="94"/>
      <c r="IP26" s="94"/>
      <c r="IQ26" s="94"/>
      <c r="IR26" s="94"/>
      <c r="IS26" s="94"/>
      <c r="IT26" s="94"/>
      <c r="IU26" s="94"/>
      <c r="IV26" s="94"/>
      <c r="IW26" s="94"/>
    </row>
    <row r="27" customFormat="false" ht="7.5" hidden="false" customHeight="true" outlineLevel="0" collapsed="false">
      <c r="A27" s="46"/>
      <c r="B27" s="47"/>
      <c r="C27" s="74"/>
      <c r="D27" s="95"/>
      <c r="E27" s="76"/>
      <c r="F27" s="81"/>
      <c r="G27" s="78"/>
      <c r="H27" s="79"/>
      <c r="I27" s="96"/>
      <c r="J27" s="77"/>
      <c r="K27" s="79"/>
      <c r="L27" s="79"/>
      <c r="M27" s="67"/>
      <c r="N27" s="77"/>
      <c r="O27" s="78"/>
      <c r="P27" s="79"/>
      <c r="Q27" s="67"/>
    </row>
    <row r="28" customFormat="false" ht="12.75" hidden="false" customHeight="false" outlineLevel="0" collapsed="false">
      <c r="A28" s="46" t="s">
        <v>29</v>
      </c>
      <c r="B28" s="47"/>
      <c r="C28" s="74" t="e">
        <f aca="false">#REF!</f>
        <v>#REF!</v>
      </c>
      <c r="D28" s="75" t="e">
        <f aca="false">#REF!</f>
        <v>#REF!</v>
      </c>
      <c r="E28" s="76" t="e">
        <f aca="false">-D28+C28</f>
        <v>#REF!</v>
      </c>
      <c r="F28" s="81"/>
      <c r="G28" s="63" t="e">
        <f aca="false">#REF!+#REF!</f>
        <v>#REF!</v>
      </c>
      <c r="H28" s="63" t="e">
        <f aca="false">#REF!+#REF!</f>
        <v>#REF!</v>
      </c>
      <c r="I28" s="64" t="e">
        <f aca="false">G28-H28</f>
        <v>#REF!</v>
      </c>
      <c r="J28" s="77"/>
      <c r="K28" s="63" t="e">
        <f aca="false">#REF!</f>
        <v>#REF!</v>
      </c>
      <c r="L28" s="66" t="e">
        <f aca="false">#REF!</f>
        <v>#REF!</v>
      </c>
      <c r="M28" s="67" t="e">
        <f aca="false">K28-L28</f>
        <v>#REF!</v>
      </c>
      <c r="N28" s="77"/>
      <c r="O28" s="78" t="e">
        <f aca="false">C28-G28-K28</f>
        <v>#REF!</v>
      </c>
      <c r="P28" s="79" t="e">
        <f aca="false">D28-H28-L28</f>
        <v>#REF!</v>
      </c>
      <c r="Q28" s="67" t="e">
        <f aca="false">O28-P28</f>
        <v>#REF!</v>
      </c>
    </row>
    <row r="29" customFormat="false" ht="12.75" hidden="false" customHeight="false" outlineLevel="0" collapsed="false">
      <c r="A29" s="46" t="s">
        <v>30</v>
      </c>
      <c r="B29" s="47"/>
      <c r="C29" s="74" t="e">
        <f aca="false">#REF!</f>
        <v>#REF!</v>
      </c>
      <c r="D29" s="75" t="e">
        <f aca="false">#REF!</f>
        <v>#REF!</v>
      </c>
      <c r="E29" s="76" t="e">
        <f aca="false">-D29+C29</f>
        <v>#REF!</v>
      </c>
      <c r="F29" s="81"/>
      <c r="G29" s="63" t="e">
        <f aca="false">#REF!+#REF!</f>
        <v>#REF!</v>
      </c>
      <c r="H29" s="63" t="e">
        <f aca="false">#REF!+#REF!</f>
        <v>#REF!</v>
      </c>
      <c r="I29" s="64" t="e">
        <f aca="false">G29-H29</f>
        <v>#REF!</v>
      </c>
      <c r="J29" s="77"/>
      <c r="K29" s="63" t="e">
        <f aca="false">#REF!</f>
        <v>#REF!</v>
      </c>
      <c r="L29" s="66" t="e">
        <f aca="false">#REF!</f>
        <v>#REF!</v>
      </c>
      <c r="M29" s="67" t="e">
        <f aca="false">K29-L29</f>
        <v>#REF!</v>
      </c>
      <c r="N29" s="77"/>
      <c r="O29" s="78" t="e">
        <f aca="false">C29-G29-K29</f>
        <v>#REF!</v>
      </c>
      <c r="P29" s="79" t="e">
        <f aca="false">D29-H29-L29</f>
        <v>#REF!</v>
      </c>
      <c r="Q29" s="67" t="e">
        <f aca="false">O29-P29</f>
        <v>#REF!</v>
      </c>
    </row>
    <row r="30" customFormat="false" ht="12.75" hidden="false" customHeight="false" outlineLevel="0" collapsed="false">
      <c r="A30" s="46" t="s">
        <v>31</v>
      </c>
      <c r="B30" s="47"/>
      <c r="C30" s="74" t="e">
        <f aca="false">#REF!</f>
        <v>#REF!</v>
      </c>
      <c r="D30" s="75" t="e">
        <f aca="false">#REF!</f>
        <v>#REF!</v>
      </c>
      <c r="E30" s="76" t="e">
        <f aca="false">-D30+C30</f>
        <v>#REF!</v>
      </c>
      <c r="F30" s="81"/>
      <c r="G30" s="63" t="e">
        <f aca="false">#REF!+#REF!</f>
        <v>#REF!</v>
      </c>
      <c r="H30" s="63" t="e">
        <f aca="false">#REF!+#REF!</f>
        <v>#REF!</v>
      </c>
      <c r="I30" s="64" t="e">
        <f aca="false">G30-H30</f>
        <v>#REF!</v>
      </c>
      <c r="J30" s="77"/>
      <c r="K30" s="63" t="e">
        <f aca="false">#REF!</f>
        <v>#REF!</v>
      </c>
      <c r="L30" s="66" t="e">
        <f aca="false">#REF!</f>
        <v>#REF!</v>
      </c>
      <c r="M30" s="67" t="e">
        <f aca="false">K30-L30</f>
        <v>#REF!</v>
      </c>
      <c r="N30" s="77"/>
      <c r="O30" s="78" t="e">
        <f aca="false">C30-G30-K30</f>
        <v>#REF!</v>
      </c>
      <c r="P30" s="79" t="e">
        <f aca="false">D30-H30-L30</f>
        <v>#REF!</v>
      </c>
      <c r="Q30" s="67" t="e">
        <f aca="false">O30-P30</f>
        <v>#REF!</v>
      </c>
    </row>
    <row r="31" customFormat="false" ht="12.75" hidden="false" customHeight="false" outlineLevel="0" collapsed="false">
      <c r="A31" s="46" t="s">
        <v>32</v>
      </c>
      <c r="B31" s="47"/>
      <c r="C31" s="74" t="e">
        <f aca="false">#REF!</f>
        <v>#REF!</v>
      </c>
      <c r="D31" s="75" t="e">
        <f aca="false">#REF!</f>
        <v>#REF!</v>
      </c>
      <c r="E31" s="76" t="e">
        <f aca="false">-D31+C31</f>
        <v>#REF!</v>
      </c>
      <c r="F31" s="81"/>
      <c r="G31" s="63" t="e">
        <f aca="false">#REF!+#REF!</f>
        <v>#REF!</v>
      </c>
      <c r="H31" s="63" t="e">
        <f aca="false">#REF!+#REF!</f>
        <v>#REF!</v>
      </c>
      <c r="I31" s="64" t="e">
        <f aca="false">G31-H31</f>
        <v>#REF!</v>
      </c>
      <c r="J31" s="77"/>
      <c r="K31" s="63" t="e">
        <f aca="false">#REF!</f>
        <v>#REF!</v>
      </c>
      <c r="L31" s="66" t="e">
        <f aca="false">#REF!</f>
        <v>#REF!</v>
      </c>
      <c r="M31" s="67" t="e">
        <f aca="false">K31-L31</f>
        <v>#REF!</v>
      </c>
      <c r="N31" s="77"/>
      <c r="O31" s="78" t="e">
        <f aca="false">C31-G31-K31</f>
        <v>#REF!</v>
      </c>
      <c r="P31" s="79" t="e">
        <f aca="false">D31-H31-L31</f>
        <v>#REF!</v>
      </c>
      <c r="Q31" s="67" t="e">
        <f aca="false">O31-P31</f>
        <v>#REF!</v>
      </c>
    </row>
    <row r="32" customFormat="false" ht="12.75" hidden="false" customHeight="false" outlineLevel="0" collapsed="false">
      <c r="A32" s="46" t="s">
        <v>33</v>
      </c>
      <c r="B32" s="47"/>
      <c r="C32" s="74" t="e">
        <f aca="false">#REF!</f>
        <v>#REF!</v>
      </c>
      <c r="D32" s="75" t="e">
        <f aca="false">#REF!</f>
        <v>#REF!</v>
      </c>
      <c r="E32" s="76" t="e">
        <f aca="false">-D32+C32</f>
        <v>#REF!</v>
      </c>
      <c r="F32" s="81"/>
      <c r="G32" s="63" t="e">
        <f aca="false">#REF!+#REF!</f>
        <v>#REF!</v>
      </c>
      <c r="H32" s="63" t="e">
        <f aca="false">#REF!+#REF!</f>
        <v>#REF!</v>
      </c>
      <c r="I32" s="64" t="e">
        <f aca="false">G32-H32</f>
        <v>#REF!</v>
      </c>
      <c r="J32" s="77"/>
      <c r="K32" s="63" t="e">
        <f aca="false">#REF!</f>
        <v>#REF!</v>
      </c>
      <c r="L32" s="66" t="e">
        <f aca="false">#REF!</f>
        <v>#REF!</v>
      </c>
      <c r="M32" s="67" t="e">
        <f aca="false">K32-L32</f>
        <v>#REF!</v>
      </c>
      <c r="N32" s="77"/>
      <c r="O32" s="78" t="e">
        <f aca="false">C32-G32-K32</f>
        <v>#REF!</v>
      </c>
      <c r="P32" s="79" t="e">
        <f aca="false">D32-H32-L32</f>
        <v>#REF!</v>
      </c>
      <c r="Q32" s="67" t="e">
        <f aca="false">O32-P32</f>
        <v>#REF!</v>
      </c>
    </row>
    <row r="33" customFormat="false" ht="12.75" hidden="false" customHeight="false" outlineLevel="0" collapsed="false">
      <c r="A33" s="46" t="s">
        <v>34</v>
      </c>
      <c r="B33" s="47"/>
      <c r="C33" s="74" t="e">
        <f aca="false">#REF!</f>
        <v>#REF!</v>
      </c>
      <c r="D33" s="75" t="e">
        <f aca="false">#REF!</f>
        <v>#REF!</v>
      </c>
      <c r="E33" s="76" t="e">
        <f aca="false">-D33+C33</f>
        <v>#REF!</v>
      </c>
      <c r="F33" s="81"/>
      <c r="G33" s="63" t="e">
        <f aca="false">#REF!+#REF!</f>
        <v>#REF!</v>
      </c>
      <c r="H33" s="63" t="e">
        <f aca="false">#REF!+#REF!</f>
        <v>#REF!</v>
      </c>
      <c r="I33" s="64" t="e">
        <f aca="false">G33-H33</f>
        <v>#REF!</v>
      </c>
      <c r="J33" s="77"/>
      <c r="K33" s="63" t="e">
        <f aca="false">#REF!</f>
        <v>#REF!</v>
      </c>
      <c r="L33" s="66" t="e">
        <f aca="false">#REF!</f>
        <v>#REF!</v>
      </c>
      <c r="M33" s="67" t="e">
        <f aca="false">K33-L33</f>
        <v>#REF!</v>
      </c>
      <c r="N33" s="77"/>
      <c r="O33" s="78" t="e">
        <f aca="false">C33-G33-K33</f>
        <v>#REF!</v>
      </c>
      <c r="P33" s="79" t="e">
        <f aca="false">D33-H33-L33</f>
        <v>#REF!</v>
      </c>
      <c r="Q33" s="67" t="e">
        <f aca="false">O33-P33</f>
        <v>#REF!</v>
      </c>
    </row>
    <row r="34" customFormat="false" ht="12.75" hidden="false" customHeight="false" outlineLevel="0" collapsed="false">
      <c r="A34" s="46" t="s">
        <v>35</v>
      </c>
      <c r="B34" s="47"/>
      <c r="C34" s="74" t="e">
        <f aca="false">#REF!</f>
        <v>#REF!</v>
      </c>
      <c r="D34" s="75" t="e">
        <f aca="false">#REF!</f>
        <v>#REF!</v>
      </c>
      <c r="E34" s="76" t="e">
        <f aca="false">-D34+C34</f>
        <v>#REF!</v>
      </c>
      <c r="F34" s="81"/>
      <c r="G34" s="63" t="e">
        <f aca="false">#REF!+#REF!</f>
        <v>#REF!</v>
      </c>
      <c r="H34" s="63" t="e">
        <f aca="false">#REF!+#REF!</f>
        <v>#REF!</v>
      </c>
      <c r="I34" s="64" t="e">
        <f aca="false">G34-H34</f>
        <v>#REF!</v>
      </c>
      <c r="J34" s="77"/>
      <c r="K34" s="63" t="e">
        <f aca="false">#REF!</f>
        <v>#REF!</v>
      </c>
      <c r="L34" s="66" t="e">
        <f aca="false">#REF!</f>
        <v>#REF!</v>
      </c>
      <c r="M34" s="67" t="e">
        <f aca="false">K34-L34</f>
        <v>#REF!</v>
      </c>
      <c r="N34" s="77"/>
      <c r="O34" s="78" t="e">
        <f aca="false">C34-G34-K34</f>
        <v>#REF!</v>
      </c>
      <c r="P34" s="79" t="e">
        <f aca="false">D34-H34-L34</f>
        <v>#REF!</v>
      </c>
      <c r="Q34" s="67" t="e">
        <f aca="false">O34-P34</f>
        <v>#REF!</v>
      </c>
    </row>
    <row r="35" customFormat="false" ht="12.75" hidden="false" customHeight="false" outlineLevel="0" collapsed="false">
      <c r="A35" s="46" t="s">
        <v>36</v>
      </c>
      <c r="B35" s="47"/>
      <c r="C35" s="74" t="e">
        <f aca="false">#REF!</f>
        <v>#REF!</v>
      </c>
      <c r="D35" s="75" t="e">
        <f aca="false">#REF!</f>
        <v>#REF!</v>
      </c>
      <c r="E35" s="76" t="e">
        <f aca="false">-D35+C35</f>
        <v>#REF!</v>
      </c>
      <c r="F35" s="81"/>
      <c r="G35" s="63" t="e">
        <f aca="false">#REF!+#REF!</f>
        <v>#REF!</v>
      </c>
      <c r="H35" s="63" t="e">
        <f aca="false">#REF!+#REF!</f>
        <v>#REF!</v>
      </c>
      <c r="I35" s="64" t="e">
        <f aca="false">G35-H35</f>
        <v>#REF!</v>
      </c>
      <c r="J35" s="77"/>
      <c r="K35" s="63" t="e">
        <f aca="false">#REF!</f>
        <v>#REF!</v>
      </c>
      <c r="L35" s="66" t="e">
        <f aca="false">#REF!</f>
        <v>#REF!</v>
      </c>
      <c r="M35" s="67" t="e">
        <f aca="false">K35-L35</f>
        <v>#REF!</v>
      </c>
      <c r="N35" s="77"/>
      <c r="O35" s="78" t="e">
        <f aca="false">C35-G35-K35</f>
        <v>#REF!</v>
      </c>
      <c r="P35" s="79" t="e">
        <f aca="false">D35-H35-L35</f>
        <v>#REF!</v>
      </c>
      <c r="Q35" s="67" t="e">
        <f aca="false">O35-P35</f>
        <v>#REF!</v>
      </c>
    </row>
    <row r="36" customFormat="false" ht="12.75" hidden="false" customHeight="false" outlineLevel="0" collapsed="false">
      <c r="A36" s="46" t="s">
        <v>37</v>
      </c>
      <c r="B36" s="47"/>
      <c r="C36" s="74" t="e">
        <f aca="false">#REF!</f>
        <v>#REF!</v>
      </c>
      <c r="D36" s="75" t="e">
        <f aca="false">#REF!</f>
        <v>#REF!</v>
      </c>
      <c r="E36" s="76" t="e">
        <f aca="false">-D36+C36</f>
        <v>#REF!</v>
      </c>
      <c r="F36" s="81"/>
      <c r="G36" s="63" t="e">
        <f aca="false">#REF!+#REF!</f>
        <v>#REF!</v>
      </c>
      <c r="H36" s="63" t="e">
        <f aca="false">#REF!+#REF!</f>
        <v>#REF!</v>
      </c>
      <c r="I36" s="64" t="e">
        <f aca="false">G36-H36</f>
        <v>#REF!</v>
      </c>
      <c r="J36" s="77"/>
      <c r="K36" s="63" t="e">
        <f aca="false">#REF!</f>
        <v>#REF!</v>
      </c>
      <c r="L36" s="66" t="e">
        <f aca="false">#REF!</f>
        <v>#REF!</v>
      </c>
      <c r="M36" s="67" t="e">
        <f aca="false">K36-L36</f>
        <v>#REF!</v>
      </c>
      <c r="N36" s="77"/>
      <c r="O36" s="78" t="e">
        <f aca="false">C36-G36-K36</f>
        <v>#REF!</v>
      </c>
      <c r="P36" s="79" t="e">
        <f aca="false">D36-H36-L36</f>
        <v>#REF!</v>
      </c>
      <c r="Q36" s="67" t="e">
        <f aca="false">O36-P36</f>
        <v>#REF!</v>
      </c>
    </row>
    <row r="37" customFormat="false" ht="13.5" hidden="false" customHeight="false" outlineLevel="0" collapsed="false">
      <c r="A37" s="82" t="s">
        <v>38</v>
      </c>
      <c r="B37" s="83"/>
      <c r="C37" s="84" t="e">
        <f aca="false">SUM(C28:C35)</f>
        <v>#REF!</v>
      </c>
      <c r="D37" s="85" t="e">
        <f aca="false">SUM(D28:D35)</f>
        <v>#REF!</v>
      </c>
      <c r="E37" s="86" t="e">
        <f aca="false">SUM(E28:E35)</f>
        <v>#REF!</v>
      </c>
      <c r="F37" s="87"/>
      <c r="G37" s="88" t="e">
        <f aca="false">SUM(G28:G35)</f>
        <v>#REF!</v>
      </c>
      <c r="H37" s="89" t="e">
        <f aca="false">SUM(H28:H35)</f>
        <v>#REF!</v>
      </c>
      <c r="I37" s="90" t="e">
        <f aca="false">G37-H37</f>
        <v>#REF!</v>
      </c>
      <c r="J37" s="91"/>
      <c r="K37" s="89" t="e">
        <f aca="false">SUM(K28:K36)</f>
        <v>#REF!</v>
      </c>
      <c r="L37" s="89" t="e">
        <f aca="false">SUM(L28:L35)</f>
        <v>#REF!</v>
      </c>
      <c r="M37" s="92" t="e">
        <f aca="false">SUM(M28:M35)</f>
        <v>#REF!</v>
      </c>
      <c r="N37" s="93"/>
      <c r="O37" s="88" t="e">
        <f aca="false">SUM(O28:O35)</f>
        <v>#REF!</v>
      </c>
      <c r="P37" s="89" t="e">
        <f aca="false">SUM(P28:P35)</f>
        <v>#REF!</v>
      </c>
      <c r="Q37" s="92" t="e">
        <f aca="false">SUM(Q28:Q35)</f>
        <v>#REF!</v>
      </c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  <c r="BY37" s="94"/>
      <c r="BZ37" s="94"/>
      <c r="CA37" s="94"/>
      <c r="CB37" s="94"/>
      <c r="CC37" s="94"/>
      <c r="CD37" s="94"/>
      <c r="CE37" s="94"/>
      <c r="CF37" s="94"/>
      <c r="CG37" s="94"/>
      <c r="CH37" s="94"/>
      <c r="CI37" s="94"/>
      <c r="CJ37" s="94"/>
      <c r="CK37" s="94"/>
      <c r="CL37" s="94"/>
      <c r="CM37" s="94"/>
      <c r="CN37" s="94"/>
      <c r="CO37" s="94"/>
      <c r="CP37" s="94"/>
      <c r="CQ37" s="94"/>
      <c r="CR37" s="94"/>
      <c r="CS37" s="94"/>
      <c r="CT37" s="94"/>
      <c r="CU37" s="94"/>
      <c r="CV37" s="94"/>
      <c r="CW37" s="94"/>
      <c r="CX37" s="94"/>
      <c r="CY37" s="94"/>
      <c r="CZ37" s="94"/>
      <c r="DA37" s="94"/>
      <c r="DB37" s="94"/>
      <c r="DC37" s="94"/>
      <c r="DD37" s="94"/>
      <c r="DE37" s="94"/>
      <c r="DF37" s="94"/>
      <c r="DG37" s="94"/>
      <c r="DH37" s="94"/>
      <c r="DI37" s="94"/>
      <c r="DJ37" s="94"/>
      <c r="DK37" s="94"/>
      <c r="DL37" s="94"/>
      <c r="DM37" s="94"/>
      <c r="DN37" s="94"/>
      <c r="DO37" s="94"/>
      <c r="DP37" s="94"/>
      <c r="DQ37" s="94"/>
      <c r="DR37" s="94"/>
      <c r="DS37" s="94"/>
      <c r="DT37" s="94"/>
      <c r="DU37" s="94"/>
      <c r="DV37" s="94"/>
      <c r="DW37" s="94"/>
      <c r="DX37" s="94"/>
      <c r="DY37" s="94"/>
      <c r="DZ37" s="94"/>
      <c r="EA37" s="94"/>
      <c r="EB37" s="94"/>
      <c r="EC37" s="94"/>
      <c r="ED37" s="94"/>
      <c r="EE37" s="94"/>
      <c r="EF37" s="94"/>
      <c r="EG37" s="94"/>
      <c r="EH37" s="94"/>
      <c r="EI37" s="94"/>
      <c r="EJ37" s="94"/>
      <c r="EK37" s="94"/>
      <c r="EL37" s="94"/>
      <c r="EM37" s="94"/>
      <c r="EN37" s="94"/>
      <c r="EO37" s="94"/>
      <c r="EP37" s="94"/>
      <c r="EQ37" s="94"/>
      <c r="ER37" s="94"/>
      <c r="ES37" s="94"/>
      <c r="ET37" s="94"/>
      <c r="EU37" s="94"/>
      <c r="EV37" s="94"/>
      <c r="EW37" s="94"/>
      <c r="EX37" s="94"/>
      <c r="EY37" s="94"/>
      <c r="EZ37" s="94"/>
      <c r="FA37" s="94"/>
      <c r="FB37" s="94"/>
      <c r="FC37" s="94"/>
      <c r="FD37" s="94"/>
      <c r="FE37" s="94"/>
      <c r="FF37" s="94"/>
      <c r="FG37" s="94"/>
      <c r="FH37" s="94"/>
      <c r="FI37" s="94"/>
      <c r="FJ37" s="94"/>
      <c r="FK37" s="94"/>
      <c r="FL37" s="94"/>
      <c r="FM37" s="94"/>
      <c r="FN37" s="94"/>
      <c r="FO37" s="94"/>
      <c r="FP37" s="94"/>
      <c r="FQ37" s="94"/>
      <c r="FR37" s="94"/>
      <c r="FS37" s="94"/>
      <c r="FT37" s="94"/>
      <c r="FU37" s="94"/>
      <c r="FV37" s="94"/>
      <c r="FW37" s="94"/>
      <c r="FX37" s="94"/>
      <c r="FY37" s="94"/>
      <c r="FZ37" s="94"/>
      <c r="GA37" s="94"/>
      <c r="GB37" s="94"/>
      <c r="GC37" s="94"/>
      <c r="GD37" s="94"/>
      <c r="GE37" s="94"/>
      <c r="GF37" s="94"/>
      <c r="GG37" s="94"/>
      <c r="GH37" s="94"/>
      <c r="GI37" s="94"/>
      <c r="GJ37" s="94"/>
      <c r="GK37" s="94"/>
      <c r="GL37" s="94"/>
      <c r="GM37" s="94"/>
      <c r="GN37" s="94"/>
      <c r="GO37" s="94"/>
      <c r="GP37" s="94"/>
      <c r="GQ37" s="94"/>
      <c r="GR37" s="94"/>
      <c r="GS37" s="94"/>
      <c r="GT37" s="94"/>
      <c r="GU37" s="94"/>
      <c r="GV37" s="94"/>
      <c r="GW37" s="94"/>
      <c r="GX37" s="94"/>
      <c r="GY37" s="94"/>
      <c r="GZ37" s="94"/>
      <c r="HA37" s="94"/>
      <c r="HB37" s="94"/>
      <c r="HC37" s="94"/>
      <c r="HD37" s="94"/>
      <c r="HE37" s="94"/>
      <c r="HF37" s="94"/>
      <c r="HG37" s="94"/>
      <c r="HH37" s="94"/>
      <c r="HI37" s="94"/>
      <c r="HJ37" s="94"/>
      <c r="HK37" s="94"/>
      <c r="HL37" s="94"/>
      <c r="HM37" s="94"/>
      <c r="HN37" s="94"/>
      <c r="HO37" s="94"/>
      <c r="HP37" s="94"/>
      <c r="HQ37" s="94"/>
      <c r="HR37" s="94"/>
      <c r="HS37" s="94"/>
      <c r="HT37" s="94"/>
      <c r="HU37" s="94"/>
      <c r="HV37" s="94"/>
      <c r="HW37" s="94"/>
      <c r="HX37" s="94"/>
      <c r="HY37" s="94"/>
      <c r="HZ37" s="94"/>
      <c r="IA37" s="94"/>
      <c r="IB37" s="94"/>
      <c r="IC37" s="94"/>
      <c r="ID37" s="94"/>
      <c r="IE37" s="94"/>
      <c r="IF37" s="94"/>
      <c r="IG37" s="94"/>
      <c r="IH37" s="94"/>
      <c r="II37" s="94"/>
      <c r="IJ37" s="94"/>
      <c r="IK37" s="94"/>
      <c r="IL37" s="94"/>
      <c r="IM37" s="94"/>
      <c r="IN37" s="94"/>
      <c r="IO37" s="94"/>
      <c r="IP37" s="94"/>
      <c r="IQ37" s="94"/>
      <c r="IR37" s="94"/>
      <c r="IS37" s="94"/>
      <c r="IT37" s="94"/>
      <c r="IU37" s="94"/>
      <c r="IV37" s="94"/>
      <c r="IW37" s="94"/>
    </row>
    <row r="38" customFormat="false" ht="8.25" hidden="false" customHeight="true" outlineLevel="0" collapsed="false">
      <c r="A38" s="46"/>
      <c r="B38" s="47"/>
      <c r="C38" s="74"/>
      <c r="D38" s="95"/>
      <c r="E38" s="76"/>
      <c r="F38" s="81"/>
      <c r="G38" s="78"/>
      <c r="H38" s="79"/>
      <c r="I38" s="96"/>
      <c r="J38" s="77"/>
      <c r="K38" s="79"/>
      <c r="L38" s="79"/>
      <c r="M38" s="67"/>
      <c r="N38" s="77"/>
      <c r="O38" s="78"/>
      <c r="P38" s="79"/>
      <c r="Q38" s="67"/>
    </row>
    <row r="39" customFormat="false" ht="13.5" hidden="false" customHeight="true" outlineLevel="0" collapsed="false">
      <c r="A39" s="46" t="s">
        <v>39</v>
      </c>
      <c r="B39" s="47"/>
      <c r="C39" s="74" t="e">
        <f aca="false">#REF!</f>
        <v>#REF!</v>
      </c>
      <c r="D39" s="75" t="e">
        <f aca="false">#REF!</f>
        <v>#REF!</v>
      </c>
      <c r="E39" s="76" t="e">
        <f aca="false">-D39+C39</f>
        <v>#REF!</v>
      </c>
      <c r="F39" s="81"/>
      <c r="G39" s="63" t="e">
        <f aca="false">#REF!+#REF!</f>
        <v>#REF!</v>
      </c>
      <c r="H39" s="63" t="e">
        <f aca="false">#REF!+#REF!</f>
        <v>#REF!</v>
      </c>
      <c r="I39" s="96" t="e">
        <f aca="false">G39-H39</f>
        <v>#REF!</v>
      </c>
      <c r="J39" s="77"/>
      <c r="K39" s="63" t="e">
        <f aca="false">#REF!</f>
        <v>#REF!</v>
      </c>
      <c r="L39" s="79" t="e">
        <f aca="false">#REF!</f>
        <v>#REF!</v>
      </c>
      <c r="M39" s="67" t="e">
        <f aca="false">K39-L39</f>
        <v>#REF!</v>
      </c>
      <c r="N39" s="77"/>
      <c r="O39" s="78" t="e">
        <f aca="false">C39-G39-K39</f>
        <v>#REF!</v>
      </c>
      <c r="P39" s="79" t="e">
        <f aca="false">D39-H39-L39</f>
        <v>#REF!</v>
      </c>
      <c r="Q39" s="67" t="e">
        <f aca="false">O39-P39</f>
        <v>#REF!</v>
      </c>
    </row>
    <row r="40" customFormat="false" ht="13.5" hidden="false" customHeight="true" outlineLevel="0" collapsed="false">
      <c r="A40" s="46" t="s">
        <v>40</v>
      </c>
      <c r="B40" s="47"/>
      <c r="C40" s="74" t="e">
        <f aca="false">#REF!</f>
        <v>#REF!</v>
      </c>
      <c r="D40" s="75" t="e">
        <f aca="false">#REF!</f>
        <v>#REF!</v>
      </c>
      <c r="E40" s="76" t="e">
        <f aca="false">-D40+C40</f>
        <v>#REF!</v>
      </c>
      <c r="F40" s="81"/>
      <c r="G40" s="63" t="e">
        <f aca="false">#REF!+#REF!</f>
        <v>#REF!</v>
      </c>
      <c r="H40" s="63" t="e">
        <f aca="false">#REF!+#REF!</f>
        <v>#REF!</v>
      </c>
      <c r="I40" s="96" t="e">
        <f aca="false">G40-H40</f>
        <v>#REF!</v>
      </c>
      <c r="J40" s="77"/>
      <c r="K40" s="63" t="e">
        <f aca="false">#REF!</f>
        <v>#REF!</v>
      </c>
      <c r="L40" s="79" t="e">
        <f aca="false">#REF!</f>
        <v>#REF!</v>
      </c>
      <c r="M40" s="67" t="e">
        <f aca="false">K40-L40</f>
        <v>#REF!</v>
      </c>
      <c r="N40" s="77"/>
      <c r="O40" s="78" t="e">
        <f aca="false">C40-G40-K40</f>
        <v>#REF!</v>
      </c>
      <c r="P40" s="79" t="e">
        <f aca="false">D40-H40-L40</f>
        <v>#REF!</v>
      </c>
      <c r="Q40" s="67" t="e">
        <f aca="false">O40-P40</f>
        <v>#REF!</v>
      </c>
    </row>
    <row r="41" customFormat="false" ht="13.5" hidden="false" customHeight="true" outlineLevel="0" collapsed="false">
      <c r="A41" s="46" t="s">
        <v>41</v>
      </c>
      <c r="B41" s="47"/>
      <c r="C41" s="74" t="e">
        <f aca="false">#REF!</f>
        <v>#REF!</v>
      </c>
      <c r="D41" s="75" t="e">
        <f aca="false">#REF!</f>
        <v>#REF!</v>
      </c>
      <c r="E41" s="76" t="e">
        <f aca="false">-D41+C41</f>
        <v>#REF!</v>
      </c>
      <c r="F41" s="81"/>
      <c r="G41" s="63" t="e">
        <f aca="false">#REF!+#REF!</f>
        <v>#REF!</v>
      </c>
      <c r="H41" s="63" t="e">
        <f aca="false">#REF!+#REF!</f>
        <v>#REF!</v>
      </c>
      <c r="I41" s="96" t="e">
        <f aca="false">G41-H41</f>
        <v>#REF!</v>
      </c>
      <c r="J41" s="77"/>
      <c r="K41" s="63" t="e">
        <f aca="false">#REF!</f>
        <v>#REF!</v>
      </c>
      <c r="L41" s="79" t="e">
        <f aca="false">#REF!</f>
        <v>#REF!</v>
      </c>
      <c r="M41" s="67" t="e">
        <f aca="false">K41-L41</f>
        <v>#REF!</v>
      </c>
      <c r="N41" s="77"/>
      <c r="O41" s="78" t="e">
        <f aca="false">C41-G41-K41</f>
        <v>#REF!</v>
      </c>
      <c r="P41" s="79" t="e">
        <f aca="false">D41-H41-L41</f>
        <v>#REF!</v>
      </c>
      <c r="Q41" s="67" t="e">
        <f aca="false">O41-P41</f>
        <v>#REF!</v>
      </c>
    </row>
    <row r="42" customFormat="false" ht="13.5" hidden="false" customHeight="true" outlineLevel="0" collapsed="false">
      <c r="A42" s="46" t="s">
        <v>42</v>
      </c>
      <c r="B42" s="47"/>
      <c r="C42" s="74" t="e">
        <f aca="false">#REF!</f>
        <v>#REF!</v>
      </c>
      <c r="D42" s="75" t="e">
        <f aca="false">#REF!</f>
        <v>#REF!</v>
      </c>
      <c r="E42" s="76" t="e">
        <f aca="false">-D42+C42</f>
        <v>#REF!</v>
      </c>
      <c r="F42" s="81"/>
      <c r="G42" s="63" t="e">
        <f aca="false">#REF!+#REF!</f>
        <v>#REF!</v>
      </c>
      <c r="H42" s="63" t="e">
        <f aca="false">#REF!+#REF!</f>
        <v>#REF!</v>
      </c>
      <c r="I42" s="96" t="e">
        <f aca="false">G42-H42</f>
        <v>#REF!</v>
      </c>
      <c r="J42" s="77"/>
      <c r="K42" s="63" t="e">
        <f aca="false">#REF!</f>
        <v>#REF!</v>
      </c>
      <c r="L42" s="79" t="e">
        <f aca="false">#REF!</f>
        <v>#REF!</v>
      </c>
      <c r="M42" s="67" t="e">
        <f aca="false">K42-L42</f>
        <v>#REF!</v>
      </c>
      <c r="N42" s="77"/>
      <c r="O42" s="78" t="e">
        <f aca="false">C42-G42-K42</f>
        <v>#REF!</v>
      </c>
      <c r="P42" s="79" t="e">
        <f aca="false">D42-H42-L42</f>
        <v>#REF!</v>
      </c>
      <c r="Q42" s="67" t="e">
        <f aca="false">O42-P42</f>
        <v>#REF!</v>
      </c>
    </row>
    <row r="43" customFormat="false" ht="12.75" hidden="false" customHeight="false" outlineLevel="0" collapsed="false">
      <c r="A43" s="46" t="s">
        <v>43</v>
      </c>
      <c r="B43" s="47"/>
      <c r="C43" s="74" t="e">
        <f aca="false">#REF!</f>
        <v>#REF!</v>
      </c>
      <c r="D43" s="75" t="e">
        <f aca="false">#REF!</f>
        <v>#REF!</v>
      </c>
      <c r="E43" s="76" t="e">
        <f aca="false">-D43+C43</f>
        <v>#REF!</v>
      </c>
      <c r="F43" s="81"/>
      <c r="G43" s="63" t="e">
        <f aca="false">#REF!+#REF!</f>
        <v>#REF!</v>
      </c>
      <c r="H43" s="63" t="e">
        <f aca="false">#REF!+#REF!</f>
        <v>#REF!</v>
      </c>
      <c r="I43" s="96" t="e">
        <f aca="false">G43-H43</f>
        <v>#REF!</v>
      </c>
      <c r="J43" s="77"/>
      <c r="K43" s="63" t="e">
        <f aca="false">#REF!</f>
        <v>#REF!</v>
      </c>
      <c r="L43" s="79" t="e">
        <f aca="false">#REF!</f>
        <v>#REF!</v>
      </c>
      <c r="M43" s="67" t="e">
        <f aca="false">K43-L43</f>
        <v>#REF!</v>
      </c>
      <c r="N43" s="77"/>
      <c r="O43" s="78" t="e">
        <f aca="false">C43-G43-K43</f>
        <v>#REF!</v>
      </c>
      <c r="P43" s="79" t="e">
        <f aca="false">D43-H43-L43</f>
        <v>#REF!</v>
      </c>
      <c r="Q43" s="67" t="e">
        <f aca="false">O43-P43</f>
        <v>#REF!</v>
      </c>
    </row>
    <row r="44" customFormat="false" ht="12.75" hidden="false" customHeight="false" outlineLevel="0" collapsed="false">
      <c r="A44" s="46" t="s">
        <v>44</v>
      </c>
      <c r="B44" s="47"/>
      <c r="C44" s="74" t="e">
        <f aca="false">#REF!</f>
        <v>#REF!</v>
      </c>
      <c r="D44" s="75" t="e">
        <f aca="false">#REF!</f>
        <v>#REF!</v>
      </c>
      <c r="E44" s="76" t="e">
        <f aca="false">-D44+C44</f>
        <v>#REF!</v>
      </c>
      <c r="F44" s="81"/>
      <c r="G44" s="63" t="e">
        <f aca="false">#REF!+#REF!</f>
        <v>#REF!</v>
      </c>
      <c r="H44" s="63" t="e">
        <f aca="false">#REF!+#REF!</f>
        <v>#REF!</v>
      </c>
      <c r="I44" s="96" t="e">
        <f aca="false">G44-H44</f>
        <v>#REF!</v>
      </c>
      <c r="J44" s="77"/>
      <c r="K44" s="63" t="e">
        <f aca="false">#REF!</f>
        <v>#REF!</v>
      </c>
      <c r="L44" s="79" t="e">
        <f aca="false">#REF!</f>
        <v>#REF!</v>
      </c>
      <c r="M44" s="67" t="e">
        <f aca="false">K44-L44</f>
        <v>#REF!</v>
      </c>
      <c r="N44" s="77"/>
      <c r="O44" s="78" t="e">
        <f aca="false">C44-G44-K44</f>
        <v>#REF!</v>
      </c>
      <c r="P44" s="79" t="e">
        <f aca="false">D44-H44-L44</f>
        <v>#REF!</v>
      </c>
      <c r="Q44" s="67" t="e">
        <f aca="false">O44-P44</f>
        <v>#REF!</v>
      </c>
    </row>
    <row r="45" customFormat="false" ht="12" hidden="false" customHeight="true" outlineLevel="0" collapsed="false">
      <c r="A45" s="82" t="s">
        <v>45</v>
      </c>
      <c r="B45" s="83"/>
      <c r="C45" s="84" t="e">
        <f aca="false">SUM(C39:C44)</f>
        <v>#REF!</v>
      </c>
      <c r="D45" s="85" t="e">
        <f aca="false">SUM(D39:D44)</f>
        <v>#REF!</v>
      </c>
      <c r="E45" s="86" t="e">
        <f aca="false">SUM(E39:E44)</f>
        <v>#REF!</v>
      </c>
      <c r="F45" s="87"/>
      <c r="G45" s="88" t="e">
        <f aca="false">SUM(G39:G44)</f>
        <v>#REF!</v>
      </c>
      <c r="H45" s="89" t="e">
        <f aca="false">SUM(H39:H44)</f>
        <v>#REF!</v>
      </c>
      <c r="I45" s="90" t="e">
        <f aca="false">G45-H45</f>
        <v>#REF!</v>
      </c>
      <c r="J45" s="91"/>
      <c r="K45" s="89" t="e">
        <f aca="false">SUM(K39:K44)</f>
        <v>#REF!</v>
      </c>
      <c r="L45" s="89" t="e">
        <f aca="false">SUM(L39:L44)</f>
        <v>#REF!</v>
      </c>
      <c r="M45" s="92" t="e">
        <f aca="false">SUM(M39:M44)</f>
        <v>#REF!</v>
      </c>
      <c r="N45" s="93"/>
      <c r="O45" s="88" t="e">
        <f aca="false">SUM(O39:O44)</f>
        <v>#REF!</v>
      </c>
      <c r="P45" s="89" t="e">
        <f aca="false">SUM(P39:P44)</f>
        <v>#REF!</v>
      </c>
      <c r="Q45" s="92" t="e">
        <f aca="false">SUM(Q39:Q44)</f>
        <v>#REF!</v>
      </c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94"/>
      <c r="CD45" s="94"/>
      <c r="CE45" s="94"/>
      <c r="CF45" s="94"/>
      <c r="CG45" s="94"/>
      <c r="CH45" s="94"/>
      <c r="CI45" s="94"/>
      <c r="CJ45" s="94"/>
      <c r="CK45" s="94"/>
      <c r="CL45" s="94"/>
      <c r="CM45" s="94"/>
      <c r="CN45" s="94"/>
      <c r="CO45" s="94"/>
      <c r="CP45" s="94"/>
      <c r="CQ45" s="94"/>
      <c r="CR45" s="94"/>
      <c r="CS45" s="94"/>
      <c r="CT45" s="94"/>
      <c r="CU45" s="94"/>
      <c r="CV45" s="94"/>
      <c r="CW45" s="94"/>
      <c r="CX45" s="94"/>
      <c r="CY45" s="94"/>
      <c r="CZ45" s="94"/>
      <c r="DA45" s="94"/>
      <c r="DB45" s="94"/>
      <c r="DC45" s="94"/>
      <c r="DD45" s="94"/>
      <c r="DE45" s="94"/>
      <c r="DF45" s="94"/>
      <c r="DG45" s="94"/>
      <c r="DH45" s="94"/>
      <c r="DI45" s="94"/>
      <c r="DJ45" s="94"/>
      <c r="DK45" s="94"/>
      <c r="DL45" s="94"/>
      <c r="DM45" s="94"/>
      <c r="DN45" s="94"/>
      <c r="DO45" s="94"/>
      <c r="DP45" s="94"/>
      <c r="DQ45" s="94"/>
      <c r="DR45" s="94"/>
      <c r="DS45" s="94"/>
      <c r="DT45" s="94"/>
      <c r="DU45" s="94"/>
      <c r="DV45" s="94"/>
      <c r="DW45" s="94"/>
      <c r="DX45" s="94"/>
      <c r="DY45" s="94"/>
      <c r="DZ45" s="94"/>
      <c r="EA45" s="94"/>
      <c r="EB45" s="94"/>
      <c r="EC45" s="94"/>
      <c r="ED45" s="94"/>
      <c r="EE45" s="94"/>
      <c r="EF45" s="94"/>
      <c r="EG45" s="94"/>
      <c r="EH45" s="94"/>
      <c r="EI45" s="94"/>
      <c r="EJ45" s="94"/>
      <c r="EK45" s="94"/>
      <c r="EL45" s="94"/>
      <c r="EM45" s="94"/>
      <c r="EN45" s="94"/>
      <c r="EO45" s="94"/>
      <c r="EP45" s="94"/>
      <c r="EQ45" s="94"/>
      <c r="ER45" s="94"/>
      <c r="ES45" s="94"/>
      <c r="ET45" s="94"/>
      <c r="EU45" s="94"/>
      <c r="EV45" s="94"/>
      <c r="EW45" s="94"/>
      <c r="EX45" s="94"/>
      <c r="EY45" s="94"/>
      <c r="EZ45" s="94"/>
      <c r="FA45" s="94"/>
      <c r="FB45" s="94"/>
      <c r="FC45" s="94"/>
      <c r="FD45" s="94"/>
      <c r="FE45" s="94"/>
      <c r="FF45" s="94"/>
      <c r="FG45" s="94"/>
      <c r="FH45" s="94"/>
      <c r="FI45" s="94"/>
      <c r="FJ45" s="94"/>
      <c r="FK45" s="94"/>
      <c r="FL45" s="94"/>
      <c r="FM45" s="94"/>
      <c r="FN45" s="94"/>
      <c r="FO45" s="94"/>
      <c r="FP45" s="94"/>
      <c r="FQ45" s="94"/>
      <c r="FR45" s="94"/>
      <c r="FS45" s="94"/>
      <c r="FT45" s="94"/>
      <c r="FU45" s="94"/>
      <c r="FV45" s="94"/>
      <c r="FW45" s="94"/>
      <c r="FX45" s="94"/>
      <c r="FY45" s="94"/>
      <c r="FZ45" s="94"/>
      <c r="GA45" s="94"/>
      <c r="GB45" s="94"/>
      <c r="GC45" s="94"/>
      <c r="GD45" s="94"/>
      <c r="GE45" s="94"/>
      <c r="GF45" s="94"/>
      <c r="GG45" s="94"/>
      <c r="GH45" s="94"/>
      <c r="GI45" s="94"/>
      <c r="GJ45" s="94"/>
      <c r="GK45" s="94"/>
      <c r="GL45" s="94"/>
      <c r="GM45" s="94"/>
      <c r="GN45" s="94"/>
      <c r="GO45" s="94"/>
      <c r="GP45" s="94"/>
      <c r="GQ45" s="94"/>
      <c r="GR45" s="94"/>
      <c r="GS45" s="94"/>
      <c r="GT45" s="94"/>
      <c r="GU45" s="94"/>
      <c r="GV45" s="94"/>
      <c r="GW45" s="94"/>
      <c r="GX45" s="94"/>
      <c r="GY45" s="94"/>
      <c r="GZ45" s="94"/>
      <c r="HA45" s="94"/>
      <c r="HB45" s="94"/>
      <c r="HC45" s="94"/>
      <c r="HD45" s="94"/>
      <c r="HE45" s="94"/>
      <c r="HF45" s="94"/>
      <c r="HG45" s="94"/>
      <c r="HH45" s="94"/>
      <c r="HI45" s="94"/>
      <c r="HJ45" s="94"/>
      <c r="HK45" s="94"/>
      <c r="HL45" s="94"/>
      <c r="HM45" s="94"/>
      <c r="HN45" s="94"/>
      <c r="HO45" s="94"/>
      <c r="HP45" s="94"/>
      <c r="HQ45" s="94"/>
      <c r="HR45" s="94"/>
      <c r="HS45" s="94"/>
      <c r="HT45" s="94"/>
      <c r="HU45" s="94"/>
      <c r="HV45" s="94"/>
      <c r="HW45" s="94"/>
      <c r="HX45" s="94"/>
      <c r="HY45" s="94"/>
      <c r="HZ45" s="94"/>
      <c r="IA45" s="94"/>
      <c r="IB45" s="94"/>
      <c r="IC45" s="94"/>
      <c r="ID45" s="94"/>
      <c r="IE45" s="94"/>
      <c r="IF45" s="94"/>
      <c r="IG45" s="94"/>
      <c r="IH45" s="94"/>
      <c r="II45" s="94"/>
      <c r="IJ45" s="94"/>
      <c r="IK45" s="94"/>
      <c r="IL45" s="94"/>
      <c r="IM45" s="94"/>
      <c r="IN45" s="94"/>
      <c r="IO45" s="94"/>
      <c r="IP45" s="94"/>
      <c r="IQ45" s="94"/>
      <c r="IR45" s="94"/>
      <c r="IS45" s="94"/>
      <c r="IT45" s="94"/>
      <c r="IU45" s="94"/>
      <c r="IV45" s="94"/>
      <c r="IW45" s="94"/>
    </row>
    <row r="46" customFormat="false" ht="8.25" hidden="false" customHeight="true" outlineLevel="0" collapsed="false">
      <c r="A46" s="46"/>
      <c r="B46" s="47"/>
      <c r="C46" s="74"/>
      <c r="D46" s="95"/>
      <c r="E46" s="76"/>
      <c r="F46" s="81"/>
      <c r="G46" s="78"/>
      <c r="H46" s="79"/>
      <c r="I46" s="96"/>
      <c r="J46" s="77"/>
      <c r="K46" s="79"/>
      <c r="L46" s="79"/>
      <c r="M46" s="67"/>
      <c r="N46" s="77"/>
      <c r="O46" s="78"/>
      <c r="P46" s="79"/>
      <c r="Q46" s="67"/>
    </row>
    <row r="47" customFormat="false" ht="12.75" hidden="false" customHeight="false" outlineLevel="0" collapsed="false">
      <c r="A47" s="46" t="s">
        <v>46</v>
      </c>
      <c r="B47" s="47"/>
      <c r="C47" s="74" t="e">
        <f aca="false">#REF!</f>
        <v>#REF!</v>
      </c>
      <c r="D47" s="75" t="e">
        <f aca="false">#REF!</f>
        <v>#REF!</v>
      </c>
      <c r="E47" s="76" t="e">
        <f aca="false">-D47+C47</f>
        <v>#REF!</v>
      </c>
      <c r="F47" s="81"/>
      <c r="G47" s="63" t="e">
        <f aca="false">#REF!+#REF!</f>
        <v>#REF!</v>
      </c>
      <c r="H47" s="63" t="e">
        <f aca="false">#REF!+#REF!</f>
        <v>#REF!</v>
      </c>
      <c r="I47" s="96" t="e">
        <f aca="false">G47-H47</f>
        <v>#REF!</v>
      </c>
      <c r="J47" s="77"/>
      <c r="K47" s="63" t="e">
        <f aca="false">#REF!</f>
        <v>#REF!</v>
      </c>
      <c r="L47" s="66" t="e">
        <f aca="false">#REF!</f>
        <v>#REF!</v>
      </c>
      <c r="M47" s="67" t="e">
        <f aca="false">K47-L47</f>
        <v>#REF!</v>
      </c>
      <c r="N47" s="77"/>
      <c r="O47" s="78" t="e">
        <f aca="false">C47-G47-K47</f>
        <v>#REF!</v>
      </c>
      <c r="P47" s="79" t="e">
        <f aca="false">D47-H47-L47</f>
        <v>#REF!</v>
      </c>
      <c r="Q47" s="67" t="e">
        <f aca="false">O47-P47</f>
        <v>#REF!</v>
      </c>
    </row>
    <row r="48" customFormat="false" ht="12.75" hidden="false" customHeight="false" outlineLevel="0" collapsed="false">
      <c r="A48" s="46" t="s">
        <v>47</v>
      </c>
      <c r="B48" s="47"/>
      <c r="C48" s="74" t="e">
        <f aca="false">#REF!</f>
        <v>#REF!</v>
      </c>
      <c r="D48" s="75" t="e">
        <f aca="false">#REF!</f>
        <v>#REF!</v>
      </c>
      <c r="E48" s="76" t="e">
        <f aca="false">-D48+C48</f>
        <v>#REF!</v>
      </c>
      <c r="F48" s="81"/>
      <c r="G48" s="63" t="e">
        <f aca="false">#REF!+#REF!</f>
        <v>#REF!</v>
      </c>
      <c r="H48" s="63" t="e">
        <f aca="false">#REF!+#REF!</f>
        <v>#REF!</v>
      </c>
      <c r="I48" s="96" t="e">
        <f aca="false">G48-H48</f>
        <v>#REF!</v>
      </c>
      <c r="J48" s="77"/>
      <c r="K48" s="63" t="e">
        <f aca="false">#REF!</f>
        <v>#REF!</v>
      </c>
      <c r="L48" s="66" t="e">
        <f aca="false">#REF!</f>
        <v>#REF!</v>
      </c>
      <c r="M48" s="67" t="e">
        <f aca="false">K48-L48</f>
        <v>#REF!</v>
      </c>
      <c r="N48" s="77"/>
      <c r="O48" s="78" t="e">
        <f aca="false">C48-G48-K48</f>
        <v>#REF!</v>
      </c>
      <c r="P48" s="79" t="e">
        <f aca="false">D48-H48-L48</f>
        <v>#REF!</v>
      </c>
      <c r="Q48" s="67" t="e">
        <f aca="false">O48-P48</f>
        <v>#REF!</v>
      </c>
    </row>
    <row r="49" customFormat="false" ht="12.75" hidden="false" customHeight="false" outlineLevel="0" collapsed="false">
      <c r="A49" s="46" t="s">
        <v>48</v>
      </c>
      <c r="B49" s="47"/>
      <c r="C49" s="74" t="e">
        <f aca="false">#REF!</f>
        <v>#REF!</v>
      </c>
      <c r="D49" s="75" t="e">
        <f aca="false">#REF!</f>
        <v>#REF!</v>
      </c>
      <c r="E49" s="76" t="e">
        <f aca="false">-D49+C49</f>
        <v>#REF!</v>
      </c>
      <c r="F49" s="81"/>
      <c r="G49" s="63" t="e">
        <f aca="false">#REF!+#REF!</f>
        <v>#REF!</v>
      </c>
      <c r="H49" s="63" t="e">
        <f aca="false">#REF!+#REF!</f>
        <v>#REF!</v>
      </c>
      <c r="I49" s="96" t="e">
        <f aca="false">G49-H49</f>
        <v>#REF!</v>
      </c>
      <c r="J49" s="77"/>
      <c r="K49" s="63" t="e">
        <f aca="false">#REF!</f>
        <v>#REF!</v>
      </c>
      <c r="L49" s="66" t="e">
        <f aca="false">#REF!</f>
        <v>#REF!</v>
      </c>
      <c r="M49" s="67" t="e">
        <f aca="false">K49-L49</f>
        <v>#REF!</v>
      </c>
      <c r="N49" s="77"/>
      <c r="O49" s="78" t="e">
        <f aca="false">C49-G49-K49</f>
        <v>#REF!</v>
      </c>
      <c r="P49" s="79" t="e">
        <f aca="false">D49-H49-L49</f>
        <v>#REF!</v>
      </c>
      <c r="Q49" s="67" t="e">
        <f aca="false">O49-P49</f>
        <v>#REF!</v>
      </c>
    </row>
    <row r="50" customFormat="false" ht="12.75" hidden="false" customHeight="false" outlineLevel="0" collapsed="false">
      <c r="A50" s="46" t="s">
        <v>49</v>
      </c>
      <c r="B50" s="47"/>
      <c r="C50" s="74" t="e">
        <f aca="false">#REF!</f>
        <v>#REF!</v>
      </c>
      <c r="D50" s="75" t="e">
        <f aca="false">#REF!</f>
        <v>#REF!</v>
      </c>
      <c r="E50" s="76" t="e">
        <f aca="false">-D50+C50</f>
        <v>#REF!</v>
      </c>
      <c r="F50" s="81"/>
      <c r="G50" s="63" t="e">
        <f aca="false">#REF!+#REF!</f>
        <v>#REF!</v>
      </c>
      <c r="H50" s="63" t="e">
        <f aca="false">#REF!+#REF!</f>
        <v>#REF!</v>
      </c>
      <c r="I50" s="96" t="e">
        <f aca="false">G50-H50</f>
        <v>#REF!</v>
      </c>
      <c r="J50" s="77"/>
      <c r="K50" s="63" t="e">
        <f aca="false">#REF!</f>
        <v>#REF!</v>
      </c>
      <c r="L50" s="66" t="e">
        <f aca="false">#REF!</f>
        <v>#REF!</v>
      </c>
      <c r="M50" s="67" t="e">
        <f aca="false">K50-L50</f>
        <v>#REF!</v>
      </c>
      <c r="N50" s="77"/>
      <c r="O50" s="78" t="e">
        <f aca="false">C50-G50-K50</f>
        <v>#REF!</v>
      </c>
      <c r="P50" s="79" t="e">
        <f aca="false">D50-H50-L50</f>
        <v>#REF!</v>
      </c>
      <c r="Q50" s="67" t="e">
        <f aca="false">O50-P50</f>
        <v>#REF!</v>
      </c>
    </row>
    <row r="51" customFormat="false" ht="12.75" hidden="false" customHeight="false" outlineLevel="0" collapsed="false">
      <c r="A51" s="46" t="s">
        <v>50</v>
      </c>
      <c r="B51" s="47"/>
      <c r="C51" s="74" t="e">
        <f aca="false">#REF!</f>
        <v>#REF!</v>
      </c>
      <c r="D51" s="75" t="e">
        <f aca="false">#REF!</f>
        <v>#REF!</v>
      </c>
      <c r="E51" s="76" t="e">
        <f aca="false">-D51+C51</f>
        <v>#REF!</v>
      </c>
      <c r="F51" s="81"/>
      <c r="G51" s="63" t="e">
        <f aca="false">#REF!+#REF!</f>
        <v>#REF!</v>
      </c>
      <c r="H51" s="63" t="e">
        <f aca="false">#REF!+#REF!</f>
        <v>#REF!</v>
      </c>
      <c r="I51" s="96" t="e">
        <f aca="false">G51-H51</f>
        <v>#REF!</v>
      </c>
      <c r="J51" s="77"/>
      <c r="K51" s="63" t="e">
        <f aca="false">#REF!</f>
        <v>#REF!</v>
      </c>
      <c r="L51" s="66" t="e">
        <f aca="false">#REF!</f>
        <v>#REF!</v>
      </c>
      <c r="M51" s="67" t="e">
        <f aca="false">K51-L51</f>
        <v>#REF!</v>
      </c>
      <c r="N51" s="77"/>
      <c r="O51" s="78" t="e">
        <f aca="false">C51-G51-K51</f>
        <v>#REF!</v>
      </c>
      <c r="P51" s="79" t="e">
        <f aca="false">D51-H51-L51</f>
        <v>#REF!</v>
      </c>
      <c r="Q51" s="67" t="e">
        <f aca="false">O51-P51</f>
        <v>#REF!</v>
      </c>
    </row>
    <row r="52" customFormat="false" ht="12.75" hidden="false" customHeight="false" outlineLevel="0" collapsed="false">
      <c r="A52" s="46" t="s">
        <v>51</v>
      </c>
      <c r="B52" s="47"/>
      <c r="C52" s="74" t="e">
        <f aca="false">#REF!</f>
        <v>#REF!</v>
      </c>
      <c r="D52" s="75" t="e">
        <f aca="false">#REF!</f>
        <v>#REF!</v>
      </c>
      <c r="E52" s="76" t="e">
        <f aca="false">-D52+C52</f>
        <v>#REF!</v>
      </c>
      <c r="F52" s="81"/>
      <c r="G52" s="63" t="e">
        <f aca="false">#REF!+#REF!</f>
        <v>#REF!</v>
      </c>
      <c r="H52" s="63" t="e">
        <f aca="false">#REF!+#REF!</f>
        <v>#REF!</v>
      </c>
      <c r="I52" s="96" t="e">
        <f aca="false">G52-H52</f>
        <v>#REF!</v>
      </c>
      <c r="J52" s="77"/>
      <c r="K52" s="63" t="e">
        <f aca="false">#REF!</f>
        <v>#REF!</v>
      </c>
      <c r="L52" s="66" t="e">
        <f aca="false">#REF!</f>
        <v>#REF!</v>
      </c>
      <c r="M52" s="67" t="e">
        <f aca="false">K52-L52</f>
        <v>#REF!</v>
      </c>
      <c r="N52" s="77"/>
      <c r="O52" s="78" t="e">
        <f aca="false">C52-G52-K52</f>
        <v>#REF!</v>
      </c>
      <c r="P52" s="79" t="e">
        <f aca="false">D52-H52-L52</f>
        <v>#REF!</v>
      </c>
      <c r="Q52" s="67" t="e">
        <f aca="false">O52-P52</f>
        <v>#REF!</v>
      </c>
    </row>
    <row r="53" customFormat="false" ht="12.75" hidden="false" customHeight="false" outlineLevel="0" collapsed="false">
      <c r="A53" s="46" t="s">
        <v>52</v>
      </c>
      <c r="B53" s="47"/>
      <c r="C53" s="74" t="e">
        <f aca="false">#REF!</f>
        <v>#REF!</v>
      </c>
      <c r="D53" s="75" t="e">
        <f aca="false">#REF!</f>
        <v>#REF!</v>
      </c>
      <c r="E53" s="76" t="e">
        <f aca="false">-D53+C53</f>
        <v>#REF!</v>
      </c>
      <c r="F53" s="81"/>
      <c r="G53" s="63" t="e">
        <f aca="false">#REF!+#REF!</f>
        <v>#REF!</v>
      </c>
      <c r="H53" s="63" t="e">
        <f aca="false">#REF!+#REF!</f>
        <v>#REF!</v>
      </c>
      <c r="I53" s="96" t="e">
        <f aca="false">G53-H53</f>
        <v>#REF!</v>
      </c>
      <c r="J53" s="77"/>
      <c r="K53" s="63" t="e">
        <f aca="false">#REF!</f>
        <v>#REF!</v>
      </c>
      <c r="L53" s="66" t="e">
        <f aca="false">#REF!</f>
        <v>#REF!</v>
      </c>
      <c r="M53" s="67" t="e">
        <f aca="false">K53-L53</f>
        <v>#REF!</v>
      </c>
      <c r="N53" s="77"/>
      <c r="O53" s="78" t="e">
        <f aca="false">C53-G53-K53</f>
        <v>#REF!</v>
      </c>
      <c r="P53" s="79" t="e">
        <f aca="false">D53-H53-L53</f>
        <v>#REF!</v>
      </c>
      <c r="Q53" s="67" t="e">
        <f aca="false">O53-P53</f>
        <v>#REF!</v>
      </c>
    </row>
    <row r="54" customFormat="false" ht="12.75" hidden="false" customHeight="false" outlineLevel="0" collapsed="false">
      <c r="A54" s="46" t="s">
        <v>53</v>
      </c>
      <c r="B54" s="47"/>
      <c r="C54" s="74" t="e">
        <f aca="false">#REF!</f>
        <v>#REF!</v>
      </c>
      <c r="D54" s="75" t="e">
        <f aca="false">#REF!</f>
        <v>#REF!</v>
      </c>
      <c r="E54" s="76" t="e">
        <f aca="false">-D54+C54</f>
        <v>#REF!</v>
      </c>
      <c r="F54" s="81"/>
      <c r="G54" s="63" t="e">
        <f aca="false">#REF!+#REF!</f>
        <v>#REF!</v>
      </c>
      <c r="H54" s="63" t="e">
        <f aca="false">#REF!+#REF!</f>
        <v>#REF!</v>
      </c>
      <c r="I54" s="96" t="e">
        <f aca="false">G54-H54</f>
        <v>#REF!</v>
      </c>
      <c r="J54" s="77"/>
      <c r="K54" s="63" t="e">
        <f aca="false">#REF!</f>
        <v>#REF!</v>
      </c>
      <c r="L54" s="66" t="e">
        <f aca="false">#REF!</f>
        <v>#REF!</v>
      </c>
      <c r="M54" s="67" t="e">
        <f aca="false">K54-L54</f>
        <v>#REF!</v>
      </c>
      <c r="N54" s="77"/>
      <c r="O54" s="78" t="e">
        <f aca="false">C54-G54-K54</f>
        <v>#REF!</v>
      </c>
      <c r="P54" s="79" t="e">
        <f aca="false">D54-H54-L54</f>
        <v>#REF!</v>
      </c>
      <c r="Q54" s="67" t="e">
        <f aca="false">O54-P54</f>
        <v>#REF!</v>
      </c>
    </row>
    <row r="55" customFormat="false" ht="12.75" hidden="false" customHeight="false" outlineLevel="0" collapsed="false">
      <c r="A55" s="46" t="s">
        <v>54</v>
      </c>
      <c r="B55" s="47"/>
      <c r="C55" s="74" t="e">
        <f aca="false">#REF!</f>
        <v>#REF!</v>
      </c>
      <c r="D55" s="75" t="e">
        <f aca="false">#REF!</f>
        <v>#REF!</v>
      </c>
      <c r="E55" s="76" t="e">
        <f aca="false">-D55+C55</f>
        <v>#REF!</v>
      </c>
      <c r="F55" s="81"/>
      <c r="G55" s="63" t="e">
        <f aca="false">#REF!+#REF!</f>
        <v>#REF!</v>
      </c>
      <c r="H55" s="63" t="e">
        <f aca="false">#REF!+#REF!</f>
        <v>#REF!</v>
      </c>
      <c r="I55" s="96" t="e">
        <f aca="false">G55-H55</f>
        <v>#REF!</v>
      </c>
      <c r="J55" s="77"/>
      <c r="K55" s="63" t="e">
        <f aca="false">#REF!</f>
        <v>#REF!</v>
      </c>
      <c r="L55" s="66" t="e">
        <f aca="false">#REF!</f>
        <v>#REF!</v>
      </c>
      <c r="M55" s="67" t="e">
        <f aca="false">K55-L55</f>
        <v>#REF!</v>
      </c>
      <c r="N55" s="77"/>
      <c r="O55" s="78" t="e">
        <f aca="false">C55-G55-K55</f>
        <v>#REF!</v>
      </c>
      <c r="P55" s="79" t="e">
        <f aca="false">D55-H55-L55</f>
        <v>#REF!</v>
      </c>
      <c r="Q55" s="67" t="e">
        <f aca="false">O55-P55</f>
        <v>#REF!</v>
      </c>
    </row>
    <row r="56" customFormat="false" ht="12.75" hidden="false" customHeight="false" outlineLevel="0" collapsed="false">
      <c r="A56" s="46" t="s">
        <v>55</v>
      </c>
      <c r="B56" s="47"/>
      <c r="C56" s="74" t="e">
        <f aca="false">#REF!</f>
        <v>#REF!</v>
      </c>
      <c r="D56" s="75" t="e">
        <f aca="false">#REF!</f>
        <v>#REF!</v>
      </c>
      <c r="E56" s="76" t="e">
        <f aca="false">-D56+C56</f>
        <v>#REF!</v>
      </c>
      <c r="F56" s="81"/>
      <c r="G56" s="63" t="e">
        <f aca="false">#REF!+#REF!</f>
        <v>#REF!</v>
      </c>
      <c r="H56" s="63" t="e">
        <f aca="false">#REF!+#REF!</f>
        <v>#REF!</v>
      </c>
      <c r="I56" s="96" t="e">
        <f aca="false">G56-H56</f>
        <v>#REF!</v>
      </c>
      <c r="J56" s="77"/>
      <c r="K56" s="63" t="e">
        <f aca="false">#REF!</f>
        <v>#REF!</v>
      </c>
      <c r="L56" s="66" t="e">
        <f aca="false">#REF!</f>
        <v>#REF!</v>
      </c>
      <c r="M56" s="67" t="e">
        <f aca="false">K56-L56</f>
        <v>#REF!</v>
      </c>
      <c r="N56" s="77"/>
      <c r="O56" s="78" t="e">
        <f aca="false">C56-G56-K56</f>
        <v>#REF!</v>
      </c>
      <c r="P56" s="79" t="e">
        <f aca="false">D56-H56-L56</f>
        <v>#REF!</v>
      </c>
      <c r="Q56" s="67" t="e">
        <f aca="false">O56-P56</f>
        <v>#REF!</v>
      </c>
    </row>
    <row r="57" customFormat="false" ht="12" hidden="false" customHeight="true" outlineLevel="0" collapsed="false">
      <c r="A57" s="46" t="s">
        <v>56</v>
      </c>
      <c r="B57" s="47"/>
      <c r="C57" s="74" t="e">
        <f aca="false">#REF!</f>
        <v>#REF!</v>
      </c>
      <c r="D57" s="75" t="e">
        <f aca="false">#REF!</f>
        <v>#REF!</v>
      </c>
      <c r="E57" s="76" t="e">
        <f aca="false">-D57+C57</f>
        <v>#REF!</v>
      </c>
      <c r="F57" s="81"/>
      <c r="G57" s="63" t="e">
        <f aca="false">#REF!+#REF!</f>
        <v>#REF!</v>
      </c>
      <c r="H57" s="63" t="e">
        <f aca="false">#REF!+#REF!</f>
        <v>#REF!</v>
      </c>
      <c r="I57" s="96" t="e">
        <f aca="false">G57-H57</f>
        <v>#REF!</v>
      </c>
      <c r="J57" s="77"/>
      <c r="K57" s="63" t="e">
        <f aca="false">#REF!</f>
        <v>#REF!</v>
      </c>
      <c r="L57" s="66" t="e">
        <f aca="false">#REF!</f>
        <v>#REF!</v>
      </c>
      <c r="M57" s="67" t="e">
        <f aca="false">K57-L57</f>
        <v>#REF!</v>
      </c>
      <c r="N57" s="77"/>
      <c r="O57" s="78" t="e">
        <f aca="false">C57-G57-K57</f>
        <v>#REF!</v>
      </c>
      <c r="P57" s="79" t="e">
        <f aca="false">D57-H57-L57</f>
        <v>#REF!</v>
      </c>
      <c r="Q57" s="67" t="e">
        <f aca="false">O57-P57</f>
        <v>#REF!</v>
      </c>
    </row>
    <row r="58" customFormat="false" ht="12" hidden="false" customHeight="true" outlineLevel="0" collapsed="false">
      <c r="A58" s="46" t="s">
        <v>57</v>
      </c>
      <c r="B58" s="47"/>
      <c r="C58" s="74" t="e">
        <f aca="false">#REF!</f>
        <v>#REF!</v>
      </c>
      <c r="D58" s="75" t="e">
        <f aca="false">#REF!</f>
        <v>#REF!</v>
      </c>
      <c r="E58" s="76" t="e">
        <f aca="false">-D58+C58</f>
        <v>#REF!</v>
      </c>
      <c r="F58" s="81"/>
      <c r="G58" s="63" t="e">
        <f aca="false">#REF!+#REF!</f>
        <v>#REF!</v>
      </c>
      <c r="H58" s="63" t="e">
        <f aca="false">#REF!+#REF!</f>
        <v>#REF!</v>
      </c>
      <c r="I58" s="96" t="e">
        <f aca="false">G58-H58</f>
        <v>#REF!</v>
      </c>
      <c r="J58" s="77"/>
      <c r="K58" s="63" t="e">
        <f aca="false">#REF!</f>
        <v>#REF!</v>
      </c>
      <c r="L58" s="66" t="e">
        <f aca="false">#REF!</f>
        <v>#REF!</v>
      </c>
      <c r="M58" s="67" t="e">
        <f aca="false">K58-L58</f>
        <v>#REF!</v>
      </c>
      <c r="N58" s="77"/>
      <c r="O58" s="78" t="e">
        <f aca="false">C58-G58-K58</f>
        <v>#REF!</v>
      </c>
      <c r="P58" s="79" t="e">
        <f aca="false">D58-H58-L58</f>
        <v>#REF!</v>
      </c>
      <c r="Q58" s="67" t="e">
        <f aca="false">O58-P58</f>
        <v>#REF!</v>
      </c>
    </row>
    <row r="59" customFormat="false" ht="12" hidden="false" customHeight="true" outlineLevel="0" collapsed="false">
      <c r="A59" s="46" t="s">
        <v>58</v>
      </c>
      <c r="B59" s="47"/>
      <c r="C59" s="74" t="e">
        <f aca="false">#REF!</f>
        <v>#REF!</v>
      </c>
      <c r="D59" s="75" t="e">
        <f aca="false">#REF!</f>
        <v>#REF!</v>
      </c>
      <c r="E59" s="76" t="e">
        <f aca="false">-D59+C59</f>
        <v>#REF!</v>
      </c>
      <c r="F59" s="81"/>
      <c r="G59" s="63" t="e">
        <f aca="false">#REF!+#REF!</f>
        <v>#REF!</v>
      </c>
      <c r="H59" s="63" t="e">
        <f aca="false">#REF!+#REF!</f>
        <v>#REF!</v>
      </c>
      <c r="I59" s="96" t="e">
        <f aca="false">G59-H59</f>
        <v>#REF!</v>
      </c>
      <c r="J59" s="77"/>
      <c r="K59" s="63" t="e">
        <f aca="false">#REF!</f>
        <v>#REF!</v>
      </c>
      <c r="L59" s="66" t="e">
        <f aca="false">#REF!</f>
        <v>#REF!</v>
      </c>
      <c r="M59" s="67" t="e">
        <f aca="false">K59-L59</f>
        <v>#REF!</v>
      </c>
      <c r="N59" s="77"/>
      <c r="O59" s="78" t="e">
        <f aca="false">C59-G59-K59</f>
        <v>#REF!</v>
      </c>
      <c r="P59" s="79" t="e">
        <f aca="false">D59-H59-L59</f>
        <v>#REF!</v>
      </c>
      <c r="Q59" s="67" t="e">
        <f aca="false">O59-P59</f>
        <v>#REF!</v>
      </c>
    </row>
    <row r="60" customFormat="false" ht="12" hidden="false" customHeight="true" outlineLevel="0" collapsed="false">
      <c r="A60" s="46" t="s">
        <v>59</v>
      </c>
      <c r="B60" s="47"/>
      <c r="C60" s="74" t="e">
        <f aca="false">#REF!</f>
        <v>#REF!</v>
      </c>
      <c r="D60" s="75" t="e">
        <f aca="false">#REF!</f>
        <v>#REF!</v>
      </c>
      <c r="E60" s="76" t="e">
        <f aca="false">-D60+C60</f>
        <v>#REF!</v>
      </c>
      <c r="F60" s="81"/>
      <c r="G60" s="63" t="e">
        <f aca="false">#REF!+#REF!</f>
        <v>#REF!</v>
      </c>
      <c r="H60" s="63" t="e">
        <f aca="false">#REF!+#REF!</f>
        <v>#REF!</v>
      </c>
      <c r="I60" s="96" t="e">
        <f aca="false">G60-H60</f>
        <v>#REF!</v>
      </c>
      <c r="J60" s="77"/>
      <c r="K60" s="63" t="e">
        <f aca="false">#REF!</f>
        <v>#REF!</v>
      </c>
      <c r="L60" s="66" t="e">
        <f aca="false">#REF!</f>
        <v>#REF!</v>
      </c>
      <c r="M60" s="67" t="e">
        <f aca="false">K60-L60</f>
        <v>#REF!</v>
      </c>
      <c r="N60" s="77"/>
      <c r="O60" s="78" t="e">
        <f aca="false">C60-G60-K60</f>
        <v>#REF!</v>
      </c>
      <c r="P60" s="79" t="e">
        <f aca="false">D60-H60-L60</f>
        <v>#REF!</v>
      </c>
      <c r="Q60" s="67" t="e">
        <f aca="false">O60-P60</f>
        <v>#REF!</v>
      </c>
    </row>
    <row r="61" customFormat="false" ht="12" hidden="false" customHeight="true" outlineLevel="0" collapsed="false">
      <c r="A61" s="46" t="s">
        <v>60</v>
      </c>
      <c r="B61" s="47"/>
      <c r="C61" s="74" t="e">
        <f aca="false">#REF!</f>
        <v>#REF!</v>
      </c>
      <c r="D61" s="75" t="e">
        <f aca="false">#REF!</f>
        <v>#REF!</v>
      </c>
      <c r="E61" s="76" t="e">
        <f aca="false">-D61+C61</f>
        <v>#REF!</v>
      </c>
      <c r="F61" s="81"/>
      <c r="G61" s="63" t="e">
        <f aca="false">#REF!+#REF!</f>
        <v>#REF!</v>
      </c>
      <c r="H61" s="63" t="e">
        <f aca="false">#REF!+#REF!</f>
        <v>#REF!</v>
      </c>
      <c r="I61" s="96" t="e">
        <f aca="false">G61-H61</f>
        <v>#REF!</v>
      </c>
      <c r="J61" s="77"/>
      <c r="K61" s="63" t="e">
        <f aca="false">#REF!</f>
        <v>#REF!</v>
      </c>
      <c r="L61" s="66" t="e">
        <f aca="false">#REF!</f>
        <v>#REF!</v>
      </c>
      <c r="M61" s="67" t="e">
        <f aca="false">K61-L61</f>
        <v>#REF!</v>
      </c>
      <c r="N61" s="77"/>
      <c r="O61" s="78" t="e">
        <f aca="false">C61-G61-K61</f>
        <v>#REF!</v>
      </c>
      <c r="P61" s="79" t="e">
        <f aca="false">D61-H61-L61</f>
        <v>#REF!</v>
      </c>
      <c r="Q61" s="67" t="e">
        <f aca="false">O61-P61</f>
        <v>#REF!</v>
      </c>
    </row>
    <row r="62" customFormat="false" ht="12" hidden="false" customHeight="true" outlineLevel="0" collapsed="false">
      <c r="A62" s="46" t="s">
        <v>61</v>
      </c>
      <c r="B62" s="80"/>
      <c r="C62" s="74" t="e">
        <f aca="false">#REF!</f>
        <v>#REF!</v>
      </c>
      <c r="D62" s="75" t="e">
        <f aca="false">#REF!</f>
        <v>#REF!</v>
      </c>
      <c r="E62" s="76" t="e">
        <f aca="false">-D62+C62</f>
        <v>#REF!</v>
      </c>
      <c r="F62" s="81"/>
      <c r="G62" s="63" t="e">
        <f aca="false">#REF!+#REF!</f>
        <v>#REF!</v>
      </c>
      <c r="H62" s="63" t="e">
        <f aca="false">#REF!+#REF!</f>
        <v>#REF!</v>
      </c>
      <c r="I62" s="96" t="e">
        <f aca="false">G62-H62</f>
        <v>#REF!</v>
      </c>
      <c r="J62" s="77"/>
      <c r="K62" s="63" t="e">
        <f aca="false">#REF!</f>
        <v>#REF!</v>
      </c>
      <c r="L62" s="79" t="e">
        <f aca="false">#REF!</f>
        <v>#REF!</v>
      </c>
      <c r="M62" s="67" t="e">
        <f aca="false">K62-L62</f>
        <v>#REF!</v>
      </c>
      <c r="N62" s="77"/>
      <c r="O62" s="78" t="e">
        <f aca="false">C62-G62-K62</f>
        <v>#REF!</v>
      </c>
      <c r="P62" s="79" t="e">
        <f aca="false">D62-H62-L62</f>
        <v>#REF!</v>
      </c>
      <c r="Q62" s="67" t="e">
        <f aca="false">O62-P62</f>
        <v>#REF!</v>
      </c>
    </row>
    <row r="63" customFormat="false" ht="12" hidden="false" customHeight="true" outlineLevel="0" collapsed="false">
      <c r="A63" s="46" t="s">
        <v>62</v>
      </c>
      <c r="B63" s="80"/>
      <c r="C63" s="74" t="e">
        <f aca="false">#REF!</f>
        <v>#REF!</v>
      </c>
      <c r="D63" s="75" t="e">
        <f aca="false">#REF!</f>
        <v>#REF!</v>
      </c>
      <c r="E63" s="76" t="e">
        <f aca="false">-D63+C63</f>
        <v>#REF!</v>
      </c>
      <c r="F63" s="81"/>
      <c r="G63" s="63" t="e">
        <f aca="false">#REF!+#REF!</f>
        <v>#REF!</v>
      </c>
      <c r="H63" s="63" t="e">
        <f aca="false">#REF!+#REF!</f>
        <v>#REF!</v>
      </c>
      <c r="I63" s="96" t="e">
        <f aca="false">G63-H63</f>
        <v>#REF!</v>
      </c>
      <c r="J63" s="77"/>
      <c r="K63" s="63" t="e">
        <f aca="false">#REF!</f>
        <v>#REF!</v>
      </c>
      <c r="L63" s="79" t="e">
        <f aca="false">#REF!</f>
        <v>#REF!</v>
      </c>
      <c r="M63" s="67" t="e">
        <f aca="false">K63-L63</f>
        <v>#REF!</v>
      </c>
      <c r="N63" s="77"/>
      <c r="O63" s="78" t="e">
        <f aca="false">C63-G63-K63</f>
        <v>#REF!</v>
      </c>
      <c r="P63" s="79" t="e">
        <f aca="false">D63-H63-L63</f>
        <v>#REF!</v>
      </c>
      <c r="Q63" s="67" t="e">
        <f aca="false">O63-P63</f>
        <v>#REF!</v>
      </c>
    </row>
    <row r="64" customFormat="false" ht="12" hidden="false" customHeight="true" outlineLevel="0" collapsed="false">
      <c r="A64" s="97" t="s">
        <v>63</v>
      </c>
      <c r="B64" s="47"/>
      <c r="C64" s="74" t="e">
        <f aca="false">#REF!</f>
        <v>#REF!</v>
      </c>
      <c r="D64" s="75" t="e">
        <f aca="false">#REF!</f>
        <v>#REF!</v>
      </c>
      <c r="E64" s="76" t="e">
        <f aca="false">-D64+C64</f>
        <v>#REF!</v>
      </c>
      <c r="F64" s="81"/>
      <c r="G64" s="63" t="e">
        <f aca="false">#REF!+#REF!</f>
        <v>#REF!</v>
      </c>
      <c r="H64" s="63" t="e">
        <f aca="false">#REF!+#REF!</f>
        <v>#REF!</v>
      </c>
      <c r="I64" s="96" t="e">
        <f aca="false">G64-H64</f>
        <v>#REF!</v>
      </c>
      <c r="J64" s="77"/>
      <c r="K64" s="63" t="e">
        <f aca="false">#REF!</f>
        <v>#REF!</v>
      </c>
      <c r="L64" s="66" t="e">
        <f aca="false">#REF!</f>
        <v>#REF!</v>
      </c>
      <c r="M64" s="67" t="e">
        <f aca="false">K64-L64</f>
        <v>#REF!</v>
      </c>
      <c r="N64" s="77"/>
      <c r="O64" s="78" t="e">
        <f aca="false">C64-G64-K64</f>
        <v>#REF!</v>
      </c>
      <c r="P64" s="79" t="e">
        <f aca="false">D64-H64-L64</f>
        <v>#REF!</v>
      </c>
      <c r="Q64" s="67" t="e">
        <f aca="false">O64-P64</f>
        <v>#REF!</v>
      </c>
    </row>
    <row r="65" customFormat="false" ht="12" hidden="false" customHeight="true" outlineLevel="0" collapsed="false">
      <c r="A65" s="97" t="s">
        <v>64</v>
      </c>
      <c r="B65" s="47"/>
      <c r="C65" s="74" t="e">
        <f aca="false">#REF!</f>
        <v>#REF!</v>
      </c>
      <c r="D65" s="75" t="e">
        <f aca="false">#REF!</f>
        <v>#REF!</v>
      </c>
      <c r="E65" s="76" t="e">
        <f aca="false">-D65+C65</f>
        <v>#REF!</v>
      </c>
      <c r="F65" s="81"/>
      <c r="G65" s="63" t="e">
        <f aca="false">#REF!+#REF!</f>
        <v>#REF!</v>
      </c>
      <c r="H65" s="63" t="e">
        <f aca="false">#REF!+#REF!</f>
        <v>#REF!</v>
      </c>
      <c r="I65" s="96" t="e">
        <f aca="false">G65-H65</f>
        <v>#REF!</v>
      </c>
      <c r="J65" s="77"/>
      <c r="K65" s="63" t="e">
        <f aca="false">#REF!</f>
        <v>#REF!</v>
      </c>
      <c r="L65" s="66" t="e">
        <f aca="false">#REF!</f>
        <v>#REF!</v>
      </c>
      <c r="M65" s="67" t="e">
        <f aca="false">K65-L65</f>
        <v>#REF!</v>
      </c>
      <c r="N65" s="77"/>
      <c r="O65" s="78" t="e">
        <f aca="false">C65-G65-K65</f>
        <v>#REF!</v>
      </c>
      <c r="P65" s="79" t="e">
        <f aca="false">D65-H65-L65</f>
        <v>#REF!</v>
      </c>
      <c r="Q65" s="67" t="e">
        <f aca="false">O65-P65</f>
        <v>#REF!</v>
      </c>
    </row>
    <row r="66" customFormat="false" ht="12" hidden="false" customHeight="true" outlineLevel="0" collapsed="false">
      <c r="A66" s="97" t="s">
        <v>65</v>
      </c>
      <c r="B66" s="47"/>
      <c r="C66" s="74" t="e">
        <f aca="false">#REF!</f>
        <v>#REF!</v>
      </c>
      <c r="D66" s="75" t="e">
        <f aca="false">#REF!</f>
        <v>#REF!</v>
      </c>
      <c r="E66" s="76" t="e">
        <f aca="false">-D66+C66</f>
        <v>#REF!</v>
      </c>
      <c r="F66" s="81"/>
      <c r="G66" s="63" t="e">
        <f aca="false">#REF!+#REF!</f>
        <v>#REF!</v>
      </c>
      <c r="H66" s="63" t="e">
        <f aca="false">#REF!+#REF!</f>
        <v>#REF!</v>
      </c>
      <c r="I66" s="96" t="e">
        <f aca="false">G66-H66</f>
        <v>#REF!</v>
      </c>
      <c r="J66" s="77"/>
      <c r="K66" s="63" t="e">
        <f aca="false">#REF!</f>
        <v>#REF!</v>
      </c>
      <c r="L66" s="66" t="e">
        <f aca="false">#REF!</f>
        <v>#REF!</v>
      </c>
      <c r="M66" s="67" t="e">
        <f aca="false">K66-L66</f>
        <v>#REF!</v>
      </c>
      <c r="N66" s="77"/>
      <c r="O66" s="78" t="e">
        <f aca="false">C66-G66-K66</f>
        <v>#REF!</v>
      </c>
      <c r="P66" s="79" t="e">
        <f aca="false">D66-H66-L66</f>
        <v>#REF!</v>
      </c>
      <c r="Q66" s="67" t="e">
        <f aca="false">O66-P66</f>
        <v>#REF!</v>
      </c>
    </row>
    <row r="67" customFormat="false" ht="12" hidden="false" customHeight="true" outlineLevel="0" collapsed="false">
      <c r="A67" s="82" t="s">
        <v>66</v>
      </c>
      <c r="B67" s="83"/>
      <c r="C67" s="84" t="e">
        <f aca="false">SUM(C47:C66)+C45+C37+C26+C18</f>
        <v>#REF!</v>
      </c>
      <c r="D67" s="85" t="e">
        <f aca="false">SUM(D47:D66)+D45+D37+D26+D18</f>
        <v>#REF!</v>
      </c>
      <c r="E67" s="86" t="e">
        <f aca="false">SUM(E47:E66)+E45+E37+E26+E18</f>
        <v>#REF!</v>
      </c>
      <c r="F67" s="87"/>
      <c r="G67" s="88" t="e">
        <f aca="false">SUM(G47:G66)+G45+G37+G26+G18</f>
        <v>#REF!</v>
      </c>
      <c r="H67" s="89" t="e">
        <f aca="false">SUM(H47:H66)+H45+H37+H26+H18</f>
        <v>#REF!</v>
      </c>
      <c r="I67" s="90" t="e">
        <f aca="false">G67-H67</f>
        <v>#REF!</v>
      </c>
      <c r="J67" s="91"/>
      <c r="K67" s="89" t="e">
        <f aca="false">SUM(K47:K66)+K45+K37+K26+K18</f>
        <v>#REF!</v>
      </c>
      <c r="L67" s="89" t="e">
        <f aca="false">SUM(L47:L66)+L45+L37+L26+L18</f>
        <v>#REF!</v>
      </c>
      <c r="M67" s="92" t="e">
        <f aca="false">SUM(M47:M66)+M45+M37+M26+M18</f>
        <v>#REF!</v>
      </c>
      <c r="N67" s="93"/>
      <c r="O67" s="88" t="e">
        <f aca="false">SUM(O47:O66)+O45+O37+O26+O18</f>
        <v>#REF!</v>
      </c>
      <c r="P67" s="89" t="e">
        <f aca="false">SUM(P47:P66)+P45+P37+P26+P18</f>
        <v>#REF!</v>
      </c>
      <c r="Q67" s="92" t="e">
        <f aca="false">SUM(Q47:Q66)+Q45+Q37+Q26+Q18</f>
        <v>#REF!</v>
      </c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98"/>
      <c r="AG67" s="98"/>
      <c r="AH67" s="98"/>
      <c r="AI67" s="98"/>
      <c r="AJ67" s="98"/>
      <c r="AK67" s="98"/>
      <c r="AL67" s="98"/>
      <c r="AM67" s="98"/>
      <c r="AN67" s="98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  <c r="BA67" s="98"/>
      <c r="BB67" s="98"/>
      <c r="BC67" s="98"/>
      <c r="BD67" s="98"/>
      <c r="BE67" s="98"/>
      <c r="BF67" s="98"/>
      <c r="BG67" s="98"/>
      <c r="BH67" s="98"/>
      <c r="BI67" s="98"/>
      <c r="BJ67" s="98"/>
      <c r="BK67" s="98"/>
      <c r="BL67" s="98"/>
      <c r="BM67" s="98"/>
      <c r="BN67" s="98"/>
      <c r="BO67" s="98"/>
      <c r="BP67" s="98"/>
      <c r="BQ67" s="98"/>
      <c r="BR67" s="98"/>
      <c r="BS67" s="98"/>
      <c r="BT67" s="98"/>
      <c r="BU67" s="98"/>
      <c r="BV67" s="98"/>
      <c r="BW67" s="98"/>
      <c r="BX67" s="98"/>
      <c r="BY67" s="98"/>
      <c r="BZ67" s="98"/>
      <c r="CA67" s="98"/>
      <c r="CB67" s="98"/>
      <c r="CC67" s="98"/>
      <c r="CD67" s="98"/>
      <c r="CE67" s="98"/>
      <c r="CF67" s="98"/>
      <c r="CG67" s="98"/>
      <c r="CH67" s="98"/>
      <c r="CI67" s="98"/>
      <c r="CJ67" s="98"/>
      <c r="CK67" s="98"/>
      <c r="CL67" s="98"/>
      <c r="CM67" s="98"/>
      <c r="CN67" s="98"/>
      <c r="CO67" s="98"/>
      <c r="CP67" s="98"/>
      <c r="CQ67" s="98"/>
      <c r="CR67" s="98"/>
      <c r="CS67" s="98"/>
      <c r="CT67" s="98"/>
      <c r="CU67" s="98"/>
      <c r="CV67" s="98"/>
      <c r="CW67" s="98"/>
      <c r="CX67" s="98"/>
      <c r="CY67" s="98"/>
      <c r="CZ67" s="98"/>
      <c r="DA67" s="98"/>
      <c r="DB67" s="98"/>
      <c r="DC67" s="98"/>
      <c r="DD67" s="98"/>
      <c r="DE67" s="98"/>
      <c r="DF67" s="98"/>
      <c r="DG67" s="98"/>
      <c r="DH67" s="98"/>
      <c r="DI67" s="98"/>
      <c r="DJ67" s="98"/>
      <c r="DK67" s="98"/>
      <c r="DL67" s="98"/>
      <c r="DM67" s="98"/>
      <c r="DN67" s="98"/>
      <c r="DO67" s="98"/>
      <c r="DP67" s="98"/>
      <c r="DQ67" s="98"/>
      <c r="DR67" s="98"/>
      <c r="DS67" s="98"/>
      <c r="DT67" s="98"/>
      <c r="DU67" s="98"/>
      <c r="DV67" s="98"/>
      <c r="DW67" s="98"/>
      <c r="DX67" s="98"/>
      <c r="DY67" s="98"/>
      <c r="DZ67" s="98"/>
      <c r="EA67" s="98"/>
      <c r="EB67" s="98"/>
      <c r="EC67" s="98"/>
      <c r="ED67" s="98"/>
      <c r="EE67" s="98"/>
      <c r="EF67" s="98"/>
      <c r="EG67" s="98"/>
      <c r="EH67" s="98"/>
      <c r="EI67" s="98"/>
      <c r="EJ67" s="98"/>
      <c r="EK67" s="98"/>
      <c r="EL67" s="98"/>
      <c r="EM67" s="98"/>
      <c r="EN67" s="98"/>
      <c r="EO67" s="98"/>
      <c r="EP67" s="98"/>
      <c r="EQ67" s="98"/>
      <c r="ER67" s="98"/>
      <c r="ES67" s="98"/>
      <c r="ET67" s="98"/>
      <c r="EU67" s="98"/>
      <c r="EV67" s="98"/>
      <c r="EW67" s="98"/>
      <c r="EX67" s="98"/>
      <c r="EY67" s="98"/>
      <c r="EZ67" s="98"/>
      <c r="FA67" s="98"/>
      <c r="FB67" s="98"/>
      <c r="FC67" s="98"/>
      <c r="FD67" s="98"/>
      <c r="FE67" s="98"/>
      <c r="FF67" s="98"/>
      <c r="FG67" s="98"/>
      <c r="FH67" s="98"/>
      <c r="FI67" s="98"/>
      <c r="FJ67" s="98"/>
      <c r="FK67" s="98"/>
      <c r="FL67" s="98"/>
      <c r="FM67" s="98"/>
      <c r="FN67" s="98"/>
      <c r="FO67" s="98"/>
      <c r="FP67" s="98"/>
      <c r="FQ67" s="98"/>
      <c r="FR67" s="98"/>
      <c r="FS67" s="98"/>
      <c r="FT67" s="98"/>
      <c r="FU67" s="98"/>
      <c r="FV67" s="98"/>
      <c r="FW67" s="98"/>
      <c r="FX67" s="98"/>
      <c r="FY67" s="98"/>
      <c r="FZ67" s="98"/>
      <c r="GA67" s="98"/>
      <c r="GB67" s="98"/>
      <c r="GC67" s="98"/>
      <c r="GD67" s="98"/>
      <c r="GE67" s="98"/>
      <c r="GF67" s="98"/>
      <c r="GG67" s="98"/>
      <c r="GH67" s="98"/>
      <c r="GI67" s="98"/>
      <c r="GJ67" s="98"/>
      <c r="GK67" s="98"/>
      <c r="GL67" s="98"/>
      <c r="GM67" s="98"/>
      <c r="GN67" s="98"/>
      <c r="GO67" s="98"/>
      <c r="GP67" s="98"/>
      <c r="GQ67" s="98"/>
      <c r="GR67" s="98"/>
      <c r="GS67" s="98"/>
      <c r="GT67" s="98"/>
      <c r="GU67" s="98"/>
      <c r="GV67" s="98"/>
      <c r="GW67" s="98"/>
      <c r="GX67" s="98"/>
      <c r="GY67" s="98"/>
      <c r="GZ67" s="98"/>
      <c r="HA67" s="98"/>
      <c r="HB67" s="98"/>
      <c r="HC67" s="98"/>
      <c r="HD67" s="98"/>
      <c r="HE67" s="98"/>
      <c r="HF67" s="98"/>
      <c r="HG67" s="98"/>
      <c r="HH67" s="98"/>
      <c r="HI67" s="98"/>
      <c r="HJ67" s="98"/>
      <c r="HK67" s="98"/>
      <c r="HL67" s="98"/>
      <c r="HM67" s="98"/>
      <c r="HN67" s="98"/>
      <c r="HO67" s="98"/>
      <c r="HP67" s="98"/>
      <c r="HQ67" s="98"/>
      <c r="HR67" s="98"/>
      <c r="HS67" s="98"/>
      <c r="HT67" s="98"/>
      <c r="HU67" s="98"/>
      <c r="HV67" s="98"/>
      <c r="HW67" s="98"/>
      <c r="HX67" s="98"/>
      <c r="HY67" s="98"/>
      <c r="HZ67" s="98"/>
      <c r="IA67" s="98"/>
      <c r="IB67" s="98"/>
      <c r="IC67" s="98"/>
      <c r="ID67" s="98"/>
      <c r="IE67" s="98"/>
      <c r="IF67" s="98"/>
      <c r="IG67" s="98"/>
      <c r="IH67" s="98"/>
      <c r="II67" s="98"/>
      <c r="IJ67" s="98"/>
      <c r="IK67" s="98"/>
      <c r="IL67" s="98"/>
      <c r="IM67" s="98"/>
      <c r="IN67" s="98"/>
      <c r="IO67" s="98"/>
      <c r="IP67" s="98"/>
      <c r="IQ67" s="98"/>
      <c r="IR67" s="98"/>
      <c r="IS67" s="98"/>
      <c r="IT67" s="98"/>
      <c r="IU67" s="98"/>
      <c r="IV67" s="98"/>
      <c r="IW67" s="98"/>
    </row>
    <row r="68" customFormat="false" ht="6.75" hidden="false" customHeight="true" outlineLevel="0" collapsed="false">
      <c r="A68" s="97"/>
      <c r="B68" s="47"/>
      <c r="C68" s="74"/>
      <c r="D68" s="95"/>
      <c r="E68" s="76"/>
      <c r="F68" s="81"/>
      <c r="G68" s="78"/>
      <c r="H68" s="79"/>
      <c r="I68" s="96"/>
      <c r="J68" s="77"/>
      <c r="K68" s="79"/>
      <c r="L68" s="79"/>
      <c r="M68" s="67"/>
      <c r="N68" s="77"/>
      <c r="O68" s="78"/>
      <c r="P68" s="79"/>
      <c r="Q68" s="67"/>
    </row>
    <row r="69" customFormat="false" ht="12" hidden="false" customHeight="true" outlineLevel="0" collapsed="false">
      <c r="A69" s="97" t="s">
        <v>67</v>
      </c>
      <c r="B69" s="47"/>
      <c r="C69" s="74" t="n">
        <v>0</v>
      </c>
      <c r="D69" s="95" t="n">
        <v>0</v>
      </c>
      <c r="E69" s="76" t="n">
        <f aca="false">-D69+C69</f>
        <v>0</v>
      </c>
      <c r="F69" s="81"/>
      <c r="G69" s="63" t="e">
        <f aca="false">#REF!+#REF!</f>
        <v>#REF!</v>
      </c>
      <c r="H69" s="63" t="e">
        <f aca="false">#REF!+#REF!</f>
        <v>#REF!</v>
      </c>
      <c r="I69" s="96" t="e">
        <f aca="false">G69-H69</f>
        <v>#REF!</v>
      </c>
      <c r="J69" s="77"/>
      <c r="K69" s="63" t="n">
        <v>0</v>
      </c>
      <c r="L69" s="66" t="n">
        <v>0</v>
      </c>
      <c r="M69" s="67" t="n">
        <f aca="false">K69-L69</f>
        <v>0</v>
      </c>
      <c r="N69" s="77"/>
      <c r="O69" s="78" t="e">
        <f aca="false">C69-G69-K69</f>
        <v>#REF!</v>
      </c>
      <c r="P69" s="79" t="e">
        <f aca="false">D69-H69-L69</f>
        <v>#REF!</v>
      </c>
      <c r="Q69" s="67" t="e">
        <f aca="false">O69-P69</f>
        <v>#REF!</v>
      </c>
    </row>
    <row r="70" customFormat="false" ht="12" hidden="false" customHeight="true" outlineLevel="0" collapsed="false">
      <c r="A70" s="97" t="s">
        <v>68</v>
      </c>
      <c r="B70" s="47"/>
      <c r="C70" s="74" t="n">
        <v>0</v>
      </c>
      <c r="D70" s="95" t="n">
        <v>0</v>
      </c>
      <c r="E70" s="76" t="n">
        <f aca="false">-D70+C70</f>
        <v>0</v>
      </c>
      <c r="F70" s="81"/>
      <c r="G70" s="63" t="e">
        <f aca="false">#REF!+#REF!</f>
        <v>#REF!</v>
      </c>
      <c r="H70" s="63" t="e">
        <f aca="false">#REF!+#REF!</f>
        <v>#REF!</v>
      </c>
      <c r="I70" s="96" t="e">
        <f aca="false">G70-H70</f>
        <v>#REF!</v>
      </c>
      <c r="J70" s="77"/>
      <c r="K70" s="63" t="n">
        <v>0</v>
      </c>
      <c r="L70" s="66" t="n">
        <v>0</v>
      </c>
      <c r="M70" s="67" t="n">
        <f aca="false">K70-L70</f>
        <v>0</v>
      </c>
      <c r="N70" s="77"/>
      <c r="O70" s="78" t="e">
        <f aca="false">C70-G70-K70</f>
        <v>#REF!</v>
      </c>
      <c r="P70" s="79" t="e">
        <f aca="false">D70-H70-L70</f>
        <v>#REF!</v>
      </c>
      <c r="Q70" s="67" t="e">
        <f aca="false">O70-P70</f>
        <v>#REF!</v>
      </c>
    </row>
    <row r="71" customFormat="false" ht="12" hidden="false" customHeight="true" outlineLevel="0" collapsed="false">
      <c r="A71" s="97" t="s">
        <v>69</v>
      </c>
      <c r="B71" s="47"/>
      <c r="C71" s="74" t="n">
        <v>0</v>
      </c>
      <c r="D71" s="95" t="n">
        <v>0</v>
      </c>
      <c r="E71" s="76" t="n">
        <f aca="false">-D71+C71</f>
        <v>0</v>
      </c>
      <c r="F71" s="81"/>
      <c r="G71" s="63" t="e">
        <f aca="false">#REF!+#REF!</f>
        <v>#REF!</v>
      </c>
      <c r="H71" s="63" t="e">
        <f aca="false">#REF!+#REF!</f>
        <v>#REF!</v>
      </c>
      <c r="I71" s="96" t="e">
        <f aca="false">G71-H71</f>
        <v>#REF!</v>
      </c>
      <c r="J71" s="77"/>
      <c r="K71" s="63" t="n">
        <v>0</v>
      </c>
      <c r="L71" s="66" t="n">
        <v>0</v>
      </c>
      <c r="M71" s="67" t="n">
        <f aca="false">K71-L71</f>
        <v>0</v>
      </c>
      <c r="N71" s="77"/>
      <c r="O71" s="78" t="e">
        <f aca="false">C71-G71-K71</f>
        <v>#REF!</v>
      </c>
      <c r="P71" s="79" t="e">
        <f aca="false">D71-H71-L71</f>
        <v>#REF!</v>
      </c>
      <c r="Q71" s="67" t="e">
        <f aca="false">O71-P71</f>
        <v>#REF!</v>
      </c>
    </row>
    <row r="72" customFormat="false" ht="12" hidden="false" customHeight="true" outlineLevel="0" collapsed="false">
      <c r="A72" s="97" t="s">
        <v>70</v>
      </c>
      <c r="B72" s="47"/>
      <c r="C72" s="74" t="n">
        <v>0</v>
      </c>
      <c r="D72" s="95" t="n">
        <v>0</v>
      </c>
      <c r="E72" s="76" t="n">
        <f aca="false">-D72+C72</f>
        <v>0</v>
      </c>
      <c r="F72" s="81"/>
      <c r="G72" s="63" t="e">
        <f aca="false">#REF!+#REF!</f>
        <v>#REF!</v>
      </c>
      <c r="H72" s="63" t="e">
        <f aca="false">#REF!+#REF!</f>
        <v>#REF!</v>
      </c>
      <c r="I72" s="96" t="e">
        <f aca="false">G72-H72</f>
        <v>#REF!</v>
      </c>
      <c r="J72" s="77"/>
      <c r="K72" s="63" t="n">
        <v>0</v>
      </c>
      <c r="L72" s="66" t="n">
        <v>0</v>
      </c>
      <c r="M72" s="67" t="n">
        <f aca="false">K72-L72</f>
        <v>0</v>
      </c>
      <c r="N72" s="77"/>
      <c r="O72" s="78" t="e">
        <f aca="false">C72-G72-K72</f>
        <v>#REF!</v>
      </c>
      <c r="P72" s="79" t="e">
        <f aca="false">D72-H72-L72</f>
        <v>#REF!</v>
      </c>
      <c r="Q72" s="67" t="e">
        <f aca="false">O72-P72</f>
        <v>#REF!</v>
      </c>
    </row>
    <row r="73" customFormat="false" ht="12" hidden="false" customHeight="true" outlineLevel="0" collapsed="false">
      <c r="A73" s="97" t="s">
        <v>71</v>
      </c>
      <c r="B73" s="47"/>
      <c r="C73" s="74" t="n">
        <v>0</v>
      </c>
      <c r="D73" s="95" t="n">
        <v>0</v>
      </c>
      <c r="E73" s="76" t="n">
        <f aca="false">-D73+C73</f>
        <v>0</v>
      </c>
      <c r="F73" s="81"/>
      <c r="G73" s="63" t="e">
        <f aca="false">#REF!+#REF!</f>
        <v>#REF!</v>
      </c>
      <c r="H73" s="63" t="e">
        <f aca="false">#REF!+#REF!</f>
        <v>#REF!</v>
      </c>
      <c r="I73" s="96" t="e">
        <f aca="false">G73-H73</f>
        <v>#REF!</v>
      </c>
      <c r="J73" s="77"/>
      <c r="K73" s="63" t="n">
        <v>0</v>
      </c>
      <c r="L73" s="66" t="n">
        <v>0</v>
      </c>
      <c r="M73" s="67" t="n">
        <f aca="false">K73-L73</f>
        <v>0</v>
      </c>
      <c r="N73" s="77"/>
      <c r="O73" s="78" t="e">
        <f aca="false">C73-G73-K73</f>
        <v>#REF!</v>
      </c>
      <c r="P73" s="79" t="e">
        <f aca="false">D73-H73-L73</f>
        <v>#REF!</v>
      </c>
      <c r="Q73" s="67" t="e">
        <f aca="false">O73-P73</f>
        <v>#REF!</v>
      </c>
    </row>
    <row r="74" customFormat="false" ht="12" hidden="false" customHeight="true" outlineLevel="0" collapsed="false">
      <c r="A74" s="97" t="s">
        <v>72</v>
      </c>
      <c r="B74" s="47"/>
      <c r="C74" s="74" t="n">
        <v>0</v>
      </c>
      <c r="D74" s="95" t="n">
        <v>0</v>
      </c>
      <c r="E74" s="76" t="n">
        <f aca="false">-D74+C74</f>
        <v>0</v>
      </c>
      <c r="F74" s="81"/>
      <c r="G74" s="63" t="e">
        <f aca="false">#REF!+#REF!</f>
        <v>#REF!</v>
      </c>
      <c r="H74" s="63" t="e">
        <f aca="false">#REF!+#REF!</f>
        <v>#REF!</v>
      </c>
      <c r="I74" s="96" t="e">
        <f aca="false">G74-H74</f>
        <v>#REF!</v>
      </c>
      <c r="J74" s="77"/>
      <c r="K74" s="63" t="n">
        <v>0</v>
      </c>
      <c r="L74" s="66" t="n">
        <v>0</v>
      </c>
      <c r="M74" s="67" t="n">
        <f aca="false">K74-L74</f>
        <v>0</v>
      </c>
      <c r="N74" s="77"/>
      <c r="O74" s="78" t="e">
        <f aca="false">C74-G74-K74</f>
        <v>#REF!</v>
      </c>
      <c r="P74" s="79" t="e">
        <f aca="false">D74-H74-L74</f>
        <v>#REF!</v>
      </c>
      <c r="Q74" s="67" t="e">
        <f aca="false">O74-P74</f>
        <v>#REF!</v>
      </c>
    </row>
    <row r="75" customFormat="false" ht="12" hidden="false" customHeight="true" outlineLevel="0" collapsed="false">
      <c r="A75" s="97" t="s">
        <v>73</v>
      </c>
      <c r="B75" s="47"/>
      <c r="C75" s="74" t="n">
        <v>0</v>
      </c>
      <c r="D75" s="95" t="n">
        <v>0</v>
      </c>
      <c r="E75" s="76" t="n">
        <f aca="false">-D75+C75</f>
        <v>0</v>
      </c>
      <c r="F75" s="62"/>
      <c r="G75" s="63" t="e">
        <f aca="false">#REF!+#REF!</f>
        <v>#REF!</v>
      </c>
      <c r="H75" s="63" t="e">
        <f aca="false">#REF!+#REF!</f>
        <v>#REF!</v>
      </c>
      <c r="I75" s="96" t="e">
        <f aca="false">G75-H75</f>
        <v>#REF!</v>
      </c>
      <c r="J75" s="77"/>
      <c r="K75" s="63" t="n">
        <v>0</v>
      </c>
      <c r="L75" s="66" t="n">
        <v>0</v>
      </c>
      <c r="M75" s="67" t="n">
        <f aca="false">K75-L75</f>
        <v>0</v>
      </c>
      <c r="N75" s="77"/>
      <c r="O75" s="78" t="e">
        <f aca="false">C75-G75-K75</f>
        <v>#REF!</v>
      </c>
      <c r="P75" s="79" t="e">
        <f aca="false">D75-H75-L75</f>
        <v>#REF!</v>
      </c>
      <c r="Q75" s="67" t="e">
        <f aca="false">O75-P75</f>
        <v>#REF!</v>
      </c>
    </row>
    <row r="76" customFormat="false" ht="12" hidden="false" customHeight="true" outlineLevel="0" collapsed="false">
      <c r="A76" s="97" t="s">
        <v>74</v>
      </c>
      <c r="B76" s="47"/>
      <c r="C76" s="74" t="n">
        <v>0</v>
      </c>
      <c r="D76" s="95" t="n">
        <v>0</v>
      </c>
      <c r="E76" s="76" t="n">
        <f aca="false">-D76+C76</f>
        <v>0</v>
      </c>
      <c r="F76" s="62"/>
      <c r="G76" s="63" t="e">
        <f aca="false">#REF!+#REF!</f>
        <v>#REF!</v>
      </c>
      <c r="H76" s="63" t="e">
        <f aca="false">#REF!+#REF!</f>
        <v>#REF!</v>
      </c>
      <c r="I76" s="96" t="e">
        <f aca="false">G76-H76</f>
        <v>#REF!</v>
      </c>
      <c r="J76" s="77"/>
      <c r="K76" s="63" t="n">
        <v>0</v>
      </c>
      <c r="L76" s="66" t="n">
        <v>0</v>
      </c>
      <c r="M76" s="67" t="n">
        <f aca="false">K76-L76</f>
        <v>0</v>
      </c>
      <c r="N76" s="77"/>
      <c r="O76" s="78" t="e">
        <f aca="false">C76-G76-K76</f>
        <v>#REF!</v>
      </c>
      <c r="P76" s="79" t="e">
        <f aca="false">D76-H76-L76</f>
        <v>#REF!</v>
      </c>
      <c r="Q76" s="67" t="e">
        <f aca="false">O76-P76</f>
        <v>#REF!</v>
      </c>
    </row>
    <row r="77" customFormat="false" ht="12" hidden="false" customHeight="true" outlineLevel="0" collapsed="false">
      <c r="A77" s="97" t="s">
        <v>75</v>
      </c>
      <c r="B77" s="47"/>
      <c r="C77" s="74" t="n">
        <v>0</v>
      </c>
      <c r="D77" s="95" t="n">
        <v>0</v>
      </c>
      <c r="E77" s="76" t="n">
        <f aca="false">-D77+C77</f>
        <v>0</v>
      </c>
      <c r="F77" s="62"/>
      <c r="G77" s="63" t="e">
        <f aca="false">#REF!+#REF!</f>
        <v>#REF!</v>
      </c>
      <c r="H77" s="63" t="e">
        <f aca="false">#REF!+#REF!</f>
        <v>#REF!</v>
      </c>
      <c r="I77" s="96" t="e">
        <f aca="false">G77-H77</f>
        <v>#REF!</v>
      </c>
      <c r="J77" s="77"/>
      <c r="K77" s="63" t="n">
        <v>0</v>
      </c>
      <c r="L77" s="66" t="n">
        <v>0</v>
      </c>
      <c r="M77" s="67" t="n">
        <f aca="false">K77-L77</f>
        <v>0</v>
      </c>
      <c r="N77" s="77"/>
      <c r="O77" s="78" t="e">
        <f aca="false">C77-G77-K77</f>
        <v>#REF!</v>
      </c>
      <c r="P77" s="79" t="e">
        <f aca="false">D77-H77-L77</f>
        <v>#REF!</v>
      </c>
      <c r="Q77" s="67" t="e">
        <f aca="false">O77-P77</f>
        <v>#REF!</v>
      </c>
    </row>
    <row r="78" customFormat="false" ht="12" hidden="false" customHeight="true" outlineLevel="0" collapsed="false">
      <c r="A78" s="97" t="s">
        <v>76</v>
      </c>
      <c r="B78" s="47"/>
      <c r="C78" s="74" t="n">
        <v>0</v>
      </c>
      <c r="D78" s="95" t="n">
        <v>0</v>
      </c>
      <c r="E78" s="76" t="n">
        <f aca="false">-D78+C78</f>
        <v>0</v>
      </c>
      <c r="F78" s="62"/>
      <c r="G78" s="63" t="e">
        <f aca="false">#REF!+#REF!</f>
        <v>#REF!</v>
      </c>
      <c r="H78" s="63" t="e">
        <f aca="false">#REF!+#REF!</f>
        <v>#REF!</v>
      </c>
      <c r="I78" s="96" t="e">
        <f aca="false">G78-H78</f>
        <v>#REF!</v>
      </c>
      <c r="J78" s="77"/>
      <c r="K78" s="63" t="n">
        <v>0</v>
      </c>
      <c r="L78" s="66" t="n">
        <v>0</v>
      </c>
      <c r="M78" s="67" t="n">
        <f aca="false">K78-L78</f>
        <v>0</v>
      </c>
      <c r="N78" s="77"/>
      <c r="O78" s="78" t="e">
        <f aca="false">C78-G78-K78</f>
        <v>#REF!</v>
      </c>
      <c r="P78" s="79" t="e">
        <f aca="false">D78-H78-L78</f>
        <v>#REF!</v>
      </c>
      <c r="Q78" s="67" t="e">
        <f aca="false">O78-P78</f>
        <v>#REF!</v>
      </c>
    </row>
    <row r="79" customFormat="false" ht="12" hidden="false" customHeight="true" outlineLevel="0" collapsed="false">
      <c r="A79" s="97" t="s">
        <v>77</v>
      </c>
      <c r="B79" s="47"/>
      <c r="C79" s="74" t="n">
        <v>0</v>
      </c>
      <c r="D79" s="95" t="n">
        <v>0</v>
      </c>
      <c r="E79" s="76" t="n">
        <f aca="false">-D79+C79</f>
        <v>0</v>
      </c>
      <c r="F79" s="62"/>
      <c r="G79" s="63" t="e">
        <f aca="false">#REF!+#REF!</f>
        <v>#REF!</v>
      </c>
      <c r="H79" s="63" t="e">
        <f aca="false">#REF!+#REF!</f>
        <v>#REF!</v>
      </c>
      <c r="I79" s="96" t="e">
        <f aca="false">G79-H79</f>
        <v>#REF!</v>
      </c>
      <c r="J79" s="77"/>
      <c r="K79" s="63" t="n">
        <v>0</v>
      </c>
      <c r="L79" s="66" t="n">
        <v>0</v>
      </c>
      <c r="M79" s="67" t="n">
        <f aca="false">K79-L79</f>
        <v>0</v>
      </c>
      <c r="N79" s="77"/>
      <c r="O79" s="78" t="e">
        <f aca="false">C79-G79-K79</f>
        <v>#REF!</v>
      </c>
      <c r="P79" s="79" t="e">
        <f aca="false">D79-H79-L79</f>
        <v>#REF!</v>
      </c>
      <c r="Q79" s="67" t="e">
        <f aca="false">O79-P79</f>
        <v>#REF!</v>
      </c>
    </row>
    <row r="80" customFormat="false" ht="12" hidden="false" customHeight="true" outlineLevel="0" collapsed="false">
      <c r="A80" s="97" t="s">
        <v>78</v>
      </c>
      <c r="B80" s="47"/>
      <c r="C80" s="74" t="n">
        <v>0</v>
      </c>
      <c r="D80" s="95" t="n">
        <v>0</v>
      </c>
      <c r="E80" s="76" t="n">
        <f aca="false">-D80+C80</f>
        <v>0</v>
      </c>
      <c r="F80" s="62"/>
      <c r="G80" s="63" t="e">
        <f aca="false">#REF!+#REF!</f>
        <v>#REF!</v>
      </c>
      <c r="H80" s="63" t="e">
        <f aca="false">#REF!+#REF!</f>
        <v>#REF!</v>
      </c>
      <c r="I80" s="96" t="e">
        <f aca="false">G80-H80</f>
        <v>#REF!</v>
      </c>
      <c r="J80" s="77"/>
      <c r="K80" s="63" t="n">
        <v>0</v>
      </c>
      <c r="L80" s="66" t="n">
        <v>0</v>
      </c>
      <c r="M80" s="67" t="n">
        <f aca="false">K80-L80</f>
        <v>0</v>
      </c>
      <c r="N80" s="77"/>
      <c r="O80" s="78" t="e">
        <f aca="false">C80-G80-K80</f>
        <v>#REF!</v>
      </c>
      <c r="P80" s="79" t="e">
        <f aca="false">D80-H80-L80</f>
        <v>#REF!</v>
      </c>
      <c r="Q80" s="67" t="e">
        <f aca="false">O80-P80</f>
        <v>#REF!</v>
      </c>
    </row>
    <row r="81" customFormat="false" ht="12.75" hidden="false" customHeight="false" outlineLevel="0" collapsed="false">
      <c r="A81" s="97" t="s">
        <v>79</v>
      </c>
      <c r="B81" s="47"/>
      <c r="C81" s="74" t="n">
        <v>0</v>
      </c>
      <c r="D81" s="95" t="n">
        <v>0</v>
      </c>
      <c r="E81" s="76" t="n">
        <f aca="false">-D81+C81</f>
        <v>0</v>
      </c>
      <c r="F81" s="81"/>
      <c r="G81" s="63" t="e">
        <f aca="false">#REF!+#REF!</f>
        <v>#REF!</v>
      </c>
      <c r="H81" s="63" t="e">
        <f aca="false">#REF!+#REF!</f>
        <v>#REF!</v>
      </c>
      <c r="I81" s="96" t="e">
        <f aca="false">G81-H81</f>
        <v>#REF!</v>
      </c>
      <c r="J81" s="77"/>
      <c r="K81" s="63" t="n">
        <v>0</v>
      </c>
      <c r="L81" s="66" t="n">
        <v>0</v>
      </c>
      <c r="M81" s="67" t="n">
        <f aca="false">K81-L81</f>
        <v>0</v>
      </c>
      <c r="N81" s="77"/>
      <c r="O81" s="78" t="e">
        <f aca="false">C81-G81-K81</f>
        <v>#REF!</v>
      </c>
      <c r="P81" s="79" t="e">
        <f aca="false">D81-H81-L81</f>
        <v>#REF!</v>
      </c>
      <c r="Q81" s="67" t="e">
        <f aca="false">O81-P81</f>
        <v>#REF!</v>
      </c>
    </row>
    <row r="82" customFormat="false" ht="12" hidden="false" customHeight="true" outlineLevel="0" collapsed="false">
      <c r="A82" s="97" t="s">
        <v>80</v>
      </c>
      <c r="B82" s="47"/>
      <c r="C82" s="74" t="n">
        <v>0</v>
      </c>
      <c r="D82" s="95" t="n">
        <v>0</v>
      </c>
      <c r="E82" s="76" t="n">
        <f aca="false">-D82+C82</f>
        <v>0</v>
      </c>
      <c r="F82" s="62"/>
      <c r="G82" s="63" t="e">
        <f aca="false">#REF!+#REF!</f>
        <v>#REF!</v>
      </c>
      <c r="H82" s="63" t="e">
        <f aca="false">#REF!+#REF!</f>
        <v>#REF!</v>
      </c>
      <c r="I82" s="96" t="e">
        <f aca="false">G82-H82</f>
        <v>#REF!</v>
      </c>
      <c r="J82" s="77"/>
      <c r="K82" s="63" t="n">
        <v>0</v>
      </c>
      <c r="L82" s="66" t="n">
        <v>0</v>
      </c>
      <c r="M82" s="67" t="n">
        <f aca="false">K82-L82</f>
        <v>0</v>
      </c>
      <c r="N82" s="77"/>
      <c r="O82" s="78" t="e">
        <f aca="false">C82-G82-K82</f>
        <v>#REF!</v>
      </c>
      <c r="P82" s="79" t="e">
        <f aca="false">D82-H82-L82</f>
        <v>#REF!</v>
      </c>
      <c r="Q82" s="67" t="e">
        <f aca="false">O82-P82</f>
        <v>#REF!</v>
      </c>
    </row>
    <row r="83" customFormat="false" ht="12" hidden="false" customHeight="true" outlineLevel="0" collapsed="false">
      <c r="A83" s="82" t="s">
        <v>81</v>
      </c>
      <c r="B83" s="83"/>
      <c r="C83" s="84" t="n">
        <f aca="false">SUM(C69:C82)</f>
        <v>0</v>
      </c>
      <c r="D83" s="85" t="n">
        <f aca="false">SUM(D69:D82)</f>
        <v>0</v>
      </c>
      <c r="E83" s="86" t="n">
        <f aca="false">SUM(E69:E82)</f>
        <v>0</v>
      </c>
      <c r="F83" s="87"/>
      <c r="G83" s="88" t="e">
        <f aca="false">SUM(G69:G82)</f>
        <v>#REF!</v>
      </c>
      <c r="H83" s="89" t="e">
        <f aca="false">SUM(H69:H82)</f>
        <v>#REF!</v>
      </c>
      <c r="I83" s="90" t="e">
        <f aca="false">G83-H83</f>
        <v>#REF!</v>
      </c>
      <c r="J83" s="91"/>
      <c r="K83" s="89" t="n">
        <f aca="false">SUM(K69:K82)</f>
        <v>0</v>
      </c>
      <c r="L83" s="89" t="n">
        <f aca="false">SUM(L69:L82)</f>
        <v>0</v>
      </c>
      <c r="M83" s="92" t="n">
        <f aca="false">SUM(M69:M82)</f>
        <v>0</v>
      </c>
      <c r="N83" s="93"/>
      <c r="O83" s="88" t="e">
        <f aca="false">SUM(O69:O82)</f>
        <v>#REF!</v>
      </c>
      <c r="P83" s="89" t="e">
        <f aca="false">SUM(P69:P82)</f>
        <v>#REF!</v>
      </c>
      <c r="Q83" s="92" t="e">
        <f aca="false">SUM(Q69:Q82)</f>
        <v>#REF!</v>
      </c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98"/>
      <c r="AE83" s="98"/>
      <c r="AF83" s="98"/>
      <c r="AG83" s="98"/>
      <c r="AH83" s="98"/>
      <c r="AI83" s="98"/>
      <c r="AJ83" s="98"/>
      <c r="AK83" s="98"/>
      <c r="AL83" s="98"/>
      <c r="AM83" s="98"/>
      <c r="AN83" s="98"/>
      <c r="AO83" s="98"/>
      <c r="AP83" s="98"/>
      <c r="AQ83" s="98"/>
      <c r="AR83" s="98"/>
      <c r="AS83" s="98"/>
      <c r="AT83" s="98"/>
      <c r="AU83" s="98"/>
      <c r="AV83" s="98"/>
      <c r="AW83" s="98"/>
      <c r="AX83" s="98"/>
      <c r="AY83" s="98"/>
      <c r="AZ83" s="98"/>
      <c r="BA83" s="98"/>
      <c r="BB83" s="98"/>
      <c r="BC83" s="98"/>
      <c r="BD83" s="98"/>
      <c r="BE83" s="98"/>
      <c r="BF83" s="98"/>
      <c r="BG83" s="98"/>
      <c r="BH83" s="98"/>
      <c r="BI83" s="98"/>
      <c r="BJ83" s="98"/>
      <c r="BK83" s="98"/>
      <c r="BL83" s="98"/>
      <c r="BM83" s="98"/>
      <c r="BN83" s="98"/>
      <c r="BO83" s="98"/>
      <c r="BP83" s="98"/>
      <c r="BQ83" s="98"/>
      <c r="BR83" s="98"/>
      <c r="BS83" s="98"/>
      <c r="BT83" s="98"/>
      <c r="BU83" s="98"/>
      <c r="BV83" s="98"/>
      <c r="BW83" s="98"/>
      <c r="BX83" s="98"/>
      <c r="BY83" s="98"/>
      <c r="BZ83" s="98"/>
      <c r="CA83" s="98"/>
      <c r="CB83" s="98"/>
      <c r="CC83" s="98"/>
      <c r="CD83" s="98"/>
      <c r="CE83" s="98"/>
      <c r="CF83" s="98"/>
      <c r="CG83" s="98"/>
      <c r="CH83" s="98"/>
      <c r="CI83" s="98"/>
      <c r="CJ83" s="98"/>
      <c r="CK83" s="98"/>
      <c r="CL83" s="98"/>
      <c r="CM83" s="98"/>
      <c r="CN83" s="98"/>
      <c r="CO83" s="98"/>
      <c r="CP83" s="98"/>
      <c r="CQ83" s="98"/>
      <c r="CR83" s="98"/>
      <c r="CS83" s="98"/>
      <c r="CT83" s="98"/>
      <c r="CU83" s="98"/>
      <c r="CV83" s="98"/>
      <c r="CW83" s="98"/>
      <c r="CX83" s="98"/>
      <c r="CY83" s="98"/>
      <c r="CZ83" s="98"/>
      <c r="DA83" s="98"/>
      <c r="DB83" s="98"/>
      <c r="DC83" s="98"/>
      <c r="DD83" s="98"/>
      <c r="DE83" s="98"/>
      <c r="DF83" s="98"/>
      <c r="DG83" s="98"/>
      <c r="DH83" s="98"/>
      <c r="DI83" s="98"/>
      <c r="DJ83" s="98"/>
      <c r="DK83" s="98"/>
      <c r="DL83" s="98"/>
      <c r="DM83" s="98"/>
      <c r="DN83" s="98"/>
      <c r="DO83" s="98"/>
      <c r="DP83" s="98"/>
      <c r="DQ83" s="98"/>
      <c r="DR83" s="98"/>
      <c r="DS83" s="98"/>
      <c r="DT83" s="98"/>
      <c r="DU83" s="98"/>
      <c r="DV83" s="98"/>
      <c r="DW83" s="98"/>
      <c r="DX83" s="98"/>
      <c r="DY83" s="98"/>
      <c r="DZ83" s="98"/>
      <c r="EA83" s="98"/>
      <c r="EB83" s="98"/>
      <c r="EC83" s="98"/>
      <c r="ED83" s="98"/>
      <c r="EE83" s="98"/>
      <c r="EF83" s="98"/>
      <c r="EG83" s="98"/>
      <c r="EH83" s="98"/>
      <c r="EI83" s="98"/>
      <c r="EJ83" s="98"/>
      <c r="EK83" s="98"/>
      <c r="EL83" s="98"/>
      <c r="EM83" s="98"/>
      <c r="EN83" s="98"/>
      <c r="EO83" s="98"/>
      <c r="EP83" s="98"/>
      <c r="EQ83" s="98"/>
      <c r="ER83" s="98"/>
      <c r="ES83" s="98"/>
      <c r="ET83" s="98"/>
      <c r="EU83" s="98"/>
      <c r="EV83" s="98"/>
      <c r="EW83" s="98"/>
      <c r="EX83" s="98"/>
      <c r="EY83" s="98"/>
      <c r="EZ83" s="98"/>
      <c r="FA83" s="98"/>
      <c r="FB83" s="98"/>
      <c r="FC83" s="98"/>
      <c r="FD83" s="98"/>
      <c r="FE83" s="98"/>
      <c r="FF83" s="98"/>
      <c r="FG83" s="98"/>
      <c r="FH83" s="98"/>
      <c r="FI83" s="98"/>
      <c r="FJ83" s="98"/>
      <c r="FK83" s="98"/>
      <c r="FL83" s="98"/>
      <c r="FM83" s="98"/>
      <c r="FN83" s="98"/>
      <c r="FO83" s="98"/>
      <c r="FP83" s="98"/>
      <c r="FQ83" s="98"/>
      <c r="FR83" s="98"/>
      <c r="FS83" s="98"/>
      <c r="FT83" s="98"/>
      <c r="FU83" s="98"/>
      <c r="FV83" s="98"/>
      <c r="FW83" s="98"/>
      <c r="FX83" s="98"/>
      <c r="FY83" s="98"/>
      <c r="FZ83" s="98"/>
      <c r="GA83" s="98"/>
      <c r="GB83" s="98"/>
      <c r="GC83" s="98"/>
      <c r="GD83" s="98"/>
      <c r="GE83" s="98"/>
      <c r="GF83" s="98"/>
      <c r="GG83" s="98"/>
      <c r="GH83" s="98"/>
      <c r="GI83" s="98"/>
      <c r="GJ83" s="98"/>
      <c r="GK83" s="98"/>
      <c r="GL83" s="98"/>
      <c r="GM83" s="98"/>
      <c r="GN83" s="98"/>
      <c r="GO83" s="98"/>
      <c r="GP83" s="98"/>
      <c r="GQ83" s="98"/>
      <c r="GR83" s="98"/>
      <c r="GS83" s="98"/>
      <c r="GT83" s="98"/>
      <c r="GU83" s="98"/>
      <c r="GV83" s="98"/>
      <c r="GW83" s="98"/>
      <c r="GX83" s="98"/>
      <c r="GY83" s="98"/>
      <c r="GZ83" s="98"/>
      <c r="HA83" s="98"/>
      <c r="HB83" s="98"/>
      <c r="HC83" s="98"/>
      <c r="HD83" s="98"/>
      <c r="HE83" s="98"/>
      <c r="HF83" s="98"/>
      <c r="HG83" s="98"/>
      <c r="HH83" s="98"/>
      <c r="HI83" s="98"/>
      <c r="HJ83" s="98"/>
      <c r="HK83" s="98"/>
      <c r="HL83" s="98"/>
      <c r="HM83" s="98"/>
      <c r="HN83" s="98"/>
      <c r="HO83" s="98"/>
      <c r="HP83" s="98"/>
      <c r="HQ83" s="98"/>
      <c r="HR83" s="98"/>
      <c r="HS83" s="98"/>
      <c r="HT83" s="98"/>
      <c r="HU83" s="98"/>
      <c r="HV83" s="98"/>
      <c r="HW83" s="98"/>
      <c r="HX83" s="98"/>
      <c r="HY83" s="98"/>
      <c r="HZ83" s="98"/>
      <c r="IA83" s="98"/>
      <c r="IB83" s="98"/>
      <c r="IC83" s="98"/>
      <c r="ID83" s="98"/>
      <c r="IE83" s="98"/>
      <c r="IF83" s="98"/>
      <c r="IG83" s="98"/>
      <c r="IH83" s="98"/>
      <c r="II83" s="98"/>
      <c r="IJ83" s="98"/>
      <c r="IK83" s="98"/>
      <c r="IL83" s="98"/>
      <c r="IM83" s="98"/>
      <c r="IN83" s="98"/>
      <c r="IO83" s="98"/>
      <c r="IP83" s="98"/>
      <c r="IQ83" s="98"/>
      <c r="IR83" s="98"/>
      <c r="IS83" s="98"/>
      <c r="IT83" s="98"/>
      <c r="IU83" s="98"/>
      <c r="IV83" s="98"/>
      <c r="IW83" s="98"/>
    </row>
    <row r="84" customFormat="false" ht="12" hidden="false" customHeight="true" outlineLevel="0" collapsed="false">
      <c r="A84" s="99" t="s">
        <v>82</v>
      </c>
      <c r="B84" s="47"/>
      <c r="C84" s="74" t="n">
        <v>0</v>
      </c>
      <c r="D84" s="95" t="n">
        <v>0</v>
      </c>
      <c r="E84" s="76" t="n">
        <f aca="false">-D84+C84</f>
        <v>0</v>
      </c>
      <c r="F84" s="62"/>
      <c r="G84" s="63" t="e">
        <f aca="false">#REF!+#REF!</f>
        <v>#REF!</v>
      </c>
      <c r="H84" s="63" t="e">
        <f aca="false">#REF!+#REF!</f>
        <v>#REF!</v>
      </c>
      <c r="I84" s="96" t="e">
        <f aca="false">G84-H84</f>
        <v>#REF!</v>
      </c>
      <c r="J84" s="77"/>
      <c r="K84" s="63" t="e">
        <f aca="false">#REF!+#REF!</f>
        <v>#REF!</v>
      </c>
      <c r="L84" s="79" t="e">
        <f aca="false">#REF!</f>
        <v>#REF!</v>
      </c>
      <c r="M84" s="67" t="e">
        <f aca="false">K84-L84</f>
        <v>#REF!</v>
      </c>
      <c r="N84" s="77"/>
      <c r="O84" s="78" t="e">
        <f aca="false">C84-G84-K84</f>
        <v>#REF!</v>
      </c>
      <c r="P84" s="79" t="e">
        <f aca="false">D84-H84-L84</f>
        <v>#REF!</v>
      </c>
      <c r="Q84" s="67" t="e">
        <f aca="false">O84-P84</f>
        <v>#REF!</v>
      </c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  <c r="AS84" s="100"/>
      <c r="AT84" s="100"/>
      <c r="AU84" s="100"/>
      <c r="AV84" s="100"/>
      <c r="AW84" s="100"/>
      <c r="AX84" s="100"/>
      <c r="AY84" s="100"/>
      <c r="AZ84" s="100"/>
      <c r="BA84" s="100"/>
      <c r="BB84" s="100"/>
      <c r="BC84" s="100"/>
      <c r="BD84" s="100"/>
      <c r="BE84" s="100"/>
      <c r="BF84" s="100"/>
      <c r="BG84" s="100"/>
      <c r="BH84" s="100"/>
      <c r="BI84" s="100"/>
      <c r="BJ84" s="100"/>
      <c r="BK84" s="100"/>
      <c r="BL84" s="100"/>
      <c r="BM84" s="100"/>
      <c r="BN84" s="100"/>
      <c r="BO84" s="100"/>
      <c r="BP84" s="100"/>
      <c r="BQ84" s="100"/>
      <c r="BR84" s="100"/>
      <c r="BS84" s="100"/>
      <c r="BT84" s="100"/>
      <c r="BU84" s="100"/>
      <c r="BV84" s="100"/>
      <c r="BW84" s="100"/>
      <c r="BX84" s="100"/>
      <c r="BY84" s="100"/>
      <c r="BZ84" s="100"/>
      <c r="CA84" s="100"/>
      <c r="CB84" s="100"/>
      <c r="CC84" s="100"/>
      <c r="CD84" s="100"/>
      <c r="CE84" s="100"/>
      <c r="CF84" s="100"/>
      <c r="CG84" s="100"/>
      <c r="CH84" s="100"/>
      <c r="CI84" s="100"/>
      <c r="CJ84" s="100"/>
      <c r="CK84" s="100"/>
      <c r="CL84" s="100"/>
      <c r="CM84" s="100"/>
      <c r="CN84" s="100"/>
      <c r="CO84" s="100"/>
      <c r="CP84" s="100"/>
      <c r="CQ84" s="100"/>
      <c r="CR84" s="100"/>
      <c r="CS84" s="100"/>
      <c r="CT84" s="100"/>
      <c r="CU84" s="100"/>
      <c r="CV84" s="100"/>
      <c r="CW84" s="100"/>
      <c r="CX84" s="100"/>
      <c r="CY84" s="100"/>
      <c r="CZ84" s="100"/>
      <c r="DA84" s="100"/>
      <c r="DB84" s="100"/>
      <c r="DC84" s="100"/>
      <c r="DD84" s="100"/>
      <c r="DE84" s="100"/>
      <c r="DF84" s="100"/>
      <c r="DG84" s="100"/>
      <c r="DH84" s="100"/>
      <c r="DI84" s="100"/>
      <c r="DJ84" s="100"/>
      <c r="DK84" s="100"/>
      <c r="DL84" s="100"/>
      <c r="DM84" s="100"/>
      <c r="DN84" s="100"/>
      <c r="DO84" s="100"/>
      <c r="DP84" s="100"/>
      <c r="DQ84" s="100"/>
      <c r="DR84" s="100"/>
      <c r="DS84" s="100"/>
      <c r="DT84" s="100"/>
      <c r="DU84" s="100"/>
      <c r="DV84" s="100"/>
      <c r="DW84" s="100"/>
      <c r="DX84" s="100"/>
      <c r="DY84" s="100"/>
      <c r="DZ84" s="100"/>
      <c r="EA84" s="100"/>
      <c r="EB84" s="100"/>
      <c r="EC84" s="100"/>
      <c r="ED84" s="100"/>
      <c r="EE84" s="100"/>
      <c r="EF84" s="100"/>
      <c r="EG84" s="100"/>
      <c r="EH84" s="100"/>
      <c r="EI84" s="100"/>
      <c r="EJ84" s="100"/>
      <c r="EK84" s="100"/>
      <c r="EL84" s="100"/>
      <c r="EM84" s="100"/>
      <c r="EN84" s="100"/>
      <c r="EO84" s="100"/>
      <c r="EP84" s="100"/>
      <c r="EQ84" s="100"/>
      <c r="ER84" s="100"/>
      <c r="ES84" s="100"/>
      <c r="ET84" s="100"/>
      <c r="EU84" s="100"/>
      <c r="EV84" s="100"/>
      <c r="EW84" s="100"/>
      <c r="EX84" s="100"/>
      <c r="EY84" s="100"/>
      <c r="EZ84" s="100"/>
      <c r="FA84" s="100"/>
      <c r="FB84" s="100"/>
      <c r="FC84" s="100"/>
      <c r="FD84" s="100"/>
      <c r="FE84" s="100"/>
      <c r="FF84" s="100"/>
      <c r="FG84" s="100"/>
      <c r="FH84" s="100"/>
      <c r="FI84" s="100"/>
      <c r="FJ84" s="100"/>
      <c r="FK84" s="100"/>
      <c r="FL84" s="100"/>
      <c r="FM84" s="100"/>
      <c r="FN84" s="100"/>
      <c r="FO84" s="100"/>
      <c r="FP84" s="100"/>
      <c r="FQ84" s="100"/>
      <c r="FR84" s="100"/>
      <c r="FS84" s="100"/>
      <c r="FT84" s="100"/>
      <c r="FU84" s="100"/>
      <c r="FV84" s="100"/>
      <c r="FW84" s="100"/>
      <c r="FX84" s="100"/>
      <c r="FY84" s="100"/>
      <c r="FZ84" s="100"/>
      <c r="GA84" s="100"/>
      <c r="GB84" s="100"/>
      <c r="GC84" s="100"/>
      <c r="GD84" s="100"/>
      <c r="GE84" s="100"/>
      <c r="GF84" s="100"/>
      <c r="GG84" s="100"/>
      <c r="GH84" s="100"/>
      <c r="GI84" s="100"/>
      <c r="GJ84" s="100"/>
      <c r="GK84" s="100"/>
      <c r="GL84" s="100"/>
      <c r="GM84" s="100"/>
      <c r="GN84" s="100"/>
      <c r="GO84" s="100"/>
      <c r="GP84" s="100"/>
      <c r="GQ84" s="100"/>
      <c r="GR84" s="100"/>
      <c r="GS84" s="100"/>
      <c r="GT84" s="100"/>
      <c r="GU84" s="100"/>
      <c r="GV84" s="100"/>
      <c r="GW84" s="100"/>
      <c r="GX84" s="100"/>
      <c r="GY84" s="100"/>
      <c r="GZ84" s="100"/>
      <c r="HA84" s="100"/>
      <c r="HB84" s="100"/>
      <c r="HC84" s="100"/>
      <c r="HD84" s="100"/>
      <c r="HE84" s="100"/>
      <c r="HF84" s="100"/>
      <c r="HG84" s="100"/>
      <c r="HH84" s="100"/>
      <c r="HI84" s="100"/>
      <c r="HJ84" s="100"/>
      <c r="HK84" s="100"/>
      <c r="HL84" s="100"/>
      <c r="HM84" s="100"/>
      <c r="HN84" s="100"/>
      <c r="HO84" s="100"/>
      <c r="HP84" s="100"/>
      <c r="HQ84" s="100"/>
      <c r="HR84" s="100"/>
      <c r="HS84" s="100"/>
      <c r="HT84" s="100"/>
      <c r="HU84" s="100"/>
      <c r="HV84" s="100"/>
      <c r="HW84" s="100"/>
      <c r="HX84" s="100"/>
      <c r="HY84" s="100"/>
      <c r="HZ84" s="100"/>
      <c r="IA84" s="100"/>
      <c r="IB84" s="100"/>
      <c r="IC84" s="100"/>
      <c r="ID84" s="100"/>
      <c r="IE84" s="100"/>
      <c r="IF84" s="100"/>
      <c r="IG84" s="100"/>
      <c r="IH84" s="100"/>
      <c r="II84" s="100"/>
      <c r="IJ84" s="100"/>
      <c r="IK84" s="100"/>
      <c r="IL84" s="100"/>
      <c r="IM84" s="100"/>
      <c r="IN84" s="100"/>
      <c r="IO84" s="100"/>
      <c r="IP84" s="100"/>
      <c r="IQ84" s="100"/>
      <c r="IR84" s="100"/>
      <c r="IS84" s="100"/>
      <c r="IT84" s="100"/>
      <c r="IU84" s="100"/>
      <c r="IV84" s="100"/>
      <c r="IW84" s="100"/>
    </row>
    <row r="85" customFormat="false" ht="12" hidden="false" customHeight="true" outlineLevel="0" collapsed="false">
      <c r="A85" s="99" t="s">
        <v>83</v>
      </c>
      <c r="B85" s="47"/>
      <c r="C85" s="74"/>
      <c r="D85" s="95" t="n">
        <v>0</v>
      </c>
      <c r="E85" s="76"/>
      <c r="F85" s="62"/>
      <c r="G85" s="63" t="e">
        <f aca="false">#REF!+#REF!</f>
        <v>#REF!</v>
      </c>
      <c r="H85" s="63" t="e">
        <f aca="false">#REF!+#REF!</f>
        <v>#REF!</v>
      </c>
      <c r="I85" s="96" t="e">
        <f aca="false">G85-H85</f>
        <v>#REF!</v>
      </c>
      <c r="J85" s="77"/>
      <c r="K85" s="63" t="e">
        <f aca="false">#REF!+#REF!</f>
        <v>#REF!</v>
      </c>
      <c r="L85" s="79"/>
      <c r="M85" s="67" t="e">
        <f aca="false">K85-L85</f>
        <v>#REF!</v>
      </c>
      <c r="N85" s="77"/>
      <c r="O85" s="78" t="e">
        <f aca="false">C85-G85-K85</f>
        <v>#REF!</v>
      </c>
      <c r="P85" s="79" t="e">
        <f aca="false">D85-H85-L85</f>
        <v>#REF!</v>
      </c>
      <c r="Q85" s="67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100"/>
      <c r="AO85" s="100"/>
      <c r="AP85" s="100"/>
      <c r="AQ85" s="100"/>
      <c r="AR85" s="100"/>
      <c r="AS85" s="100"/>
      <c r="AT85" s="100"/>
      <c r="AU85" s="100"/>
      <c r="AV85" s="100"/>
      <c r="AW85" s="100"/>
      <c r="AX85" s="100"/>
      <c r="AY85" s="100"/>
      <c r="AZ85" s="100"/>
      <c r="BA85" s="100"/>
      <c r="BB85" s="100"/>
      <c r="BC85" s="100"/>
      <c r="BD85" s="100"/>
      <c r="BE85" s="100"/>
      <c r="BF85" s="100"/>
      <c r="BG85" s="100"/>
      <c r="BH85" s="100"/>
      <c r="BI85" s="100"/>
      <c r="BJ85" s="100"/>
      <c r="BK85" s="100"/>
      <c r="BL85" s="100"/>
      <c r="BM85" s="100"/>
      <c r="BN85" s="100"/>
      <c r="BO85" s="100"/>
      <c r="BP85" s="100"/>
      <c r="BQ85" s="100"/>
      <c r="BR85" s="100"/>
      <c r="BS85" s="100"/>
      <c r="BT85" s="100"/>
      <c r="BU85" s="100"/>
      <c r="BV85" s="100"/>
      <c r="BW85" s="100"/>
      <c r="BX85" s="100"/>
      <c r="BY85" s="100"/>
      <c r="BZ85" s="100"/>
      <c r="CA85" s="100"/>
      <c r="CB85" s="100"/>
      <c r="CC85" s="100"/>
      <c r="CD85" s="100"/>
      <c r="CE85" s="100"/>
      <c r="CF85" s="100"/>
      <c r="CG85" s="100"/>
      <c r="CH85" s="100"/>
      <c r="CI85" s="100"/>
      <c r="CJ85" s="100"/>
      <c r="CK85" s="100"/>
      <c r="CL85" s="100"/>
      <c r="CM85" s="100"/>
      <c r="CN85" s="100"/>
      <c r="CO85" s="100"/>
      <c r="CP85" s="100"/>
      <c r="CQ85" s="100"/>
      <c r="CR85" s="100"/>
      <c r="CS85" s="100"/>
      <c r="CT85" s="100"/>
      <c r="CU85" s="100"/>
      <c r="CV85" s="100"/>
      <c r="CW85" s="100"/>
      <c r="CX85" s="100"/>
      <c r="CY85" s="100"/>
      <c r="CZ85" s="100"/>
      <c r="DA85" s="100"/>
      <c r="DB85" s="100"/>
      <c r="DC85" s="100"/>
      <c r="DD85" s="100"/>
      <c r="DE85" s="100"/>
      <c r="DF85" s="100"/>
      <c r="DG85" s="100"/>
      <c r="DH85" s="100"/>
      <c r="DI85" s="100"/>
      <c r="DJ85" s="100"/>
      <c r="DK85" s="100"/>
      <c r="DL85" s="100"/>
      <c r="DM85" s="100"/>
      <c r="DN85" s="100"/>
      <c r="DO85" s="100"/>
      <c r="DP85" s="100"/>
      <c r="DQ85" s="100"/>
      <c r="DR85" s="100"/>
      <c r="DS85" s="100"/>
      <c r="DT85" s="100"/>
      <c r="DU85" s="100"/>
      <c r="DV85" s="100"/>
      <c r="DW85" s="100"/>
      <c r="DX85" s="100"/>
      <c r="DY85" s="100"/>
      <c r="DZ85" s="100"/>
      <c r="EA85" s="100"/>
      <c r="EB85" s="100"/>
      <c r="EC85" s="100"/>
      <c r="ED85" s="100"/>
      <c r="EE85" s="100"/>
      <c r="EF85" s="100"/>
      <c r="EG85" s="100"/>
      <c r="EH85" s="100"/>
      <c r="EI85" s="100"/>
      <c r="EJ85" s="100"/>
      <c r="EK85" s="100"/>
      <c r="EL85" s="100"/>
      <c r="EM85" s="100"/>
      <c r="EN85" s="100"/>
      <c r="EO85" s="100"/>
      <c r="EP85" s="100"/>
      <c r="EQ85" s="100"/>
      <c r="ER85" s="100"/>
      <c r="ES85" s="100"/>
      <c r="ET85" s="100"/>
      <c r="EU85" s="100"/>
      <c r="EV85" s="100"/>
      <c r="EW85" s="100"/>
      <c r="EX85" s="100"/>
      <c r="EY85" s="100"/>
      <c r="EZ85" s="100"/>
      <c r="FA85" s="100"/>
      <c r="FB85" s="100"/>
      <c r="FC85" s="100"/>
      <c r="FD85" s="100"/>
      <c r="FE85" s="100"/>
      <c r="FF85" s="100"/>
      <c r="FG85" s="100"/>
      <c r="FH85" s="100"/>
      <c r="FI85" s="100"/>
      <c r="FJ85" s="100"/>
      <c r="FK85" s="100"/>
      <c r="FL85" s="100"/>
      <c r="FM85" s="100"/>
      <c r="FN85" s="100"/>
      <c r="FO85" s="100"/>
      <c r="FP85" s="100"/>
      <c r="FQ85" s="100"/>
      <c r="FR85" s="100"/>
      <c r="FS85" s="100"/>
      <c r="FT85" s="100"/>
      <c r="FU85" s="100"/>
      <c r="FV85" s="100"/>
      <c r="FW85" s="100"/>
      <c r="FX85" s="100"/>
      <c r="FY85" s="100"/>
      <c r="FZ85" s="100"/>
      <c r="GA85" s="100"/>
      <c r="GB85" s="100"/>
      <c r="GC85" s="100"/>
      <c r="GD85" s="100"/>
      <c r="GE85" s="100"/>
      <c r="GF85" s="100"/>
      <c r="GG85" s="100"/>
      <c r="GH85" s="100"/>
      <c r="GI85" s="100"/>
      <c r="GJ85" s="100"/>
      <c r="GK85" s="100"/>
      <c r="GL85" s="100"/>
      <c r="GM85" s="100"/>
      <c r="GN85" s="100"/>
      <c r="GO85" s="100"/>
      <c r="GP85" s="100"/>
      <c r="GQ85" s="100"/>
      <c r="GR85" s="100"/>
      <c r="GS85" s="100"/>
      <c r="GT85" s="100"/>
      <c r="GU85" s="100"/>
      <c r="GV85" s="100"/>
      <c r="GW85" s="100"/>
      <c r="GX85" s="100"/>
      <c r="GY85" s="100"/>
      <c r="GZ85" s="100"/>
      <c r="HA85" s="100"/>
      <c r="HB85" s="100"/>
      <c r="HC85" s="100"/>
      <c r="HD85" s="100"/>
      <c r="HE85" s="100"/>
      <c r="HF85" s="100"/>
      <c r="HG85" s="100"/>
      <c r="HH85" s="100"/>
      <c r="HI85" s="100"/>
      <c r="HJ85" s="100"/>
      <c r="HK85" s="100"/>
      <c r="HL85" s="100"/>
      <c r="HM85" s="100"/>
      <c r="HN85" s="100"/>
      <c r="HO85" s="100"/>
      <c r="HP85" s="100"/>
      <c r="HQ85" s="100"/>
      <c r="HR85" s="100"/>
      <c r="HS85" s="100"/>
      <c r="HT85" s="100"/>
      <c r="HU85" s="100"/>
      <c r="HV85" s="100"/>
      <c r="HW85" s="100"/>
      <c r="HX85" s="100"/>
      <c r="HY85" s="100"/>
      <c r="HZ85" s="100"/>
      <c r="IA85" s="100"/>
      <c r="IB85" s="100"/>
      <c r="IC85" s="100"/>
      <c r="ID85" s="100"/>
      <c r="IE85" s="100"/>
      <c r="IF85" s="100"/>
      <c r="IG85" s="100"/>
      <c r="IH85" s="100"/>
      <c r="II85" s="100"/>
      <c r="IJ85" s="100"/>
      <c r="IK85" s="100"/>
      <c r="IL85" s="100"/>
      <c r="IM85" s="100"/>
      <c r="IN85" s="100"/>
      <c r="IO85" s="100"/>
      <c r="IP85" s="100"/>
      <c r="IQ85" s="100"/>
      <c r="IR85" s="100"/>
      <c r="IS85" s="100"/>
      <c r="IT85" s="100"/>
      <c r="IU85" s="100"/>
      <c r="IV85" s="100"/>
      <c r="IW85" s="100"/>
    </row>
    <row r="86" customFormat="false" ht="12" hidden="false" customHeight="true" outlineLevel="0" collapsed="false">
      <c r="A86" s="99" t="s">
        <v>84</v>
      </c>
      <c r="B86" s="47"/>
      <c r="C86" s="74"/>
      <c r="D86" s="95" t="n">
        <v>0</v>
      </c>
      <c r="E86" s="76"/>
      <c r="F86" s="62"/>
      <c r="G86" s="63" t="e">
        <f aca="false">#REF!+#REF!</f>
        <v>#REF!</v>
      </c>
      <c r="H86" s="63" t="e">
        <f aca="false">#REF!+#REF!</f>
        <v>#REF!</v>
      </c>
      <c r="I86" s="96" t="e">
        <f aca="false">G86-H86</f>
        <v>#REF!</v>
      </c>
      <c r="J86" s="77"/>
      <c r="K86" s="63" t="e">
        <f aca="false">#REF!+#REF!</f>
        <v>#REF!</v>
      </c>
      <c r="L86" s="79"/>
      <c r="M86" s="67" t="e">
        <f aca="false">K86-L86</f>
        <v>#REF!</v>
      </c>
      <c r="N86" s="77"/>
      <c r="O86" s="78" t="e">
        <f aca="false">C86-G86-K86</f>
        <v>#REF!</v>
      </c>
      <c r="P86" s="79" t="e">
        <f aca="false">D86-H86-L86</f>
        <v>#REF!</v>
      </c>
      <c r="Q86" s="67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  <c r="AO86" s="100"/>
      <c r="AP86" s="100"/>
      <c r="AQ86" s="100"/>
      <c r="AR86" s="100"/>
      <c r="AS86" s="100"/>
      <c r="AT86" s="100"/>
      <c r="AU86" s="100"/>
      <c r="AV86" s="100"/>
      <c r="AW86" s="100"/>
      <c r="AX86" s="100"/>
      <c r="AY86" s="100"/>
      <c r="AZ86" s="100"/>
      <c r="BA86" s="100"/>
      <c r="BB86" s="100"/>
      <c r="BC86" s="100"/>
      <c r="BD86" s="100"/>
      <c r="BE86" s="100"/>
      <c r="BF86" s="100"/>
      <c r="BG86" s="100"/>
      <c r="BH86" s="100"/>
      <c r="BI86" s="100"/>
      <c r="BJ86" s="100"/>
      <c r="BK86" s="100"/>
      <c r="BL86" s="100"/>
      <c r="BM86" s="100"/>
      <c r="BN86" s="100"/>
      <c r="BO86" s="100"/>
      <c r="BP86" s="100"/>
      <c r="BQ86" s="100"/>
      <c r="BR86" s="100"/>
      <c r="BS86" s="100"/>
      <c r="BT86" s="100"/>
      <c r="BU86" s="100"/>
      <c r="BV86" s="100"/>
      <c r="BW86" s="100"/>
      <c r="BX86" s="100"/>
      <c r="BY86" s="100"/>
      <c r="BZ86" s="100"/>
      <c r="CA86" s="100"/>
      <c r="CB86" s="100"/>
      <c r="CC86" s="100"/>
      <c r="CD86" s="100"/>
      <c r="CE86" s="100"/>
      <c r="CF86" s="100"/>
      <c r="CG86" s="100"/>
      <c r="CH86" s="100"/>
      <c r="CI86" s="100"/>
      <c r="CJ86" s="100"/>
      <c r="CK86" s="100"/>
      <c r="CL86" s="100"/>
      <c r="CM86" s="100"/>
      <c r="CN86" s="100"/>
      <c r="CO86" s="100"/>
      <c r="CP86" s="100"/>
      <c r="CQ86" s="100"/>
      <c r="CR86" s="100"/>
      <c r="CS86" s="100"/>
      <c r="CT86" s="100"/>
      <c r="CU86" s="100"/>
      <c r="CV86" s="100"/>
      <c r="CW86" s="100"/>
      <c r="CX86" s="100"/>
      <c r="CY86" s="100"/>
      <c r="CZ86" s="100"/>
      <c r="DA86" s="100"/>
      <c r="DB86" s="100"/>
      <c r="DC86" s="100"/>
      <c r="DD86" s="100"/>
      <c r="DE86" s="100"/>
      <c r="DF86" s="100"/>
      <c r="DG86" s="100"/>
      <c r="DH86" s="100"/>
      <c r="DI86" s="100"/>
      <c r="DJ86" s="100"/>
      <c r="DK86" s="100"/>
      <c r="DL86" s="100"/>
      <c r="DM86" s="100"/>
      <c r="DN86" s="100"/>
      <c r="DO86" s="100"/>
      <c r="DP86" s="100"/>
      <c r="DQ86" s="100"/>
      <c r="DR86" s="100"/>
      <c r="DS86" s="100"/>
      <c r="DT86" s="100"/>
      <c r="DU86" s="100"/>
      <c r="DV86" s="100"/>
      <c r="DW86" s="100"/>
      <c r="DX86" s="100"/>
      <c r="DY86" s="100"/>
      <c r="DZ86" s="100"/>
      <c r="EA86" s="100"/>
      <c r="EB86" s="100"/>
      <c r="EC86" s="100"/>
      <c r="ED86" s="100"/>
      <c r="EE86" s="100"/>
      <c r="EF86" s="100"/>
      <c r="EG86" s="100"/>
      <c r="EH86" s="100"/>
      <c r="EI86" s="100"/>
      <c r="EJ86" s="100"/>
      <c r="EK86" s="100"/>
      <c r="EL86" s="100"/>
      <c r="EM86" s="100"/>
      <c r="EN86" s="100"/>
      <c r="EO86" s="100"/>
      <c r="EP86" s="100"/>
      <c r="EQ86" s="100"/>
      <c r="ER86" s="100"/>
      <c r="ES86" s="100"/>
      <c r="ET86" s="100"/>
      <c r="EU86" s="100"/>
      <c r="EV86" s="100"/>
      <c r="EW86" s="100"/>
      <c r="EX86" s="100"/>
      <c r="EY86" s="100"/>
      <c r="EZ86" s="100"/>
      <c r="FA86" s="100"/>
      <c r="FB86" s="100"/>
      <c r="FC86" s="100"/>
      <c r="FD86" s="100"/>
      <c r="FE86" s="100"/>
      <c r="FF86" s="100"/>
      <c r="FG86" s="100"/>
      <c r="FH86" s="100"/>
      <c r="FI86" s="100"/>
      <c r="FJ86" s="100"/>
      <c r="FK86" s="100"/>
      <c r="FL86" s="100"/>
      <c r="FM86" s="100"/>
      <c r="FN86" s="100"/>
      <c r="FO86" s="100"/>
      <c r="FP86" s="100"/>
      <c r="FQ86" s="100"/>
      <c r="FR86" s="100"/>
      <c r="FS86" s="100"/>
      <c r="FT86" s="100"/>
      <c r="FU86" s="100"/>
      <c r="FV86" s="100"/>
      <c r="FW86" s="100"/>
      <c r="FX86" s="100"/>
      <c r="FY86" s="100"/>
      <c r="FZ86" s="100"/>
      <c r="GA86" s="100"/>
      <c r="GB86" s="100"/>
      <c r="GC86" s="100"/>
      <c r="GD86" s="100"/>
      <c r="GE86" s="100"/>
      <c r="GF86" s="100"/>
      <c r="GG86" s="100"/>
      <c r="GH86" s="100"/>
      <c r="GI86" s="100"/>
      <c r="GJ86" s="100"/>
      <c r="GK86" s="100"/>
      <c r="GL86" s="100"/>
      <c r="GM86" s="100"/>
      <c r="GN86" s="100"/>
      <c r="GO86" s="100"/>
      <c r="GP86" s="100"/>
      <c r="GQ86" s="100"/>
      <c r="GR86" s="100"/>
      <c r="GS86" s="100"/>
      <c r="GT86" s="100"/>
      <c r="GU86" s="100"/>
      <c r="GV86" s="100"/>
      <c r="GW86" s="100"/>
      <c r="GX86" s="100"/>
      <c r="GY86" s="100"/>
      <c r="GZ86" s="100"/>
      <c r="HA86" s="100"/>
      <c r="HB86" s="100"/>
      <c r="HC86" s="100"/>
      <c r="HD86" s="100"/>
      <c r="HE86" s="100"/>
      <c r="HF86" s="100"/>
      <c r="HG86" s="100"/>
      <c r="HH86" s="100"/>
      <c r="HI86" s="100"/>
      <c r="HJ86" s="100"/>
      <c r="HK86" s="100"/>
      <c r="HL86" s="100"/>
      <c r="HM86" s="100"/>
      <c r="HN86" s="100"/>
      <c r="HO86" s="100"/>
      <c r="HP86" s="100"/>
      <c r="HQ86" s="100"/>
      <c r="HR86" s="100"/>
      <c r="HS86" s="100"/>
      <c r="HT86" s="100"/>
      <c r="HU86" s="100"/>
      <c r="HV86" s="100"/>
      <c r="HW86" s="100"/>
      <c r="HX86" s="100"/>
      <c r="HY86" s="100"/>
      <c r="HZ86" s="100"/>
      <c r="IA86" s="100"/>
      <c r="IB86" s="100"/>
      <c r="IC86" s="100"/>
      <c r="ID86" s="100"/>
      <c r="IE86" s="100"/>
      <c r="IF86" s="100"/>
      <c r="IG86" s="100"/>
      <c r="IH86" s="100"/>
      <c r="II86" s="100"/>
      <c r="IJ86" s="100"/>
      <c r="IK86" s="100"/>
      <c r="IL86" s="100"/>
      <c r="IM86" s="100"/>
      <c r="IN86" s="100"/>
      <c r="IO86" s="100"/>
      <c r="IP86" s="100"/>
      <c r="IQ86" s="100"/>
      <c r="IR86" s="100"/>
      <c r="IS86" s="100"/>
      <c r="IT86" s="100"/>
      <c r="IU86" s="100"/>
      <c r="IV86" s="100"/>
      <c r="IW86" s="100"/>
    </row>
    <row r="87" customFormat="false" ht="12" hidden="false" customHeight="true" outlineLevel="0" collapsed="false">
      <c r="A87" s="97" t="s">
        <v>85</v>
      </c>
      <c r="B87" s="47"/>
      <c r="C87" s="74" t="n">
        <v>0</v>
      </c>
      <c r="D87" s="95" t="n">
        <v>0</v>
      </c>
      <c r="E87" s="76" t="n">
        <f aca="false">-D87+C87</f>
        <v>0</v>
      </c>
      <c r="F87" s="81"/>
      <c r="G87" s="63" t="e">
        <f aca="false">#REF!+#REF!</f>
        <v>#REF!</v>
      </c>
      <c r="H87" s="63" t="e">
        <f aca="false">#REF!+#REF!</f>
        <v>#REF!</v>
      </c>
      <c r="I87" s="96" t="e">
        <f aca="false">G87-H87</f>
        <v>#REF!</v>
      </c>
      <c r="J87" s="77"/>
      <c r="K87" s="63" t="e">
        <f aca="false">#REF!</f>
        <v>#REF!</v>
      </c>
      <c r="L87" s="66" t="e">
        <f aca="false">#REF!</f>
        <v>#REF!</v>
      </c>
      <c r="M87" s="67" t="e">
        <f aca="false">K87-L87</f>
        <v>#REF!</v>
      </c>
      <c r="N87" s="77"/>
      <c r="O87" s="78" t="e">
        <f aca="false">C87-G87-K87</f>
        <v>#REF!</v>
      </c>
      <c r="P87" s="79" t="e">
        <f aca="false">D87-H87-L87</f>
        <v>#REF!</v>
      </c>
      <c r="Q87" s="67" t="e">
        <f aca="false">O87-P87</f>
        <v>#REF!</v>
      </c>
    </row>
    <row r="88" customFormat="false" ht="12" hidden="false" customHeight="true" outlineLevel="0" collapsed="false">
      <c r="A88" s="82" t="s">
        <v>86</v>
      </c>
      <c r="B88" s="83"/>
      <c r="C88" s="84" t="e">
        <f aca="false">C87+C84+C83+C67</f>
        <v>#REF!</v>
      </c>
      <c r="D88" s="85" t="e">
        <f aca="false">D87+D84+D83+D67</f>
        <v>#REF!</v>
      </c>
      <c r="E88" s="86" t="e">
        <f aca="false">E87+E84+E83+E67</f>
        <v>#REF!</v>
      </c>
      <c r="F88" s="87"/>
      <c r="G88" s="89" t="e">
        <f aca="false">SUM(G84:G87)+G83+G67</f>
        <v>#REF!</v>
      </c>
      <c r="H88" s="89" t="e">
        <f aca="false">SUM(H84:H87)+H83+H67</f>
        <v>#REF!</v>
      </c>
      <c r="I88" s="90" t="e">
        <f aca="false">SUM(I84:I87)+I83+I67</f>
        <v>#REF!</v>
      </c>
      <c r="J88" s="91"/>
      <c r="K88" s="89" t="e">
        <f aca="false">SUM(K84:K87)+K83+K67</f>
        <v>#REF!</v>
      </c>
      <c r="L88" s="89" t="e">
        <f aca="false">SUM(L84:L87)+L83+L67</f>
        <v>#REF!</v>
      </c>
      <c r="M88" s="92" t="e">
        <f aca="false">M87+M84+M83+M67</f>
        <v>#REF!</v>
      </c>
      <c r="N88" s="93"/>
      <c r="O88" s="89" t="e">
        <f aca="false">SUM(O84:O87)+O83+O67</f>
        <v>#REF!</v>
      </c>
      <c r="P88" s="89" t="e">
        <f aca="false">SUM(P84:P87)+P83+P67</f>
        <v>#REF!</v>
      </c>
      <c r="Q88" s="92" t="e">
        <f aca="false">Q87+Q84+Q83+Q67</f>
        <v>#REF!</v>
      </c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8"/>
      <c r="AD88" s="98"/>
      <c r="AE88" s="98"/>
      <c r="AF88" s="98"/>
      <c r="AG88" s="98"/>
      <c r="AH88" s="98"/>
      <c r="AI88" s="98"/>
      <c r="AJ88" s="98"/>
      <c r="AK88" s="98"/>
      <c r="AL88" s="98"/>
      <c r="AM88" s="98"/>
      <c r="AN88" s="98"/>
      <c r="AO88" s="98"/>
      <c r="AP88" s="98"/>
      <c r="AQ88" s="98"/>
      <c r="AR88" s="98"/>
      <c r="AS88" s="98"/>
      <c r="AT88" s="98"/>
      <c r="AU88" s="98"/>
      <c r="AV88" s="98"/>
      <c r="AW88" s="98"/>
      <c r="AX88" s="98"/>
      <c r="AY88" s="98"/>
      <c r="AZ88" s="98"/>
      <c r="BA88" s="98"/>
      <c r="BB88" s="98"/>
      <c r="BC88" s="98"/>
      <c r="BD88" s="98"/>
      <c r="BE88" s="98"/>
      <c r="BF88" s="98"/>
      <c r="BG88" s="98"/>
      <c r="BH88" s="98"/>
      <c r="BI88" s="98"/>
      <c r="BJ88" s="98"/>
      <c r="BK88" s="98"/>
      <c r="BL88" s="98"/>
      <c r="BM88" s="98"/>
      <c r="BN88" s="98"/>
      <c r="BO88" s="98"/>
      <c r="BP88" s="98"/>
      <c r="BQ88" s="98"/>
      <c r="BR88" s="98"/>
      <c r="BS88" s="98"/>
      <c r="BT88" s="98"/>
      <c r="BU88" s="98"/>
      <c r="BV88" s="98"/>
      <c r="BW88" s="98"/>
      <c r="BX88" s="98"/>
      <c r="BY88" s="98"/>
      <c r="BZ88" s="98"/>
      <c r="CA88" s="98"/>
      <c r="CB88" s="98"/>
      <c r="CC88" s="98"/>
      <c r="CD88" s="98"/>
      <c r="CE88" s="98"/>
      <c r="CF88" s="98"/>
      <c r="CG88" s="98"/>
      <c r="CH88" s="98"/>
      <c r="CI88" s="98"/>
      <c r="CJ88" s="98"/>
      <c r="CK88" s="98"/>
      <c r="CL88" s="98"/>
      <c r="CM88" s="98"/>
      <c r="CN88" s="98"/>
      <c r="CO88" s="98"/>
      <c r="CP88" s="98"/>
      <c r="CQ88" s="98"/>
      <c r="CR88" s="98"/>
      <c r="CS88" s="98"/>
      <c r="CT88" s="98"/>
      <c r="CU88" s="98"/>
      <c r="CV88" s="98"/>
      <c r="CW88" s="98"/>
      <c r="CX88" s="98"/>
      <c r="CY88" s="98"/>
      <c r="CZ88" s="98"/>
      <c r="DA88" s="98"/>
      <c r="DB88" s="98"/>
      <c r="DC88" s="98"/>
      <c r="DD88" s="98"/>
      <c r="DE88" s="98"/>
      <c r="DF88" s="98"/>
      <c r="DG88" s="98"/>
      <c r="DH88" s="98"/>
      <c r="DI88" s="98"/>
      <c r="DJ88" s="98"/>
      <c r="DK88" s="98"/>
      <c r="DL88" s="98"/>
      <c r="DM88" s="98"/>
      <c r="DN88" s="98"/>
      <c r="DO88" s="98"/>
      <c r="DP88" s="98"/>
      <c r="DQ88" s="98"/>
      <c r="DR88" s="98"/>
      <c r="DS88" s="98"/>
      <c r="DT88" s="98"/>
      <c r="DU88" s="98"/>
      <c r="DV88" s="98"/>
      <c r="DW88" s="98"/>
      <c r="DX88" s="98"/>
      <c r="DY88" s="98"/>
      <c r="DZ88" s="98"/>
      <c r="EA88" s="98"/>
      <c r="EB88" s="98"/>
      <c r="EC88" s="98"/>
      <c r="ED88" s="98"/>
      <c r="EE88" s="98"/>
      <c r="EF88" s="98"/>
      <c r="EG88" s="98"/>
      <c r="EH88" s="98"/>
      <c r="EI88" s="98"/>
      <c r="EJ88" s="98"/>
      <c r="EK88" s="98"/>
      <c r="EL88" s="98"/>
      <c r="EM88" s="98"/>
      <c r="EN88" s="98"/>
      <c r="EO88" s="98"/>
      <c r="EP88" s="98"/>
      <c r="EQ88" s="98"/>
      <c r="ER88" s="98"/>
      <c r="ES88" s="98"/>
      <c r="ET88" s="98"/>
      <c r="EU88" s="98"/>
      <c r="EV88" s="98"/>
      <c r="EW88" s="98"/>
      <c r="EX88" s="98"/>
      <c r="EY88" s="98"/>
      <c r="EZ88" s="98"/>
      <c r="FA88" s="98"/>
      <c r="FB88" s="98"/>
      <c r="FC88" s="98"/>
      <c r="FD88" s="98"/>
      <c r="FE88" s="98"/>
      <c r="FF88" s="98"/>
      <c r="FG88" s="98"/>
      <c r="FH88" s="98"/>
      <c r="FI88" s="98"/>
      <c r="FJ88" s="98"/>
      <c r="FK88" s="98"/>
      <c r="FL88" s="98"/>
      <c r="FM88" s="98"/>
      <c r="FN88" s="98"/>
      <c r="FO88" s="98"/>
      <c r="FP88" s="98"/>
      <c r="FQ88" s="98"/>
      <c r="FR88" s="98"/>
      <c r="FS88" s="98"/>
      <c r="FT88" s="98"/>
      <c r="FU88" s="98"/>
      <c r="FV88" s="98"/>
      <c r="FW88" s="98"/>
      <c r="FX88" s="98"/>
      <c r="FY88" s="98"/>
      <c r="FZ88" s="98"/>
      <c r="GA88" s="98"/>
      <c r="GB88" s="98"/>
      <c r="GC88" s="98"/>
      <c r="GD88" s="98"/>
      <c r="GE88" s="98"/>
      <c r="GF88" s="98"/>
      <c r="GG88" s="98"/>
      <c r="GH88" s="98"/>
      <c r="GI88" s="98"/>
      <c r="GJ88" s="98"/>
      <c r="GK88" s="98"/>
      <c r="GL88" s="98"/>
      <c r="GM88" s="98"/>
      <c r="GN88" s="98"/>
      <c r="GO88" s="98"/>
      <c r="GP88" s="98"/>
      <c r="GQ88" s="98"/>
      <c r="GR88" s="98"/>
      <c r="GS88" s="98"/>
      <c r="GT88" s="98"/>
      <c r="GU88" s="98"/>
      <c r="GV88" s="98"/>
      <c r="GW88" s="98"/>
      <c r="GX88" s="98"/>
      <c r="GY88" s="98"/>
      <c r="GZ88" s="98"/>
      <c r="HA88" s="98"/>
      <c r="HB88" s="98"/>
      <c r="HC88" s="98"/>
      <c r="HD88" s="98"/>
      <c r="HE88" s="98"/>
      <c r="HF88" s="98"/>
      <c r="HG88" s="98"/>
      <c r="HH88" s="98"/>
      <c r="HI88" s="98"/>
      <c r="HJ88" s="98"/>
      <c r="HK88" s="98"/>
      <c r="HL88" s="98"/>
      <c r="HM88" s="98"/>
      <c r="HN88" s="98"/>
      <c r="HO88" s="98"/>
      <c r="HP88" s="98"/>
      <c r="HQ88" s="98"/>
      <c r="HR88" s="98"/>
      <c r="HS88" s="98"/>
      <c r="HT88" s="98"/>
      <c r="HU88" s="98"/>
      <c r="HV88" s="98"/>
      <c r="HW88" s="98"/>
      <c r="HX88" s="98"/>
      <c r="HY88" s="98"/>
      <c r="HZ88" s="98"/>
      <c r="IA88" s="98"/>
      <c r="IB88" s="98"/>
      <c r="IC88" s="98"/>
      <c r="ID88" s="98"/>
      <c r="IE88" s="98"/>
      <c r="IF88" s="98"/>
      <c r="IG88" s="98"/>
      <c r="IH88" s="98"/>
      <c r="II88" s="98"/>
      <c r="IJ88" s="98"/>
      <c r="IK88" s="98"/>
      <c r="IL88" s="98"/>
      <c r="IM88" s="98"/>
      <c r="IN88" s="98"/>
      <c r="IO88" s="98"/>
      <c r="IP88" s="98"/>
      <c r="IQ88" s="98"/>
      <c r="IR88" s="98"/>
      <c r="IS88" s="98"/>
      <c r="IT88" s="98"/>
      <c r="IU88" s="98"/>
      <c r="IV88" s="98"/>
      <c r="IW88" s="98"/>
    </row>
    <row r="89" customFormat="false" ht="12.75" hidden="false" customHeight="true" outlineLevel="0" collapsed="false">
      <c r="A89" s="97" t="s">
        <v>87</v>
      </c>
      <c r="B89" s="47"/>
      <c r="C89" s="74" t="n">
        <v>0</v>
      </c>
      <c r="D89" s="95" t="n">
        <v>0</v>
      </c>
      <c r="E89" s="76" t="n">
        <f aca="false">D89-C89</f>
        <v>0</v>
      </c>
      <c r="F89" s="81"/>
      <c r="G89" s="78" t="n">
        <v>0</v>
      </c>
      <c r="H89" s="79" t="n">
        <v>0</v>
      </c>
      <c r="I89" s="96"/>
      <c r="J89" s="77"/>
      <c r="K89" s="79"/>
      <c r="L89" s="79" t="e">
        <f aca="false">#REF!</f>
        <v>#REF!</v>
      </c>
      <c r="M89" s="67" t="e">
        <f aca="false">-(H89-G89)-L89</f>
        <v>#REF!</v>
      </c>
      <c r="N89" s="77"/>
      <c r="O89" s="78" t="n">
        <f aca="false">C89-G89</f>
        <v>0</v>
      </c>
      <c r="P89" s="79" t="n">
        <f aca="false">D89-H89</f>
        <v>0</v>
      </c>
      <c r="Q89" s="67" t="n">
        <f aca="false">O89-P89</f>
        <v>0</v>
      </c>
    </row>
    <row r="90" customFormat="false" ht="12" hidden="false" customHeight="true" outlineLevel="0" collapsed="false">
      <c r="A90" s="101" t="s">
        <v>88</v>
      </c>
      <c r="B90" s="102"/>
      <c r="C90" s="103" t="e">
        <f aca="false">SUM(C88:C89)</f>
        <v>#REF!</v>
      </c>
      <c r="D90" s="104" t="e">
        <f aca="false">SUM(D88:D89)</f>
        <v>#REF!</v>
      </c>
      <c r="E90" s="105" t="e">
        <f aca="false">SUM(E88:E89)</f>
        <v>#REF!</v>
      </c>
      <c r="F90" s="106"/>
      <c r="G90" s="107" t="e">
        <f aca="false">SUM(G88:G89)</f>
        <v>#REF!</v>
      </c>
      <c r="H90" s="108" t="e">
        <f aca="false">SUM(H88:H89)</f>
        <v>#REF!</v>
      </c>
      <c r="I90" s="90" t="e">
        <f aca="false">SUM(I86:I89)+I85+I69</f>
        <v>#REF!</v>
      </c>
      <c r="J90" s="109"/>
      <c r="K90" s="107" t="e">
        <f aca="false">SUM(K88:K89)</f>
        <v>#REF!</v>
      </c>
      <c r="L90" s="108" t="e">
        <f aca="false">SUM(L88:L89)</f>
        <v>#REF!</v>
      </c>
      <c r="M90" s="110" t="e">
        <f aca="false">SUM(M88:M89)</f>
        <v>#REF!</v>
      </c>
      <c r="N90" s="111"/>
      <c r="O90" s="107" t="e">
        <f aca="false">SUM(O88:O89)</f>
        <v>#REF!</v>
      </c>
      <c r="P90" s="108" t="e">
        <f aca="false">SUM(P88:P89)</f>
        <v>#REF!</v>
      </c>
      <c r="Q90" s="110" t="e">
        <f aca="false">SUM(Q88:Q89)</f>
        <v>#REF!</v>
      </c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  <c r="AI90" s="98"/>
      <c r="AJ90" s="98"/>
      <c r="AK90" s="98"/>
      <c r="AL90" s="98"/>
      <c r="AM90" s="98"/>
      <c r="AN90" s="98"/>
      <c r="AO90" s="98"/>
      <c r="AP90" s="98"/>
      <c r="AQ90" s="98"/>
      <c r="AR90" s="98"/>
      <c r="AS90" s="98"/>
      <c r="AT90" s="98"/>
      <c r="AU90" s="98"/>
      <c r="AV90" s="98"/>
      <c r="AW90" s="98"/>
      <c r="AX90" s="98"/>
      <c r="AY90" s="98"/>
      <c r="AZ90" s="98"/>
      <c r="BA90" s="98"/>
      <c r="BB90" s="98"/>
      <c r="BC90" s="98"/>
      <c r="BD90" s="98"/>
      <c r="BE90" s="98"/>
      <c r="BF90" s="98"/>
      <c r="BG90" s="98"/>
      <c r="BH90" s="98"/>
      <c r="BI90" s="98"/>
      <c r="BJ90" s="98"/>
      <c r="BK90" s="98"/>
      <c r="BL90" s="98"/>
      <c r="BM90" s="98"/>
      <c r="BN90" s="98"/>
      <c r="BO90" s="98"/>
      <c r="BP90" s="98"/>
      <c r="BQ90" s="98"/>
      <c r="BR90" s="98"/>
      <c r="BS90" s="98"/>
      <c r="BT90" s="98"/>
      <c r="BU90" s="98"/>
      <c r="BV90" s="98"/>
      <c r="BW90" s="98"/>
      <c r="BX90" s="98"/>
      <c r="BY90" s="98"/>
      <c r="BZ90" s="98"/>
      <c r="CA90" s="98"/>
      <c r="CB90" s="98"/>
      <c r="CC90" s="98"/>
      <c r="CD90" s="98"/>
      <c r="CE90" s="98"/>
      <c r="CF90" s="98"/>
      <c r="CG90" s="98"/>
      <c r="CH90" s="98"/>
      <c r="CI90" s="98"/>
      <c r="CJ90" s="98"/>
      <c r="CK90" s="98"/>
      <c r="CL90" s="98"/>
      <c r="CM90" s="98"/>
      <c r="CN90" s="98"/>
      <c r="CO90" s="98"/>
      <c r="CP90" s="98"/>
      <c r="CQ90" s="98"/>
      <c r="CR90" s="98"/>
      <c r="CS90" s="98"/>
      <c r="CT90" s="98"/>
      <c r="CU90" s="98"/>
      <c r="CV90" s="98"/>
      <c r="CW90" s="98"/>
      <c r="CX90" s="98"/>
      <c r="CY90" s="98"/>
      <c r="CZ90" s="98"/>
      <c r="DA90" s="98"/>
      <c r="DB90" s="98"/>
      <c r="DC90" s="98"/>
      <c r="DD90" s="98"/>
      <c r="DE90" s="98"/>
      <c r="DF90" s="98"/>
      <c r="DG90" s="98"/>
      <c r="DH90" s="98"/>
      <c r="DI90" s="98"/>
      <c r="DJ90" s="98"/>
      <c r="DK90" s="98"/>
      <c r="DL90" s="98"/>
      <c r="DM90" s="98"/>
      <c r="DN90" s="98"/>
      <c r="DO90" s="98"/>
      <c r="DP90" s="98"/>
      <c r="DQ90" s="98"/>
      <c r="DR90" s="98"/>
      <c r="DS90" s="98"/>
      <c r="DT90" s="98"/>
      <c r="DU90" s="98"/>
      <c r="DV90" s="98"/>
      <c r="DW90" s="98"/>
      <c r="DX90" s="98"/>
      <c r="DY90" s="98"/>
      <c r="DZ90" s="98"/>
      <c r="EA90" s="98"/>
      <c r="EB90" s="98"/>
      <c r="EC90" s="98"/>
      <c r="ED90" s="98"/>
      <c r="EE90" s="98"/>
      <c r="EF90" s="98"/>
      <c r="EG90" s="98"/>
      <c r="EH90" s="98"/>
      <c r="EI90" s="98"/>
      <c r="EJ90" s="98"/>
      <c r="EK90" s="98"/>
      <c r="EL90" s="98"/>
      <c r="EM90" s="98"/>
      <c r="EN90" s="98"/>
      <c r="EO90" s="98"/>
      <c r="EP90" s="98"/>
      <c r="EQ90" s="98"/>
      <c r="ER90" s="98"/>
      <c r="ES90" s="98"/>
      <c r="ET90" s="98"/>
      <c r="EU90" s="98"/>
      <c r="EV90" s="98"/>
      <c r="EW90" s="98"/>
      <c r="EX90" s="98"/>
      <c r="EY90" s="98"/>
      <c r="EZ90" s="98"/>
      <c r="FA90" s="98"/>
      <c r="FB90" s="98"/>
      <c r="FC90" s="98"/>
      <c r="FD90" s="98"/>
      <c r="FE90" s="98"/>
      <c r="FF90" s="98"/>
      <c r="FG90" s="98"/>
      <c r="FH90" s="98"/>
      <c r="FI90" s="98"/>
      <c r="FJ90" s="98"/>
      <c r="FK90" s="98"/>
      <c r="FL90" s="98"/>
      <c r="FM90" s="98"/>
      <c r="FN90" s="98"/>
      <c r="FO90" s="98"/>
      <c r="FP90" s="98"/>
      <c r="FQ90" s="98"/>
      <c r="FR90" s="98"/>
      <c r="FS90" s="98"/>
      <c r="FT90" s="98"/>
      <c r="FU90" s="98"/>
      <c r="FV90" s="98"/>
      <c r="FW90" s="98"/>
      <c r="FX90" s="98"/>
      <c r="FY90" s="98"/>
      <c r="FZ90" s="98"/>
      <c r="GA90" s="98"/>
      <c r="GB90" s="98"/>
      <c r="GC90" s="98"/>
      <c r="GD90" s="98"/>
      <c r="GE90" s="98"/>
      <c r="GF90" s="98"/>
      <c r="GG90" s="98"/>
      <c r="GH90" s="98"/>
      <c r="GI90" s="98"/>
      <c r="GJ90" s="98"/>
      <c r="GK90" s="98"/>
      <c r="GL90" s="98"/>
      <c r="GM90" s="98"/>
      <c r="GN90" s="98"/>
      <c r="GO90" s="98"/>
      <c r="GP90" s="98"/>
      <c r="GQ90" s="98"/>
      <c r="GR90" s="98"/>
      <c r="GS90" s="98"/>
      <c r="GT90" s="98"/>
      <c r="GU90" s="98"/>
      <c r="GV90" s="98"/>
      <c r="GW90" s="98"/>
      <c r="GX90" s="98"/>
      <c r="GY90" s="98"/>
      <c r="GZ90" s="98"/>
      <c r="HA90" s="98"/>
      <c r="HB90" s="98"/>
      <c r="HC90" s="98"/>
      <c r="HD90" s="98"/>
      <c r="HE90" s="98"/>
      <c r="HF90" s="98"/>
      <c r="HG90" s="98"/>
      <c r="HH90" s="98"/>
      <c r="HI90" s="98"/>
      <c r="HJ90" s="98"/>
      <c r="HK90" s="98"/>
      <c r="HL90" s="98"/>
      <c r="HM90" s="98"/>
      <c r="HN90" s="98"/>
      <c r="HO90" s="98"/>
      <c r="HP90" s="98"/>
      <c r="HQ90" s="98"/>
      <c r="HR90" s="98"/>
      <c r="HS90" s="98"/>
      <c r="HT90" s="98"/>
      <c r="HU90" s="98"/>
      <c r="HV90" s="98"/>
      <c r="HW90" s="98"/>
      <c r="HX90" s="98"/>
      <c r="HY90" s="98"/>
      <c r="HZ90" s="98"/>
      <c r="IA90" s="98"/>
      <c r="IB90" s="98"/>
      <c r="IC90" s="98"/>
      <c r="ID90" s="98"/>
      <c r="IE90" s="98"/>
      <c r="IF90" s="98"/>
      <c r="IG90" s="98"/>
      <c r="IH90" s="98"/>
      <c r="II90" s="98"/>
      <c r="IJ90" s="98"/>
      <c r="IK90" s="98"/>
      <c r="IL90" s="98"/>
      <c r="IM90" s="98"/>
      <c r="IN90" s="98"/>
      <c r="IO90" s="98"/>
      <c r="IP90" s="98"/>
      <c r="IQ90" s="98"/>
      <c r="IR90" s="98"/>
      <c r="IS90" s="98"/>
      <c r="IT90" s="98"/>
      <c r="IU90" s="98"/>
      <c r="IV90" s="98"/>
      <c r="IW90" s="98"/>
    </row>
    <row r="91" customFormat="false" ht="3" hidden="false" customHeight="true" outlineLevel="0" collapsed="false">
      <c r="A91" s="112"/>
      <c r="C91" s="113"/>
      <c r="D91" s="114"/>
      <c r="E91" s="112"/>
      <c r="F91" s="114"/>
    </row>
    <row r="92" customFormat="false" ht="12.75" hidden="false" customHeight="false" outlineLevel="0" collapsed="false">
      <c r="A92" s="94"/>
      <c r="C92" s="114"/>
      <c r="D92" s="114"/>
      <c r="E92" s="114"/>
      <c r="F92" s="114"/>
    </row>
    <row r="93" customFormat="false" ht="13.5" hidden="false" customHeight="true" outlineLevel="0" collapsed="false">
      <c r="A93" s="94"/>
      <c r="D93" s="115"/>
      <c r="E93" s="115"/>
      <c r="F93" s="115"/>
      <c r="G93" s="116"/>
      <c r="H93" s="116"/>
      <c r="I93" s="116"/>
      <c r="J93" s="116"/>
      <c r="K93" s="116"/>
      <c r="L93" s="116"/>
      <c r="M93" s="116"/>
    </row>
    <row r="94" customFormat="false" ht="13.5" hidden="false" customHeight="true" outlineLevel="0" collapsed="false">
      <c r="A94" s="94"/>
      <c r="D94" s="115"/>
      <c r="E94" s="115"/>
      <c r="F94" s="115"/>
      <c r="G94" s="116"/>
      <c r="H94" s="116"/>
      <c r="I94" s="116"/>
      <c r="J94" s="116"/>
      <c r="K94" s="116"/>
      <c r="L94" s="116"/>
      <c r="M94" s="116"/>
    </row>
    <row r="95" customFormat="false" ht="13.5" hidden="false" customHeight="false" outlineLevel="0" collapsed="false">
      <c r="C95" s="117" t="s">
        <v>89</v>
      </c>
      <c r="D95" s="117"/>
      <c r="E95" s="117"/>
      <c r="G95" s="118" t="s">
        <v>90</v>
      </c>
      <c r="H95" s="119"/>
      <c r="I95" s="119"/>
      <c r="J95" s="119"/>
      <c r="K95" s="119"/>
      <c r="L95" s="119"/>
      <c r="M95" s="119"/>
    </row>
    <row r="96" customFormat="false" ht="12.75" hidden="false" customHeight="false" outlineLevel="0" collapsed="false">
      <c r="C96" s="120" t="s">
        <v>91</v>
      </c>
      <c r="D96" s="121"/>
      <c r="E96" s="122" t="n">
        <v>0</v>
      </c>
      <c r="G96" s="123" t="s">
        <v>92</v>
      </c>
      <c r="H96" s="124"/>
      <c r="I96" s="124"/>
      <c r="J96" s="124"/>
      <c r="K96" s="124"/>
      <c r="L96" s="124"/>
      <c r="M96" s="125" t="n">
        <v>0</v>
      </c>
    </row>
    <row r="97" customFormat="false" ht="12.75" hidden="false" customHeight="false" outlineLevel="0" collapsed="false">
      <c r="C97" s="120" t="s">
        <v>93</v>
      </c>
      <c r="D97" s="121"/>
      <c r="E97" s="122" t="n">
        <v>0</v>
      </c>
      <c r="G97" s="123" t="s">
        <v>94</v>
      </c>
      <c r="H97" s="124"/>
      <c r="I97" s="124"/>
      <c r="J97" s="124"/>
      <c r="K97" s="124"/>
      <c r="L97" s="124"/>
      <c r="M97" s="126" t="n">
        <v>0</v>
      </c>
    </row>
    <row r="98" customFormat="false" ht="12.75" hidden="false" customHeight="false" outlineLevel="0" collapsed="false">
      <c r="C98" s="120" t="s">
        <v>95</v>
      </c>
      <c r="D98" s="121"/>
      <c r="E98" s="122" t="n">
        <v>0</v>
      </c>
      <c r="G98" s="123" t="s">
        <v>96</v>
      </c>
      <c r="H98" s="124"/>
      <c r="I98" s="124"/>
      <c r="J98" s="124"/>
      <c r="K98" s="124"/>
      <c r="L98" s="124"/>
      <c r="M98" s="126"/>
    </row>
    <row r="99" customFormat="false" ht="12.75" hidden="false" customHeight="false" outlineLevel="0" collapsed="false">
      <c r="C99" s="127"/>
      <c r="D99" s="128"/>
      <c r="E99" s="129"/>
      <c r="G99" s="130"/>
      <c r="H99" s="131"/>
      <c r="I99" s="131"/>
      <c r="J99" s="131"/>
      <c r="K99" s="131"/>
      <c r="L99" s="131"/>
      <c r="M99" s="132"/>
    </row>
    <row r="100" customFormat="false" ht="13.5" hidden="false" customHeight="false" outlineLevel="0" collapsed="false">
      <c r="C100" s="133" t="s">
        <v>97</v>
      </c>
      <c r="D100" s="134"/>
      <c r="E100" s="135" t="n">
        <f aca="false">SUM(E96:E99)</f>
        <v>0</v>
      </c>
      <c r="G100" s="136" t="s">
        <v>97</v>
      </c>
      <c r="H100" s="137"/>
      <c r="I100" s="137"/>
      <c r="J100" s="137"/>
      <c r="K100" s="137"/>
      <c r="L100" s="137"/>
      <c r="M100" s="138" t="e">
        <f aca="false">+#REF!+M97+M96+#REF!</f>
        <v>#REF!</v>
      </c>
    </row>
    <row r="103" customFormat="false" ht="13.5" hidden="false" customHeight="false" outlineLevel="0" collapsed="false">
      <c r="C103" s="139" t="s">
        <v>98</v>
      </c>
      <c r="D103" s="140"/>
      <c r="E103" s="141" t="n">
        <v>0</v>
      </c>
      <c r="G103" s="142" t="s">
        <v>98</v>
      </c>
      <c r="H103" s="143"/>
      <c r="I103" s="143"/>
      <c r="J103" s="143"/>
      <c r="K103" s="143"/>
      <c r="L103" s="143"/>
      <c r="M103" s="144" t="n">
        <v>0</v>
      </c>
    </row>
    <row r="104" customFormat="false" ht="13.5" hidden="false" customHeight="false" outlineLevel="0" collapsed="false">
      <c r="C104" s="139" t="s">
        <v>99</v>
      </c>
      <c r="D104" s="139"/>
      <c r="E104" s="145" t="n">
        <v>0</v>
      </c>
      <c r="F104" s="146"/>
      <c r="G104" s="142" t="s">
        <v>99</v>
      </c>
      <c r="H104" s="142"/>
      <c r="I104" s="142"/>
      <c r="J104" s="142"/>
      <c r="K104" s="142"/>
      <c r="L104" s="142"/>
      <c r="M104" s="147" t="n">
        <v>0</v>
      </c>
    </row>
    <row r="105" customFormat="false" ht="13.5" hidden="false" customHeight="false" outlineLevel="0" collapsed="false">
      <c r="C105" s="139"/>
      <c r="D105" s="139"/>
      <c r="E105" s="148"/>
      <c r="F105" s="146"/>
      <c r="G105" s="142"/>
      <c r="H105" s="142"/>
      <c r="I105" s="142"/>
      <c r="J105" s="142"/>
      <c r="K105" s="142"/>
      <c r="L105" s="142"/>
      <c r="M105" s="149"/>
    </row>
    <row r="106" customFormat="false" ht="13.5" hidden="false" customHeight="false" outlineLevel="0" collapsed="false">
      <c r="C106" s="150" t="s">
        <v>100</v>
      </c>
      <c r="D106" s="151"/>
      <c r="E106" s="152" t="n">
        <f aca="false">+E104-E103</f>
        <v>0</v>
      </c>
      <c r="F106" s="146"/>
      <c r="G106" s="153" t="s">
        <v>100</v>
      </c>
      <c r="H106" s="154"/>
      <c r="I106" s="154"/>
      <c r="J106" s="154"/>
      <c r="K106" s="154"/>
      <c r="L106" s="154"/>
      <c r="M106" s="155" t="n">
        <f aca="false">+M104-M103</f>
        <v>0</v>
      </c>
    </row>
    <row r="107" customFormat="false" ht="13.5" hidden="false" customHeight="false" outlineLevel="0" collapsed="false"/>
  </sheetData>
  <mergeCells count="7">
    <mergeCell ref="C5:E5"/>
    <mergeCell ref="G5:I5"/>
    <mergeCell ref="C6:E6"/>
    <mergeCell ref="G6:I6"/>
    <mergeCell ref="K6:M6"/>
    <mergeCell ref="O6:Q6"/>
    <mergeCell ref="C95:E95"/>
  </mergeCells>
  <printOptions headings="false" gridLines="false" gridLinesSet="true" horizontalCentered="true" verticalCentered="false"/>
  <pageMargins left="0.25" right="0.25" top="0.2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8.99"/>
    <col collapsed="false" customWidth="true" hidden="false" outlineLevel="0" max="2" min="2" style="1" width="0.85"/>
    <col collapsed="false" customWidth="true" hidden="false" outlineLevel="0" max="4" min="3" style="1" width="8.7"/>
    <col collapsed="false" customWidth="true" hidden="false" outlineLevel="0" max="5" min="5" style="1" width="10.13"/>
    <col collapsed="false" customWidth="true" hidden="false" outlineLevel="0" max="6" min="6" style="1" width="0.85"/>
    <col collapsed="false" customWidth="true" hidden="false" outlineLevel="0" max="7" min="7" style="2" width="9.28"/>
    <col collapsed="false" customWidth="true" hidden="false" outlineLevel="0" max="8" min="8" style="2" width="8.99"/>
    <col collapsed="false" customWidth="true" hidden="false" outlineLevel="0" max="9" min="9" style="2" width="8.7"/>
    <col collapsed="false" customWidth="true" hidden="false" outlineLevel="0" max="10" min="10" style="2" width="0.99"/>
    <col collapsed="false" customWidth="true" hidden="false" outlineLevel="0" max="12" min="11" style="2" width="8.7"/>
    <col collapsed="false" customWidth="true" hidden="false" outlineLevel="0" max="13" min="13" style="2" width="8.85"/>
    <col collapsed="false" customWidth="true" hidden="false" outlineLevel="0" max="14" min="14" style="2" width="0.85"/>
    <col collapsed="false" customWidth="true" hidden="false" outlineLevel="0" max="17" min="15" style="2" width="8.7"/>
    <col collapsed="false" customWidth="true" hidden="false" outlineLevel="0" max="18" min="18" style="1" width="0.85"/>
    <col collapsed="false" customWidth="true" hidden="false" outlineLevel="0" max="19" min="19" style="1" width="8.7"/>
    <col collapsed="false" customWidth="true" hidden="false" outlineLevel="0" max="23" min="20" style="1" width="7.7"/>
    <col collapsed="false" customWidth="true" hidden="false" outlineLevel="0" max="25" min="24" style="1" width="8.7"/>
    <col collapsed="false" customWidth="true" hidden="false" outlineLevel="0" max="26" min="26" style="1" width="0.85"/>
    <col collapsed="false" customWidth="false" hidden="false" outlineLevel="0" max="257" min="27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0"/>
      <c r="S1" s="0"/>
      <c r="T1" s="0"/>
      <c r="U1" s="0"/>
      <c r="V1" s="0"/>
      <c r="W1" s="0"/>
      <c r="X1" s="0"/>
      <c r="Y1" s="0"/>
      <c r="Z1" s="4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29.25" hidden="false" customHeight="true" outlineLevel="0" collapsed="false">
      <c r="A2" s="6" t="s">
        <v>0</v>
      </c>
      <c r="B2" s="7"/>
      <c r="C2" s="7"/>
      <c r="D2" s="7"/>
      <c r="E2" s="7"/>
      <c r="F2" s="7"/>
      <c r="G2" s="3"/>
      <c r="H2" s="3"/>
      <c r="I2" s="3"/>
      <c r="J2" s="3"/>
      <c r="K2" s="3"/>
      <c r="L2" s="156" t="s">
        <v>101</v>
      </c>
      <c r="M2" s="156"/>
      <c r="N2" s="156"/>
      <c r="O2" s="156"/>
      <c r="P2" s="156"/>
      <c r="Q2" s="156"/>
      <c r="R2" s="7"/>
      <c r="S2" s="7"/>
      <c r="T2" s="7"/>
      <c r="U2" s="7"/>
      <c r="V2" s="7"/>
      <c r="W2" s="7"/>
      <c r="X2" s="7"/>
      <c r="Y2" s="9"/>
      <c r="Z2" s="10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15.75" hidden="false" customHeight="true" outlineLevel="0" collapsed="false">
      <c r="A3" s="0" t="s">
        <v>102</v>
      </c>
      <c r="B3" s="0"/>
      <c r="C3" s="0"/>
      <c r="D3" s="0"/>
      <c r="E3" s="0"/>
      <c r="F3" s="0"/>
      <c r="G3" s="3"/>
      <c r="H3" s="11"/>
      <c r="I3" s="11"/>
      <c r="J3" s="11"/>
      <c r="K3" s="11"/>
      <c r="L3" s="5"/>
      <c r="M3" s="11"/>
      <c r="N3" s="11"/>
      <c r="O3" s="11"/>
      <c r="P3" s="11"/>
      <c r="Q3" s="11" t="s">
        <v>103</v>
      </c>
      <c r="R3" s="0"/>
      <c r="S3" s="0"/>
      <c r="T3" s="0"/>
      <c r="U3" s="0"/>
      <c r="V3" s="0"/>
      <c r="W3" s="0"/>
      <c r="X3" s="0"/>
      <c r="Y3" s="5"/>
      <c r="Z3" s="10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5.75" hidden="false" customHeight="true" outlineLevel="0" collapsed="false">
      <c r="A4" s="0"/>
      <c r="B4" s="0"/>
      <c r="C4" s="0"/>
      <c r="D4" s="0"/>
      <c r="E4" s="0"/>
      <c r="F4" s="0"/>
      <c r="G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0"/>
      <c r="S4" s="0"/>
      <c r="T4" s="0"/>
      <c r="U4" s="0"/>
      <c r="V4" s="0"/>
      <c r="W4" s="0"/>
      <c r="X4" s="0"/>
      <c r="Y4" s="5"/>
      <c r="Z4" s="10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</row>
    <row r="5" customFormat="false" ht="15" hidden="false" customHeight="true" outlineLevel="0" collapsed="false">
      <c r="A5" s="0"/>
      <c r="B5" s="0"/>
      <c r="C5" s="0"/>
      <c r="D5" s="0"/>
      <c r="E5" s="0"/>
      <c r="F5" s="0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0"/>
      <c r="S5" s="0"/>
      <c r="T5" s="0"/>
      <c r="U5" s="0"/>
      <c r="V5" s="0"/>
      <c r="W5" s="0"/>
      <c r="X5" s="0"/>
      <c r="Y5" s="0"/>
      <c r="Z5" s="12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</row>
    <row r="6" customFormat="false" ht="15" hidden="false" customHeight="true" outlineLevel="0" collapsed="false">
      <c r="A6" s="13"/>
      <c r="B6" s="157"/>
      <c r="C6" s="158" t="s">
        <v>3</v>
      </c>
      <c r="D6" s="158"/>
      <c r="E6" s="158"/>
      <c r="F6" s="157"/>
      <c r="G6" s="17" t="s">
        <v>2</v>
      </c>
      <c r="H6" s="17"/>
      <c r="I6" s="17"/>
      <c r="J6" s="157"/>
      <c r="K6" s="17" t="s">
        <v>104</v>
      </c>
      <c r="L6" s="17"/>
      <c r="M6" s="17"/>
      <c r="N6" s="159"/>
      <c r="O6" s="17" t="s">
        <v>6</v>
      </c>
      <c r="P6" s="17"/>
      <c r="Q6" s="17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</row>
    <row r="7" customFormat="false" ht="14.25" hidden="false" customHeight="true" outlineLevel="0" collapsed="false">
      <c r="A7" s="160" t="s">
        <v>7</v>
      </c>
      <c r="B7" s="47"/>
      <c r="C7" s="158"/>
      <c r="D7" s="158"/>
      <c r="E7" s="158"/>
      <c r="F7" s="47"/>
      <c r="G7" s="161" t="s">
        <v>4</v>
      </c>
      <c r="H7" s="161"/>
      <c r="I7" s="161"/>
      <c r="J7" s="47"/>
      <c r="K7" s="161" t="s">
        <v>105</v>
      </c>
      <c r="L7" s="161"/>
      <c r="M7" s="161"/>
      <c r="N7" s="80"/>
      <c r="O7" s="17"/>
      <c r="P7" s="17"/>
      <c r="Q7" s="17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</row>
    <row r="8" customFormat="false" ht="18" hidden="false" customHeight="true" outlineLevel="0" collapsed="false">
      <c r="A8" s="32"/>
      <c r="B8" s="47"/>
      <c r="C8" s="162" t="s">
        <v>8</v>
      </c>
      <c r="D8" s="163" t="s">
        <v>9</v>
      </c>
      <c r="E8" s="164" t="s">
        <v>10</v>
      </c>
      <c r="F8" s="165"/>
      <c r="G8" s="166" t="s">
        <v>11</v>
      </c>
      <c r="H8" s="167" t="s">
        <v>9</v>
      </c>
      <c r="I8" s="168" t="s">
        <v>10</v>
      </c>
      <c r="J8" s="165"/>
      <c r="K8" s="169" t="s">
        <v>11</v>
      </c>
      <c r="L8" s="170" t="s">
        <v>9</v>
      </c>
      <c r="M8" s="171" t="s">
        <v>10</v>
      </c>
      <c r="N8" s="172"/>
      <c r="O8" s="166" t="s">
        <v>11</v>
      </c>
      <c r="P8" s="167" t="s">
        <v>9</v>
      </c>
      <c r="Q8" s="168" t="s">
        <v>10</v>
      </c>
    </row>
    <row r="9" customFormat="false" ht="12.75" hidden="false" customHeight="true" outlineLevel="0" collapsed="false">
      <c r="A9" s="46" t="s">
        <v>106</v>
      </c>
      <c r="B9" s="173"/>
      <c r="C9" s="174" t="n">
        <f aca="false">GrossMargin!I9</f>
        <v>15627</v>
      </c>
      <c r="D9" s="175" t="n">
        <f aca="false">GrossMargin!J9</f>
        <v>12500</v>
      </c>
      <c r="E9" s="176" t="n">
        <f aca="false">C9-D9</f>
        <v>3127</v>
      </c>
      <c r="F9" s="81"/>
      <c r="G9" s="175" t="n">
        <f aca="false">Expenses!C9+Expenses!F9</f>
        <v>815</v>
      </c>
      <c r="H9" s="175" t="n">
        <f aca="false">Expenses!D9+Expenses!G9</f>
        <v>815</v>
      </c>
      <c r="I9" s="176" t="n">
        <f aca="false">G9-H9</f>
        <v>0</v>
      </c>
      <c r="J9" s="33"/>
      <c r="K9" s="174" t="n">
        <f aca="false">'Cap Charge'!C9</f>
        <v>0</v>
      </c>
      <c r="L9" s="175" t="n">
        <f aca="false">'Cap Charge'!D9</f>
        <v>0</v>
      </c>
      <c r="M9" s="176" t="n">
        <f aca="false">'Cap Charge'!E9</f>
        <v>0</v>
      </c>
      <c r="N9" s="77"/>
      <c r="O9" s="69" t="n">
        <f aca="false">C9-G9-K9</f>
        <v>14812</v>
      </c>
      <c r="P9" s="177" t="n">
        <f aca="false">D9-H9-L9</f>
        <v>11685</v>
      </c>
      <c r="Q9" s="176" t="n">
        <f aca="false">O9-P9</f>
        <v>3127</v>
      </c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</row>
    <row r="10" customFormat="false" ht="12.75" hidden="false" customHeight="true" outlineLevel="0" collapsed="false">
      <c r="A10" s="46" t="s">
        <v>107</v>
      </c>
      <c r="B10" s="173"/>
      <c r="C10" s="178" t="n">
        <f aca="false">GrossMargin!I10</f>
        <v>175</v>
      </c>
      <c r="D10" s="179" t="n">
        <f aca="false">GrossMargin!J10</f>
        <v>7500</v>
      </c>
      <c r="E10" s="180" t="n">
        <f aca="false">C10-D10</f>
        <v>-7325</v>
      </c>
      <c r="F10" s="81"/>
      <c r="G10" s="179" t="n">
        <f aca="false">Expenses!C10+Expenses!F10</f>
        <v>990</v>
      </c>
      <c r="H10" s="179" t="n">
        <f aca="false">Expenses!D10+Expenses!G10</f>
        <v>990</v>
      </c>
      <c r="I10" s="180" t="n">
        <f aca="false">G10-H10</f>
        <v>0</v>
      </c>
      <c r="J10" s="33"/>
      <c r="K10" s="181" t="n">
        <f aca="false">'Cap Charge'!C10</f>
        <v>0</v>
      </c>
      <c r="L10" s="182" t="n">
        <f aca="false">'Cap Charge'!D10</f>
        <v>0</v>
      </c>
      <c r="M10" s="180" t="n">
        <f aca="false">'Cap Charge'!E10</f>
        <v>0</v>
      </c>
      <c r="N10" s="77"/>
      <c r="O10" s="78" t="n">
        <f aca="false">C10-G10-K10</f>
        <v>-815</v>
      </c>
      <c r="P10" s="182" t="n">
        <f aca="false">D10-H10-L10</f>
        <v>6510</v>
      </c>
      <c r="Q10" s="180" t="n">
        <f aca="false">O10-P10</f>
        <v>-7325</v>
      </c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  <c r="IU10" s="72"/>
      <c r="IV10" s="72"/>
      <c r="IW10" s="72"/>
    </row>
    <row r="11" customFormat="false" ht="12.75" hidden="false" customHeight="true" outlineLevel="0" collapsed="false">
      <c r="A11" s="46" t="s">
        <v>108</v>
      </c>
      <c r="B11" s="51"/>
      <c r="C11" s="178" t="n">
        <f aca="false">GrossMargin!I11</f>
        <v>-15094</v>
      </c>
      <c r="D11" s="179" t="n">
        <f aca="false">GrossMargin!J11</f>
        <v>12500</v>
      </c>
      <c r="E11" s="180" t="n">
        <f aca="false">C11-D11</f>
        <v>-27594</v>
      </c>
      <c r="F11" s="81"/>
      <c r="G11" s="179" t="n">
        <f aca="false">Expenses!C11+Expenses!F11</f>
        <v>529</v>
      </c>
      <c r="H11" s="179" t="n">
        <f aca="false">Expenses!D11+Expenses!G11</f>
        <v>529</v>
      </c>
      <c r="I11" s="180" t="n">
        <f aca="false">G11-H11</f>
        <v>0</v>
      </c>
      <c r="J11" s="33"/>
      <c r="K11" s="181" t="n">
        <f aca="false">'Cap Charge'!C11</f>
        <v>0</v>
      </c>
      <c r="L11" s="182" t="n">
        <f aca="false">'Cap Charge'!D11</f>
        <v>0</v>
      </c>
      <c r="M11" s="180" t="n">
        <f aca="false">'Cap Charge'!E11</f>
        <v>0</v>
      </c>
      <c r="N11" s="77"/>
      <c r="O11" s="78" t="n">
        <f aca="false">C11-G11-K11</f>
        <v>-15623</v>
      </c>
      <c r="P11" s="182" t="n">
        <f aca="false">D11-H11-L11</f>
        <v>11971</v>
      </c>
      <c r="Q11" s="180" t="n">
        <f aca="false">O11-P11</f>
        <v>-27594</v>
      </c>
    </row>
    <row r="12" customFormat="false" ht="12.75" hidden="false" customHeight="true" outlineLevel="0" collapsed="false">
      <c r="A12" s="46" t="s">
        <v>109</v>
      </c>
      <c r="B12" s="51"/>
      <c r="C12" s="178" t="n">
        <f aca="false">GrossMargin!I12</f>
        <v>265</v>
      </c>
      <c r="D12" s="179" t="n">
        <f aca="false">GrossMargin!J12</f>
        <v>7500</v>
      </c>
      <c r="E12" s="180" t="n">
        <f aca="false">C12-D12</f>
        <v>-7235</v>
      </c>
      <c r="F12" s="81"/>
      <c r="G12" s="179" t="n">
        <f aca="false">Expenses!C12+Expenses!F12</f>
        <v>1067</v>
      </c>
      <c r="H12" s="179" t="n">
        <f aca="false">Expenses!D12+Expenses!G12</f>
        <v>1067</v>
      </c>
      <c r="I12" s="180" t="n">
        <f aca="false">G12-H12</f>
        <v>0</v>
      </c>
      <c r="J12" s="33"/>
      <c r="K12" s="181" t="n">
        <f aca="false">'Cap Charge'!C12</f>
        <v>0</v>
      </c>
      <c r="L12" s="182" t="n">
        <f aca="false">'Cap Charge'!D12</f>
        <v>0</v>
      </c>
      <c r="M12" s="180" t="n">
        <f aca="false">'Cap Charge'!E12</f>
        <v>0</v>
      </c>
      <c r="N12" s="77"/>
      <c r="O12" s="78" t="n">
        <f aca="false">C12-G12-K12</f>
        <v>-802</v>
      </c>
      <c r="P12" s="182" t="n">
        <f aca="false">D12-H12-L12</f>
        <v>6433</v>
      </c>
      <c r="Q12" s="180" t="n">
        <f aca="false">O12-P12</f>
        <v>-7235</v>
      </c>
    </row>
    <row r="13" customFormat="false" ht="12.75" hidden="false" customHeight="true" outlineLevel="0" collapsed="false">
      <c r="A13" s="46" t="s">
        <v>110</v>
      </c>
      <c r="B13" s="51"/>
      <c r="C13" s="178" t="n">
        <f aca="false">GrossMargin!I13</f>
        <v>-1120</v>
      </c>
      <c r="D13" s="179" t="n">
        <f aca="false">GrossMargin!J13</f>
        <v>7500</v>
      </c>
      <c r="E13" s="180" t="n">
        <f aca="false">C13-D13</f>
        <v>-8620</v>
      </c>
      <c r="F13" s="183"/>
      <c r="G13" s="179" t="n">
        <f aca="false">Expenses!C13+Expenses!F13</f>
        <v>465</v>
      </c>
      <c r="H13" s="179" t="n">
        <f aca="false">Expenses!D13+Expenses!G13</f>
        <v>465</v>
      </c>
      <c r="I13" s="180" t="n">
        <f aca="false">G13-H13</f>
        <v>0</v>
      </c>
      <c r="J13" s="183"/>
      <c r="K13" s="181" t="n">
        <f aca="false">'Cap Charge'!C13</f>
        <v>75</v>
      </c>
      <c r="L13" s="182" t="n">
        <f aca="false">'Cap Charge'!D13</f>
        <v>0</v>
      </c>
      <c r="M13" s="184" t="n">
        <f aca="false">'Cap Charge'!E13</f>
        <v>-75</v>
      </c>
      <c r="N13" s="77"/>
      <c r="O13" s="78" t="n">
        <f aca="false">C13-G13-K13</f>
        <v>-1660</v>
      </c>
      <c r="P13" s="182" t="n">
        <f aca="false">D13-H13-L13</f>
        <v>7035</v>
      </c>
      <c r="Q13" s="180" t="n">
        <f aca="false">O13-P13</f>
        <v>-8695</v>
      </c>
    </row>
    <row r="14" customFormat="false" ht="12.75" hidden="false" customHeight="true" outlineLevel="0" collapsed="false">
      <c r="A14" s="46" t="s">
        <v>111</v>
      </c>
      <c r="B14" s="51"/>
      <c r="C14" s="178" t="n">
        <f aca="false">GrossMargin!I14</f>
        <v>1667</v>
      </c>
      <c r="D14" s="179" t="n">
        <f aca="false">GrossMargin!J14</f>
        <v>12500</v>
      </c>
      <c r="E14" s="180" t="n">
        <f aca="false">C14-D14</f>
        <v>-10833</v>
      </c>
      <c r="F14" s="81"/>
      <c r="G14" s="179" t="n">
        <f aca="false">Expenses!C14+Expenses!F14</f>
        <v>968</v>
      </c>
      <c r="H14" s="179" t="n">
        <f aca="false">Expenses!D14+Expenses!G14</f>
        <v>968</v>
      </c>
      <c r="I14" s="180" t="n">
        <f aca="false">G14-H14</f>
        <v>0</v>
      </c>
      <c r="J14" s="33"/>
      <c r="K14" s="181" t="n">
        <f aca="false">'Cap Charge'!C14</f>
        <v>0</v>
      </c>
      <c r="L14" s="182" t="n">
        <f aca="false">'Cap Charge'!D14</f>
        <v>0</v>
      </c>
      <c r="M14" s="180" t="n">
        <f aca="false">'Cap Charge'!E14</f>
        <v>0</v>
      </c>
      <c r="N14" s="77"/>
      <c r="O14" s="78" t="n">
        <f aca="false">C14-G14-K14</f>
        <v>699</v>
      </c>
      <c r="P14" s="182" t="n">
        <f aca="false">D14-H14-L14</f>
        <v>11532</v>
      </c>
      <c r="Q14" s="180" t="n">
        <f aca="false">O14-P14</f>
        <v>-10833</v>
      </c>
    </row>
    <row r="15" customFormat="false" ht="12.75" hidden="false" customHeight="true" outlineLevel="0" collapsed="false">
      <c r="A15" s="46" t="s">
        <v>112</v>
      </c>
      <c r="B15" s="51"/>
      <c r="C15" s="178" t="n">
        <f aca="false">GrossMargin!I15</f>
        <v>-2325</v>
      </c>
      <c r="D15" s="179" t="n">
        <f aca="false">GrossMargin!J15</f>
        <v>4375</v>
      </c>
      <c r="E15" s="180" t="n">
        <f aca="false">C15-D15</f>
        <v>-6700</v>
      </c>
      <c r="F15" s="81"/>
      <c r="G15" s="179" t="n">
        <f aca="false">Expenses!C15+Expenses!F15</f>
        <v>200</v>
      </c>
      <c r="H15" s="179" t="n">
        <f aca="false">Expenses!D15+Expenses!G15</f>
        <v>200</v>
      </c>
      <c r="I15" s="180" t="n">
        <f aca="false">G15-H15</f>
        <v>0</v>
      </c>
      <c r="J15" s="33"/>
      <c r="K15" s="181" t="n">
        <f aca="false">'Cap Charge'!C15</f>
        <v>0</v>
      </c>
      <c r="L15" s="182" t="n">
        <f aca="false">'Cap Charge'!D15</f>
        <v>0</v>
      </c>
      <c r="M15" s="180" t="n">
        <f aca="false">'Cap Charge'!E15</f>
        <v>0</v>
      </c>
      <c r="N15" s="77"/>
      <c r="O15" s="78" t="n">
        <f aca="false">C15-G15-K15</f>
        <v>-2525</v>
      </c>
      <c r="P15" s="182" t="n">
        <f aca="false">D15-H15-L15</f>
        <v>4175</v>
      </c>
      <c r="Q15" s="180" t="n">
        <f aca="false">O15-P15</f>
        <v>-6700</v>
      </c>
    </row>
    <row r="16" customFormat="false" ht="12.75" hidden="false" customHeight="true" outlineLevel="0" collapsed="false">
      <c r="A16" s="46" t="s">
        <v>113</v>
      </c>
      <c r="B16" s="51"/>
      <c r="C16" s="178" t="n">
        <f aca="false">GrossMargin!I16</f>
        <v>70</v>
      </c>
      <c r="D16" s="179" t="n">
        <f aca="false">GrossMargin!J16</f>
        <v>4375</v>
      </c>
      <c r="E16" s="180" t="n">
        <f aca="false">C16-D16</f>
        <v>-4305</v>
      </c>
      <c r="F16" s="81"/>
      <c r="G16" s="179" t="n">
        <f aca="false">Expenses!C16+Expenses!F16</f>
        <v>727</v>
      </c>
      <c r="H16" s="179" t="n">
        <f aca="false">Expenses!D16+Expenses!G16</f>
        <v>727</v>
      </c>
      <c r="I16" s="180" t="n">
        <f aca="false">G16-H16</f>
        <v>0</v>
      </c>
      <c r="J16" s="33"/>
      <c r="K16" s="181" t="n">
        <f aca="false">'Cap Charge'!C16</f>
        <v>0</v>
      </c>
      <c r="L16" s="182" t="n">
        <f aca="false">'Cap Charge'!D16</f>
        <v>0</v>
      </c>
      <c r="M16" s="180" t="n">
        <f aca="false">'Cap Charge'!E16</f>
        <v>0</v>
      </c>
      <c r="N16" s="77"/>
      <c r="O16" s="78" t="n">
        <f aca="false">C16-G16-K16</f>
        <v>-657</v>
      </c>
      <c r="P16" s="182" t="n">
        <f aca="false">D16-H16-L16</f>
        <v>3648</v>
      </c>
      <c r="Q16" s="180" t="n">
        <f aca="false">O16-P16</f>
        <v>-4305</v>
      </c>
    </row>
    <row r="17" customFormat="false" ht="12.75" hidden="false" customHeight="true" outlineLevel="0" collapsed="false">
      <c r="A17" s="46" t="s">
        <v>114</v>
      </c>
      <c r="B17" s="51"/>
      <c r="C17" s="178" t="n">
        <f aca="false">GrossMargin!I17</f>
        <v>3846</v>
      </c>
      <c r="D17" s="179" t="n">
        <f aca="false">GrossMargin!J17</f>
        <v>0</v>
      </c>
      <c r="E17" s="180" t="n">
        <f aca="false">C17-D17</f>
        <v>3846</v>
      </c>
      <c r="F17" s="81"/>
      <c r="G17" s="179" t="n">
        <f aca="false">Expenses!C17+Expenses!F17</f>
        <v>254</v>
      </c>
      <c r="H17" s="179" t="n">
        <f aca="false">Expenses!D17+Expenses!G17</f>
        <v>0</v>
      </c>
      <c r="I17" s="180" t="n">
        <f aca="false">G17-H17</f>
        <v>254</v>
      </c>
      <c r="J17" s="33"/>
      <c r="K17" s="181" t="n">
        <f aca="false">'Cap Charge'!C17</f>
        <v>0</v>
      </c>
      <c r="L17" s="182" t="n">
        <f aca="false">'Cap Charge'!D17</f>
        <v>0</v>
      </c>
      <c r="M17" s="180" t="n">
        <f aca="false">'Cap Charge'!E17</f>
        <v>0</v>
      </c>
      <c r="N17" s="77"/>
      <c r="O17" s="78" t="n">
        <f aca="false">C17-G17-K17</f>
        <v>3592</v>
      </c>
      <c r="P17" s="182" t="n">
        <f aca="false">D17-H17-L17</f>
        <v>0</v>
      </c>
      <c r="Q17" s="180" t="n">
        <f aca="false">O17-P17</f>
        <v>3592</v>
      </c>
    </row>
    <row r="18" customFormat="false" ht="12.75" hidden="false" customHeight="true" outlineLevel="0" collapsed="false">
      <c r="A18" s="46" t="s">
        <v>115</v>
      </c>
      <c r="B18" s="51"/>
      <c r="C18" s="178" t="n">
        <f aca="false">GrossMargin!I18</f>
        <v>-25456</v>
      </c>
      <c r="D18" s="179" t="n">
        <f aca="false">GrossMargin!J18</f>
        <v>4200</v>
      </c>
      <c r="E18" s="180" t="n">
        <f aca="false">C18-D18</f>
        <v>-29656</v>
      </c>
      <c r="F18" s="81"/>
      <c r="G18" s="179" t="n">
        <f aca="false">Expenses!C18+Expenses!F18</f>
        <v>2628</v>
      </c>
      <c r="H18" s="179" t="n">
        <f aca="false">Expenses!D18+Expenses!G18</f>
        <v>2628</v>
      </c>
      <c r="I18" s="180" t="n">
        <f aca="false">G18-H18</f>
        <v>0</v>
      </c>
      <c r="J18" s="33"/>
      <c r="K18" s="181" t="n">
        <f aca="false">'Cap Charge'!C18</f>
        <v>0</v>
      </c>
      <c r="L18" s="182" t="n">
        <f aca="false">'Cap Charge'!D18</f>
        <v>0</v>
      </c>
      <c r="M18" s="180" t="n">
        <f aca="false">'Cap Charge'!E18</f>
        <v>0</v>
      </c>
      <c r="N18" s="77"/>
      <c r="O18" s="78" t="n">
        <f aca="false">C18-G18-K18</f>
        <v>-28084</v>
      </c>
      <c r="P18" s="182" t="n">
        <f aca="false">D18-H18-L18</f>
        <v>1572</v>
      </c>
      <c r="Q18" s="180" t="n">
        <f aca="false">O18-P18</f>
        <v>-29656</v>
      </c>
    </row>
    <row r="19" customFormat="false" ht="12.75" hidden="false" customHeight="true" outlineLevel="0" collapsed="false">
      <c r="A19" s="46" t="s">
        <v>116</v>
      </c>
      <c r="B19" s="51"/>
      <c r="C19" s="178" t="n">
        <f aca="false">GrossMargin!I19</f>
        <v>82</v>
      </c>
      <c r="D19" s="179" t="n">
        <f aca="false">GrossMargin!J19</f>
        <v>0</v>
      </c>
      <c r="E19" s="180" t="n">
        <f aca="false">C19-D19</f>
        <v>82</v>
      </c>
      <c r="F19" s="81"/>
      <c r="G19" s="179" t="n">
        <f aca="false">Expenses!C19+Expenses!F19</f>
        <v>112</v>
      </c>
      <c r="H19" s="179" t="n">
        <f aca="false">Expenses!D19+Expenses!G19</f>
        <v>0</v>
      </c>
      <c r="I19" s="180" t="n">
        <f aca="false">G19-H19</f>
        <v>112</v>
      </c>
      <c r="J19" s="33"/>
      <c r="K19" s="181" t="n">
        <f aca="false">'Cap Charge'!C19</f>
        <v>0</v>
      </c>
      <c r="L19" s="182" t="n">
        <f aca="false">'Cap Charge'!D19</f>
        <v>0</v>
      </c>
      <c r="M19" s="180" t="n">
        <f aca="false">'Cap Charge'!E19</f>
        <v>0</v>
      </c>
      <c r="N19" s="77"/>
      <c r="O19" s="78" t="n">
        <f aca="false">C19-G19-K19</f>
        <v>-30</v>
      </c>
      <c r="P19" s="182" t="n">
        <f aca="false">D19-H19-L19</f>
        <v>0</v>
      </c>
      <c r="Q19" s="180" t="n">
        <f aca="false">O19-P19</f>
        <v>-30</v>
      </c>
    </row>
    <row r="20" customFormat="false" ht="12.75" hidden="false" customHeight="true" outlineLevel="0" collapsed="false">
      <c r="A20" s="46" t="s">
        <v>117</v>
      </c>
      <c r="B20" s="51"/>
      <c r="C20" s="178" t="n">
        <f aca="false">GrossMargin!I20</f>
        <v>2438</v>
      </c>
      <c r="D20" s="179" t="n">
        <f aca="false">GrossMargin!J20</f>
        <v>6000</v>
      </c>
      <c r="E20" s="180" t="n">
        <f aca="false">C20-D20</f>
        <v>-3562</v>
      </c>
      <c r="F20" s="81"/>
      <c r="G20" s="179" t="n">
        <f aca="false">Expenses!C20+Expenses!F20</f>
        <v>2096</v>
      </c>
      <c r="H20" s="179" t="n">
        <f aca="false">Expenses!D20+Expenses!G20</f>
        <v>2096</v>
      </c>
      <c r="I20" s="180" t="n">
        <f aca="false">G20-H20</f>
        <v>0</v>
      </c>
      <c r="J20" s="33"/>
      <c r="K20" s="181" t="n">
        <f aca="false">'Cap Charge'!C20</f>
        <v>324</v>
      </c>
      <c r="L20" s="182" t="n">
        <f aca="false">'Cap Charge'!D20</f>
        <v>348</v>
      </c>
      <c r="M20" s="180" t="n">
        <f aca="false">'Cap Charge'!E20</f>
        <v>24</v>
      </c>
      <c r="N20" s="77"/>
      <c r="O20" s="78" t="n">
        <f aca="false">C20-G20-K20</f>
        <v>18</v>
      </c>
      <c r="P20" s="182" t="n">
        <f aca="false">D20-H20-L20</f>
        <v>3556</v>
      </c>
      <c r="Q20" s="180" t="n">
        <f aca="false">O20-P20</f>
        <v>-3538</v>
      </c>
    </row>
    <row r="21" customFormat="false" ht="12.75" hidden="false" customHeight="true" outlineLevel="0" collapsed="false">
      <c r="A21" s="46" t="s">
        <v>118</v>
      </c>
      <c r="B21" s="51"/>
      <c r="C21" s="178" t="n">
        <f aca="false">GrossMargin!I21</f>
        <v>-1516</v>
      </c>
      <c r="D21" s="179" t="n">
        <f aca="false">GrossMargin!J21</f>
        <v>20000</v>
      </c>
      <c r="E21" s="180" t="n">
        <f aca="false">C21-D21</f>
        <v>-21516</v>
      </c>
      <c r="F21" s="81"/>
      <c r="G21" s="179" t="n">
        <f aca="false">Expenses!C21+Expenses!F21</f>
        <v>1770</v>
      </c>
      <c r="H21" s="179" t="n">
        <f aca="false">Expenses!D21+Expenses!G21</f>
        <v>1770</v>
      </c>
      <c r="I21" s="180" t="n">
        <f aca="false">G21-H21</f>
        <v>0</v>
      </c>
      <c r="J21" s="33"/>
      <c r="K21" s="181" t="n">
        <f aca="false">'Cap Charge'!C21</f>
        <v>16892</v>
      </c>
      <c r="L21" s="182" t="n">
        <f aca="false">'Cap Charge'!D21</f>
        <v>16314</v>
      </c>
      <c r="M21" s="180" t="n">
        <f aca="false">'Cap Charge'!E21</f>
        <v>-578</v>
      </c>
      <c r="N21" s="77"/>
      <c r="O21" s="78" t="n">
        <f aca="false">C21-G21-K21</f>
        <v>-20178</v>
      </c>
      <c r="P21" s="182" t="n">
        <f aca="false">D21-H21-L21</f>
        <v>1916</v>
      </c>
      <c r="Q21" s="180" t="n">
        <f aca="false">O21-P21</f>
        <v>-22094</v>
      </c>
    </row>
    <row r="22" customFormat="false" ht="12.75" hidden="false" customHeight="true" outlineLevel="0" collapsed="false">
      <c r="A22" s="46" t="s">
        <v>119</v>
      </c>
      <c r="B22" s="51"/>
      <c r="C22" s="185" t="n">
        <f aca="false">GrossMargin!I22</f>
        <v>0</v>
      </c>
      <c r="D22" s="186" t="n">
        <f aca="false">GrossMargin!J22</f>
        <v>0</v>
      </c>
      <c r="E22" s="187" t="n">
        <f aca="false">C22-D22</f>
        <v>0</v>
      </c>
      <c r="F22" s="81"/>
      <c r="G22" s="179" t="n">
        <f aca="false">Expenses!C22+Expenses!F22</f>
        <v>1404</v>
      </c>
      <c r="H22" s="179" t="n">
        <f aca="false">Expenses!D22+Expenses!G22</f>
        <v>1404</v>
      </c>
      <c r="I22" s="180" t="n">
        <f aca="false">G22-H22</f>
        <v>0</v>
      </c>
      <c r="J22" s="33"/>
      <c r="K22" s="188" t="n">
        <f aca="false">'Cap Charge'!C22</f>
        <v>0</v>
      </c>
      <c r="L22" s="189" t="n">
        <f aca="false">'Cap Charge'!D22</f>
        <v>0</v>
      </c>
      <c r="M22" s="187" t="n">
        <f aca="false">'Cap Charge'!E22</f>
        <v>0</v>
      </c>
      <c r="N22" s="77"/>
      <c r="O22" s="190" t="n">
        <f aca="false">C22-G22-K22</f>
        <v>-1404</v>
      </c>
      <c r="P22" s="189" t="n">
        <f aca="false">D22-H22-L22</f>
        <v>-1404</v>
      </c>
      <c r="Q22" s="187" t="n">
        <f aca="false">O22-P22</f>
        <v>0</v>
      </c>
    </row>
    <row r="23" customFormat="false" ht="12.75" hidden="false" customHeight="true" outlineLevel="0" collapsed="false">
      <c r="A23" s="101" t="s">
        <v>21</v>
      </c>
      <c r="B23" s="191"/>
      <c r="C23" s="192" t="n">
        <f aca="false">SUM(C9:C22)</f>
        <v>-21341</v>
      </c>
      <c r="D23" s="193" t="n">
        <f aca="false">SUM(D9:D22)</f>
        <v>98950</v>
      </c>
      <c r="E23" s="194" t="n">
        <f aca="false">SUM(E9:E22)</f>
        <v>-120291</v>
      </c>
      <c r="F23" s="106"/>
      <c r="G23" s="195" t="n">
        <f aca="false">SUM(G9:G22)</f>
        <v>14025</v>
      </c>
      <c r="H23" s="196" t="n">
        <f aca="false">SUM(H9:H22)</f>
        <v>13659</v>
      </c>
      <c r="I23" s="197" t="n">
        <f aca="false">SUM(I9:I22)</f>
        <v>366</v>
      </c>
      <c r="J23" s="165"/>
      <c r="K23" s="198" t="n">
        <f aca="false">SUM(K9:K22)</f>
        <v>17291</v>
      </c>
      <c r="L23" s="198" t="n">
        <f aca="false">SUM(L9:L22)</f>
        <v>16662</v>
      </c>
      <c r="M23" s="199" t="n">
        <f aca="false">SUM(M9:M22)</f>
        <v>-629</v>
      </c>
      <c r="N23" s="111"/>
      <c r="O23" s="195" t="n">
        <f aca="false">SUM(O9:O22)</f>
        <v>-52657</v>
      </c>
      <c r="P23" s="196" t="n">
        <f aca="false">SUM(P9:P22)</f>
        <v>68629</v>
      </c>
      <c r="Q23" s="197" t="n">
        <f aca="false">SUM(Q9:Q22)</f>
        <v>-121286</v>
      </c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  <c r="IQ23" s="94"/>
      <c r="IR23" s="94"/>
      <c r="IS23" s="94"/>
      <c r="IT23" s="94"/>
      <c r="IU23" s="94"/>
      <c r="IV23" s="94"/>
      <c r="IW23" s="94"/>
    </row>
    <row r="24" customFormat="false" ht="12.75" hidden="false" customHeight="true" outlineLevel="0" collapsed="false">
      <c r="A24" s="46" t="s">
        <v>120</v>
      </c>
      <c r="B24" s="47"/>
      <c r="C24" s="74" t="n">
        <f aca="false">GrossMargin!I24</f>
        <v>54403</v>
      </c>
      <c r="D24" s="179" t="n">
        <f aca="false">GrossMargin!J24</f>
        <v>62499</v>
      </c>
      <c r="E24" s="114" t="n">
        <f aca="false">C24-D24</f>
        <v>-8096</v>
      </c>
      <c r="F24" s="81"/>
      <c r="G24" s="200" t="n">
        <f aca="false">Expenses!C25+Expenses!F25</f>
        <v>2627</v>
      </c>
      <c r="H24" s="201" t="n">
        <f aca="false">Expenses!D25+Expenses!G25</f>
        <v>2627</v>
      </c>
      <c r="I24" s="202" t="n">
        <f aca="false">G24-H24</f>
        <v>0</v>
      </c>
      <c r="J24" s="80"/>
      <c r="K24" s="63" t="n">
        <f aca="false">'Cap Charge'!C24</f>
        <v>0</v>
      </c>
      <c r="L24" s="79" t="n">
        <f aca="false">'Cap Charge'!D24</f>
        <v>0</v>
      </c>
      <c r="M24" s="203" t="n">
        <f aca="false">'Cap Charge'!E24</f>
        <v>0</v>
      </c>
      <c r="N24" s="77"/>
      <c r="O24" s="78" t="n">
        <f aca="false">C24-G24-K24</f>
        <v>51776</v>
      </c>
      <c r="P24" s="182" t="n">
        <f aca="false">D24-H24-L24</f>
        <v>59872</v>
      </c>
      <c r="Q24" s="180" t="n">
        <f aca="false">O24-P24</f>
        <v>-8096</v>
      </c>
    </row>
    <row r="25" customFormat="false" ht="12.75" hidden="false" customHeight="true" outlineLevel="0" collapsed="false">
      <c r="A25" s="46" t="s">
        <v>121</v>
      </c>
      <c r="B25" s="47"/>
      <c r="C25" s="74" t="n">
        <f aca="false">GrossMargin!I25</f>
        <v>0</v>
      </c>
      <c r="D25" s="179" t="n">
        <f aca="false">GrossMargin!J25</f>
        <v>0</v>
      </c>
      <c r="E25" s="114" t="n">
        <f aca="false">C25-D25</f>
        <v>0</v>
      </c>
      <c r="F25" s="81"/>
      <c r="G25" s="204" t="n">
        <f aca="false">Expenses!C24+Expenses!F24</f>
        <v>134</v>
      </c>
      <c r="H25" s="63" t="n">
        <f aca="false">Expenses!D24+Expenses!G24</f>
        <v>134</v>
      </c>
      <c r="I25" s="205" t="n">
        <f aca="false">G25-H25</f>
        <v>0</v>
      </c>
      <c r="J25" s="80"/>
      <c r="K25" s="63" t="n">
        <f aca="false">'Cap Charge'!C25</f>
        <v>0</v>
      </c>
      <c r="L25" s="79" t="n">
        <f aca="false">'Cap Charge'!D25</f>
        <v>0</v>
      </c>
      <c r="M25" s="203" t="n">
        <f aca="false">'Cap Charge'!E25</f>
        <v>0</v>
      </c>
      <c r="N25" s="77"/>
      <c r="O25" s="78" t="n">
        <f aca="false">C25-G25-K25</f>
        <v>-134</v>
      </c>
      <c r="P25" s="182" t="n">
        <f aca="false">D25-H25-L25</f>
        <v>-134</v>
      </c>
      <c r="Q25" s="180" t="n">
        <f aca="false">O25-P25</f>
        <v>0</v>
      </c>
    </row>
    <row r="26" customFormat="false" ht="12.75" hidden="false" customHeight="true" outlineLevel="0" collapsed="false">
      <c r="A26" s="46" t="s">
        <v>122</v>
      </c>
      <c r="B26" s="47"/>
      <c r="C26" s="74" t="n">
        <f aca="false">GrossMargin!I26</f>
        <v>6407</v>
      </c>
      <c r="D26" s="179" t="n">
        <f aca="false">GrossMargin!J26</f>
        <v>12499</v>
      </c>
      <c r="E26" s="114" t="n">
        <f aca="false">C26-D26</f>
        <v>-6092</v>
      </c>
      <c r="F26" s="81"/>
      <c r="G26" s="204" t="n">
        <f aca="false">Expenses!C26+Expenses!F26</f>
        <v>293</v>
      </c>
      <c r="H26" s="63" t="n">
        <f aca="false">Expenses!D26+Expenses!G26</f>
        <v>293</v>
      </c>
      <c r="I26" s="205" t="n">
        <f aca="false">G26-H26</f>
        <v>0</v>
      </c>
      <c r="J26" s="80"/>
      <c r="K26" s="63" t="n">
        <f aca="false">'Cap Charge'!C26</f>
        <v>0</v>
      </c>
      <c r="L26" s="79" t="n">
        <f aca="false">'Cap Charge'!D26</f>
        <v>0</v>
      </c>
      <c r="M26" s="203" t="n">
        <f aca="false">'Cap Charge'!E26</f>
        <v>0</v>
      </c>
      <c r="N26" s="77"/>
      <c r="O26" s="78" t="n">
        <f aca="false">C26-G26-K26</f>
        <v>6114</v>
      </c>
      <c r="P26" s="182" t="n">
        <f aca="false">D26-H26-L26</f>
        <v>12206</v>
      </c>
      <c r="Q26" s="180" t="n">
        <f aca="false">O26-P26</f>
        <v>-6092</v>
      </c>
    </row>
    <row r="27" customFormat="false" ht="12.75" hidden="false" customHeight="true" outlineLevel="0" collapsed="false">
      <c r="A27" s="46" t="s">
        <v>123</v>
      </c>
      <c r="B27" s="47"/>
      <c r="C27" s="74" t="n">
        <f aca="false">GrossMargin!I27</f>
        <v>3</v>
      </c>
      <c r="D27" s="179" t="n">
        <f aca="false">GrossMargin!J27</f>
        <v>20958</v>
      </c>
      <c r="E27" s="114" t="n">
        <f aca="false">C27-D27</f>
        <v>-20955</v>
      </c>
      <c r="F27" s="206" t="s">
        <v>124</v>
      </c>
      <c r="G27" s="204" t="n">
        <f aca="false">Expenses!C27+Expenses!F27</f>
        <v>1458</v>
      </c>
      <c r="H27" s="63" t="n">
        <f aca="false">Expenses!D27+Expenses!G27</f>
        <v>1458</v>
      </c>
      <c r="I27" s="205" t="n">
        <f aca="false">G27-H27</f>
        <v>0</v>
      </c>
      <c r="J27" s="183"/>
      <c r="K27" s="63" t="n">
        <f aca="false">'Cap Charge'!C27</f>
        <v>1084</v>
      </c>
      <c r="L27" s="79" t="n">
        <f aca="false">'Cap Charge'!D27</f>
        <v>963</v>
      </c>
      <c r="M27" s="203" t="n">
        <f aca="false">'Cap Charge'!E27</f>
        <v>-121</v>
      </c>
      <c r="N27" s="77"/>
      <c r="O27" s="78" t="n">
        <f aca="false">C27-G27-K27</f>
        <v>-2539</v>
      </c>
      <c r="P27" s="182" t="n">
        <f aca="false">D27-H27-L27</f>
        <v>18537</v>
      </c>
      <c r="Q27" s="180" t="n">
        <f aca="false">O27-P27</f>
        <v>-21076</v>
      </c>
    </row>
    <row r="28" customFormat="false" ht="12.75" hidden="false" customHeight="true" outlineLevel="0" collapsed="false">
      <c r="A28" s="46" t="s">
        <v>125</v>
      </c>
      <c r="B28" s="47"/>
      <c r="C28" s="74" t="n">
        <f aca="false">GrossMargin!I28</f>
        <v>0</v>
      </c>
      <c r="D28" s="179" t="n">
        <f aca="false">GrossMargin!J28</f>
        <v>5250</v>
      </c>
      <c r="E28" s="114" t="n">
        <f aca="false">C28-D28</f>
        <v>-5250</v>
      </c>
      <c r="F28" s="81"/>
      <c r="G28" s="204" t="n">
        <f aca="false">Expenses!C28+Expenses!F28</f>
        <v>530</v>
      </c>
      <c r="H28" s="63" t="n">
        <f aca="false">Expenses!D28+Expenses!G28</f>
        <v>530</v>
      </c>
      <c r="I28" s="205" t="n">
        <f aca="false">G28-H28</f>
        <v>0</v>
      </c>
      <c r="J28" s="80"/>
      <c r="K28" s="63" t="n">
        <f aca="false">'Cap Charge'!C28</f>
        <v>0</v>
      </c>
      <c r="L28" s="79" t="n">
        <f aca="false">'Cap Charge'!D28</f>
        <v>0</v>
      </c>
      <c r="M28" s="203" t="n">
        <f aca="false">'Cap Charge'!E28</f>
        <v>0</v>
      </c>
      <c r="N28" s="77"/>
      <c r="O28" s="78" t="n">
        <f aca="false">C28-G28-K28</f>
        <v>-530</v>
      </c>
      <c r="P28" s="182" t="n">
        <f aca="false">D28-H28-L28</f>
        <v>4720</v>
      </c>
      <c r="Q28" s="180" t="n">
        <f aca="false">O28-P28</f>
        <v>-5250</v>
      </c>
    </row>
    <row r="29" customFormat="false" ht="12.75" hidden="false" customHeight="true" outlineLevel="0" collapsed="false">
      <c r="A29" s="46" t="s">
        <v>126</v>
      </c>
      <c r="B29" s="47"/>
      <c r="C29" s="74" t="n">
        <f aca="false">GrossMargin!I29</f>
        <v>1346</v>
      </c>
      <c r="D29" s="179" t="n">
        <f aca="false">GrossMargin!J29</f>
        <v>-1001</v>
      </c>
      <c r="E29" s="114" t="n">
        <f aca="false">C29-D29</f>
        <v>2347</v>
      </c>
      <c r="F29" s="206" t="s">
        <v>127</v>
      </c>
      <c r="G29" s="204" t="n">
        <f aca="false">Expenses!C29+Expenses!F29</f>
        <v>2094</v>
      </c>
      <c r="H29" s="63" t="n">
        <f aca="false">Expenses!D29+Expenses!G29</f>
        <v>2094</v>
      </c>
      <c r="I29" s="205" t="n">
        <f aca="false">G29-H29</f>
        <v>0</v>
      </c>
      <c r="J29" s="183"/>
      <c r="K29" s="63" t="n">
        <f aca="false">'Cap Charge'!C29</f>
        <v>2084</v>
      </c>
      <c r="L29" s="79" t="n">
        <f aca="false">'Cap Charge'!D29</f>
        <v>1870</v>
      </c>
      <c r="M29" s="203" t="n">
        <f aca="false">'Cap Charge'!E29</f>
        <v>-214</v>
      </c>
      <c r="N29" s="77"/>
      <c r="O29" s="78" t="n">
        <f aca="false">C29-G29-K29</f>
        <v>-2832</v>
      </c>
      <c r="P29" s="182" t="n">
        <f aca="false">D29-H29-L29</f>
        <v>-4965</v>
      </c>
      <c r="Q29" s="180" t="n">
        <f aca="false">O29-P29</f>
        <v>2133</v>
      </c>
    </row>
    <row r="30" customFormat="false" ht="12.75" hidden="false" customHeight="true" outlineLevel="0" collapsed="false">
      <c r="A30" s="46" t="s">
        <v>128</v>
      </c>
      <c r="B30" s="47"/>
      <c r="C30" s="74" t="n">
        <f aca="false">GrossMargin!I30</f>
        <v>0</v>
      </c>
      <c r="D30" s="179" t="n">
        <f aca="false">GrossMargin!J30</f>
        <v>0</v>
      </c>
      <c r="E30" s="114" t="n">
        <f aca="false">C30-D30</f>
        <v>0</v>
      </c>
      <c r="F30" s="81"/>
      <c r="G30" s="207" t="n">
        <f aca="false">Expenses!C30+Expenses!F30</f>
        <v>273</v>
      </c>
      <c r="H30" s="208" t="n">
        <f aca="false">Expenses!D30+Expenses!G30</f>
        <v>273</v>
      </c>
      <c r="I30" s="209" t="n">
        <f aca="false">G30-H30</f>
        <v>0</v>
      </c>
      <c r="J30" s="80"/>
      <c r="K30" s="63" t="n">
        <f aca="false">'Cap Charge'!C30</f>
        <v>0</v>
      </c>
      <c r="L30" s="79" t="n">
        <f aca="false">'Cap Charge'!D30</f>
        <v>0</v>
      </c>
      <c r="M30" s="203" t="n">
        <f aca="false">'Cap Charge'!E30</f>
        <v>0</v>
      </c>
      <c r="N30" s="77"/>
      <c r="O30" s="78" t="n">
        <f aca="false">C30-G30-K30</f>
        <v>-273</v>
      </c>
      <c r="P30" s="182" t="n">
        <f aca="false">D30-H30-L30</f>
        <v>-273</v>
      </c>
      <c r="Q30" s="180" t="n">
        <f aca="false">O30-P30</f>
        <v>0</v>
      </c>
    </row>
    <row r="31" customFormat="false" ht="12.75" hidden="false" customHeight="true" outlineLevel="0" collapsed="false">
      <c r="A31" s="101" t="s">
        <v>28</v>
      </c>
      <c r="B31" s="191"/>
      <c r="C31" s="210" t="n">
        <f aca="false">SUM(C24:C30)</f>
        <v>62159</v>
      </c>
      <c r="D31" s="192" t="n">
        <f aca="false">SUM(D24:D30)</f>
        <v>100205</v>
      </c>
      <c r="E31" s="192" t="n">
        <f aca="false">SUM(E24:E30)</f>
        <v>-38046</v>
      </c>
      <c r="F31" s="211"/>
      <c r="G31" s="192" t="n">
        <f aca="false">SUM(G24:G30)</f>
        <v>7409</v>
      </c>
      <c r="H31" s="192" t="n">
        <f aca="false">SUM(H24:H30)</f>
        <v>7409</v>
      </c>
      <c r="I31" s="192" t="n">
        <f aca="false">SUM(I24:I30)</f>
        <v>0</v>
      </c>
      <c r="J31" s="212"/>
      <c r="K31" s="192" t="n">
        <f aca="false">SUM(K24:K30)</f>
        <v>3168</v>
      </c>
      <c r="L31" s="192" t="n">
        <f aca="false">SUM(L24:L30)</f>
        <v>2833</v>
      </c>
      <c r="M31" s="192" t="n">
        <f aca="false">SUM(M24:M30)</f>
        <v>-335</v>
      </c>
      <c r="N31" s="213"/>
      <c r="O31" s="192" t="n">
        <f aca="false">SUM(O24:O30)</f>
        <v>51582</v>
      </c>
      <c r="P31" s="192" t="n">
        <f aca="false">SUM(P24:P30)</f>
        <v>89963</v>
      </c>
      <c r="Q31" s="194" t="n">
        <f aca="false">SUM(Q24:Q30)</f>
        <v>-38381</v>
      </c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94"/>
      <c r="CH31" s="94"/>
      <c r="CI31" s="94"/>
      <c r="CJ31" s="94"/>
      <c r="CK31" s="94"/>
      <c r="CL31" s="94"/>
      <c r="CM31" s="94"/>
      <c r="CN31" s="94"/>
      <c r="CO31" s="94"/>
      <c r="CP31" s="94"/>
      <c r="CQ31" s="94"/>
      <c r="CR31" s="94"/>
      <c r="CS31" s="94"/>
      <c r="CT31" s="94"/>
      <c r="CU31" s="94"/>
      <c r="CV31" s="94"/>
      <c r="CW31" s="94"/>
      <c r="CX31" s="94"/>
      <c r="CY31" s="94"/>
      <c r="CZ31" s="94"/>
      <c r="DA31" s="94"/>
      <c r="DB31" s="94"/>
      <c r="DC31" s="94"/>
      <c r="DD31" s="94"/>
      <c r="DE31" s="94"/>
      <c r="DF31" s="94"/>
      <c r="DG31" s="94"/>
      <c r="DH31" s="94"/>
      <c r="DI31" s="94"/>
      <c r="DJ31" s="94"/>
      <c r="DK31" s="94"/>
      <c r="DL31" s="94"/>
      <c r="DM31" s="94"/>
      <c r="DN31" s="94"/>
      <c r="DO31" s="94"/>
      <c r="DP31" s="94"/>
      <c r="DQ31" s="94"/>
      <c r="DR31" s="94"/>
      <c r="DS31" s="94"/>
      <c r="DT31" s="94"/>
      <c r="DU31" s="94"/>
      <c r="DV31" s="94"/>
      <c r="DW31" s="94"/>
      <c r="DX31" s="94"/>
      <c r="DY31" s="94"/>
      <c r="DZ31" s="94"/>
      <c r="EA31" s="94"/>
      <c r="EB31" s="94"/>
      <c r="EC31" s="94"/>
      <c r="ED31" s="94"/>
      <c r="EE31" s="94"/>
      <c r="EF31" s="94"/>
      <c r="EG31" s="94"/>
      <c r="EH31" s="94"/>
      <c r="EI31" s="94"/>
      <c r="EJ31" s="94"/>
      <c r="EK31" s="94"/>
      <c r="EL31" s="94"/>
      <c r="EM31" s="94"/>
      <c r="EN31" s="94"/>
      <c r="EO31" s="94"/>
      <c r="EP31" s="94"/>
      <c r="EQ31" s="94"/>
      <c r="ER31" s="94"/>
      <c r="ES31" s="94"/>
      <c r="ET31" s="94"/>
      <c r="EU31" s="94"/>
      <c r="EV31" s="94"/>
      <c r="EW31" s="94"/>
      <c r="EX31" s="94"/>
      <c r="EY31" s="94"/>
      <c r="EZ31" s="94"/>
      <c r="FA31" s="94"/>
      <c r="FB31" s="94"/>
      <c r="FC31" s="94"/>
      <c r="FD31" s="94"/>
      <c r="FE31" s="94"/>
      <c r="FF31" s="94"/>
      <c r="FG31" s="94"/>
      <c r="FH31" s="94"/>
      <c r="FI31" s="94"/>
      <c r="FJ31" s="94"/>
      <c r="FK31" s="94"/>
      <c r="FL31" s="94"/>
      <c r="FM31" s="94"/>
      <c r="FN31" s="94"/>
      <c r="FO31" s="94"/>
      <c r="FP31" s="94"/>
      <c r="FQ31" s="94"/>
      <c r="FR31" s="94"/>
      <c r="FS31" s="94"/>
      <c r="FT31" s="94"/>
      <c r="FU31" s="94"/>
      <c r="FV31" s="94"/>
      <c r="FW31" s="94"/>
      <c r="FX31" s="94"/>
      <c r="FY31" s="94"/>
      <c r="FZ31" s="94"/>
      <c r="GA31" s="94"/>
      <c r="GB31" s="94"/>
      <c r="GC31" s="94"/>
      <c r="GD31" s="94"/>
      <c r="GE31" s="94"/>
      <c r="GF31" s="94"/>
      <c r="GG31" s="94"/>
      <c r="GH31" s="94"/>
      <c r="GI31" s="94"/>
      <c r="GJ31" s="94"/>
      <c r="GK31" s="94"/>
      <c r="GL31" s="94"/>
      <c r="GM31" s="94"/>
      <c r="GN31" s="94"/>
      <c r="GO31" s="94"/>
      <c r="GP31" s="94"/>
      <c r="GQ31" s="94"/>
      <c r="GR31" s="94"/>
      <c r="GS31" s="94"/>
      <c r="GT31" s="94"/>
      <c r="GU31" s="94"/>
      <c r="GV31" s="94"/>
      <c r="GW31" s="94"/>
      <c r="GX31" s="94"/>
      <c r="GY31" s="94"/>
      <c r="GZ31" s="94"/>
      <c r="HA31" s="94"/>
      <c r="HB31" s="94"/>
      <c r="HC31" s="94"/>
      <c r="HD31" s="94"/>
      <c r="HE31" s="94"/>
      <c r="HF31" s="94"/>
      <c r="HG31" s="94"/>
      <c r="HH31" s="94"/>
      <c r="HI31" s="94"/>
      <c r="HJ31" s="94"/>
      <c r="HK31" s="94"/>
      <c r="HL31" s="94"/>
      <c r="HM31" s="94"/>
      <c r="HN31" s="94"/>
      <c r="HO31" s="94"/>
      <c r="HP31" s="94"/>
      <c r="HQ31" s="94"/>
      <c r="HR31" s="94"/>
      <c r="HS31" s="94"/>
      <c r="HT31" s="94"/>
      <c r="HU31" s="94"/>
      <c r="HV31" s="94"/>
      <c r="HW31" s="94"/>
      <c r="HX31" s="94"/>
      <c r="HY31" s="94"/>
      <c r="HZ31" s="94"/>
      <c r="IA31" s="94"/>
      <c r="IB31" s="94"/>
      <c r="IC31" s="94"/>
      <c r="ID31" s="94"/>
      <c r="IE31" s="94"/>
      <c r="IF31" s="94"/>
      <c r="IG31" s="94"/>
      <c r="IH31" s="94"/>
      <c r="II31" s="94"/>
      <c r="IJ31" s="94"/>
      <c r="IK31" s="94"/>
      <c r="IL31" s="94"/>
      <c r="IM31" s="94"/>
      <c r="IN31" s="94"/>
      <c r="IO31" s="94"/>
      <c r="IP31" s="94"/>
      <c r="IQ31" s="94"/>
      <c r="IR31" s="94"/>
      <c r="IS31" s="94"/>
      <c r="IT31" s="94"/>
      <c r="IU31" s="94"/>
      <c r="IV31" s="94"/>
      <c r="IW31" s="94"/>
    </row>
    <row r="32" customFormat="false" ht="12.75" hidden="false" customHeight="true" outlineLevel="0" collapsed="false">
      <c r="A32" s="46" t="s">
        <v>129</v>
      </c>
      <c r="B32" s="47"/>
      <c r="C32" s="74" t="n">
        <f aca="false">GrossMargin!I32</f>
        <v>7825</v>
      </c>
      <c r="D32" s="63" t="n">
        <f aca="false">GrossMargin!J32</f>
        <v>15000</v>
      </c>
      <c r="E32" s="214" t="n">
        <f aca="false">C32-D32</f>
        <v>-7175</v>
      </c>
      <c r="F32" s="215" t="s">
        <v>130</v>
      </c>
      <c r="G32" s="216" t="n">
        <f aca="false">Expenses!C32</f>
        <v>1902</v>
      </c>
      <c r="H32" s="216" t="n">
        <f aca="false">Expenses!D32</f>
        <v>1902</v>
      </c>
      <c r="I32" s="217" t="n">
        <f aca="false">G32-H32</f>
        <v>0</v>
      </c>
      <c r="J32" s="218"/>
      <c r="K32" s="216" t="n">
        <f aca="false">'Cap Charge'!C32</f>
        <v>745</v>
      </c>
      <c r="L32" s="79" t="n">
        <f aca="false">'Cap Charge'!D32</f>
        <v>1573</v>
      </c>
      <c r="M32" s="203" t="n">
        <f aca="false">'Cap Charge'!E32</f>
        <v>828</v>
      </c>
      <c r="N32" s="77"/>
      <c r="O32" s="78" t="n">
        <f aca="false">C32-G32-K32</f>
        <v>5178</v>
      </c>
      <c r="P32" s="79" t="n">
        <f aca="false">D32-H32-L32</f>
        <v>11525</v>
      </c>
      <c r="Q32" s="203" t="n">
        <f aca="false">O32-P32</f>
        <v>-6347</v>
      </c>
    </row>
    <row r="33" customFormat="false" ht="12.75" hidden="false" customHeight="true" outlineLevel="0" collapsed="false">
      <c r="A33" s="46" t="s">
        <v>131</v>
      </c>
      <c r="B33" s="47"/>
      <c r="C33" s="74" t="n">
        <f aca="false">GrossMargin!I33</f>
        <v>214</v>
      </c>
      <c r="D33" s="63" t="n">
        <f aca="false">GrossMargin!J33</f>
        <v>6000</v>
      </c>
      <c r="E33" s="214" t="n">
        <f aca="false">C33-D33</f>
        <v>-5786</v>
      </c>
      <c r="F33" s="81"/>
      <c r="G33" s="63" t="n">
        <f aca="false">Expenses!C33</f>
        <v>976</v>
      </c>
      <c r="H33" s="63" t="n">
        <f aca="false">Expenses!D33</f>
        <v>976</v>
      </c>
      <c r="I33" s="203" t="n">
        <f aca="false">G33-H33</f>
        <v>0</v>
      </c>
      <c r="J33" s="47"/>
      <c r="K33" s="63" t="n">
        <f aca="false">'Cap Charge'!C33</f>
        <v>0</v>
      </c>
      <c r="L33" s="79" t="n">
        <f aca="false">'Cap Charge'!D33</f>
        <v>0</v>
      </c>
      <c r="M33" s="203" t="n">
        <f aca="false">'Cap Charge'!E33</f>
        <v>0</v>
      </c>
      <c r="N33" s="77"/>
      <c r="O33" s="78" t="n">
        <f aca="false">C33-G33-K33</f>
        <v>-762</v>
      </c>
      <c r="P33" s="79" t="n">
        <f aca="false">D33-H33-L33</f>
        <v>5024</v>
      </c>
      <c r="Q33" s="203" t="n">
        <f aca="false">O33-P33</f>
        <v>-5786</v>
      </c>
    </row>
    <row r="34" customFormat="false" ht="12.75" hidden="false" customHeight="true" outlineLevel="0" collapsed="false">
      <c r="A34" s="46" t="s">
        <v>132</v>
      </c>
      <c r="B34" s="47"/>
      <c r="C34" s="74" t="n">
        <f aca="false">GrossMargin!I34</f>
        <v>-7034</v>
      </c>
      <c r="D34" s="63" t="n">
        <f aca="false">GrossMargin!J34</f>
        <v>15750</v>
      </c>
      <c r="E34" s="214" t="n">
        <f aca="false">C34-D34</f>
        <v>-22784</v>
      </c>
      <c r="F34" s="215" t="s">
        <v>133</v>
      </c>
      <c r="G34" s="216" t="n">
        <f aca="false">Expenses!C34</f>
        <v>1640</v>
      </c>
      <c r="H34" s="216" t="n">
        <f aca="false">Expenses!D34</f>
        <v>1640</v>
      </c>
      <c r="I34" s="217" t="n">
        <f aca="false">G34-H34</f>
        <v>0</v>
      </c>
      <c r="J34" s="218"/>
      <c r="K34" s="216" t="n">
        <f aca="false">'Cap Charge'!C34</f>
        <v>847</v>
      </c>
      <c r="L34" s="79" t="n">
        <f aca="false">'Cap Charge'!D34</f>
        <v>144</v>
      </c>
      <c r="M34" s="203" t="n">
        <f aca="false">'Cap Charge'!E34</f>
        <v>-703</v>
      </c>
      <c r="N34" s="77"/>
      <c r="O34" s="78" t="n">
        <f aca="false">C34-G34-K34</f>
        <v>-9521</v>
      </c>
      <c r="P34" s="79" t="n">
        <f aca="false">D34-H34-L34</f>
        <v>13966</v>
      </c>
      <c r="Q34" s="203" t="n">
        <f aca="false">O34-P34</f>
        <v>-23487</v>
      </c>
    </row>
    <row r="35" customFormat="false" ht="12.75" hidden="false" customHeight="true" outlineLevel="0" collapsed="false">
      <c r="A35" s="46" t="s">
        <v>134</v>
      </c>
      <c r="B35" s="47"/>
      <c r="C35" s="74" t="n">
        <f aca="false">GrossMargin!I35</f>
        <v>120</v>
      </c>
      <c r="D35" s="63" t="n">
        <f aca="false">GrossMargin!J35</f>
        <v>6500</v>
      </c>
      <c r="E35" s="214" t="n">
        <f aca="false">C35-D35</f>
        <v>-6380</v>
      </c>
      <c r="F35" s="81"/>
      <c r="G35" s="63" t="n">
        <f aca="false">Expenses!C35</f>
        <v>813</v>
      </c>
      <c r="H35" s="63" t="n">
        <f aca="false">Expenses!D35</f>
        <v>813</v>
      </c>
      <c r="I35" s="203" t="n">
        <f aca="false">G35-H35</f>
        <v>0</v>
      </c>
      <c r="J35" s="47"/>
      <c r="K35" s="63" t="n">
        <f aca="false">'Cap Charge'!C35</f>
        <v>0</v>
      </c>
      <c r="L35" s="79" t="n">
        <f aca="false">'Cap Charge'!D35</f>
        <v>0</v>
      </c>
      <c r="M35" s="203" t="n">
        <f aca="false">'Cap Charge'!E35</f>
        <v>0</v>
      </c>
      <c r="N35" s="77"/>
      <c r="O35" s="78" t="n">
        <f aca="false">C35-G35-K35</f>
        <v>-693</v>
      </c>
      <c r="P35" s="79" t="n">
        <f aca="false">D35-H35-L35</f>
        <v>5687</v>
      </c>
      <c r="Q35" s="203" t="n">
        <f aca="false">O35-P35</f>
        <v>-6380</v>
      </c>
    </row>
    <row r="36" customFormat="false" ht="12.75" hidden="false" customHeight="true" outlineLevel="0" collapsed="false">
      <c r="A36" s="46" t="s">
        <v>135</v>
      </c>
      <c r="B36" s="47"/>
      <c r="C36" s="74" t="n">
        <f aca="false">GrossMargin!I36</f>
        <v>-1577</v>
      </c>
      <c r="D36" s="63" t="n">
        <f aca="false">GrossMargin!J36</f>
        <v>10000</v>
      </c>
      <c r="E36" s="214" t="n">
        <f aca="false">C36-D36</f>
        <v>-11577</v>
      </c>
      <c r="F36" s="81"/>
      <c r="G36" s="63" t="n">
        <f aca="false">Expenses!C36</f>
        <v>1082</v>
      </c>
      <c r="H36" s="63" t="n">
        <f aca="false">Expenses!D36</f>
        <v>1082</v>
      </c>
      <c r="I36" s="203" t="n">
        <f aca="false">G36-H36</f>
        <v>0</v>
      </c>
      <c r="J36" s="47"/>
      <c r="K36" s="63" t="n">
        <f aca="false">'Cap Charge'!C36</f>
        <v>0</v>
      </c>
      <c r="L36" s="79" t="n">
        <f aca="false">'Cap Charge'!D36</f>
        <v>0</v>
      </c>
      <c r="M36" s="203" t="n">
        <f aca="false">'Cap Charge'!E36</f>
        <v>0</v>
      </c>
      <c r="N36" s="77"/>
      <c r="O36" s="78" t="n">
        <f aca="false">C36-G36-K36</f>
        <v>-2659</v>
      </c>
      <c r="P36" s="79" t="n">
        <f aca="false">D36-H36-L36</f>
        <v>8918</v>
      </c>
      <c r="Q36" s="203" t="n">
        <f aca="false">O36-P36</f>
        <v>-11577</v>
      </c>
    </row>
    <row r="37" customFormat="false" ht="12.75" hidden="false" customHeight="true" outlineLevel="0" collapsed="false">
      <c r="A37" s="46" t="s">
        <v>136</v>
      </c>
      <c r="B37" s="47"/>
      <c r="C37" s="74" t="n">
        <f aca="false">GrossMargin!I37</f>
        <v>0</v>
      </c>
      <c r="D37" s="63" t="n">
        <f aca="false">GrossMargin!J37</f>
        <v>0</v>
      </c>
      <c r="E37" s="214" t="n">
        <f aca="false">C37-D37</f>
        <v>0</v>
      </c>
      <c r="F37" s="81"/>
      <c r="G37" s="63" t="n">
        <f aca="false">Expenses!C37</f>
        <v>0</v>
      </c>
      <c r="H37" s="63" t="n">
        <f aca="false">Expenses!D37</f>
        <v>0</v>
      </c>
      <c r="I37" s="203" t="n">
        <f aca="false">G37-H37</f>
        <v>0</v>
      </c>
      <c r="J37" s="47"/>
      <c r="K37" s="63" t="n">
        <f aca="false">'Cap Charge'!C37</f>
        <v>0</v>
      </c>
      <c r="L37" s="79" t="n">
        <f aca="false">'Cap Charge'!D37</f>
        <v>0</v>
      </c>
      <c r="M37" s="203" t="n">
        <f aca="false">'Cap Charge'!E37</f>
        <v>0</v>
      </c>
      <c r="N37" s="77"/>
      <c r="O37" s="78" t="n">
        <f aca="false">C37-G37-K37</f>
        <v>0</v>
      </c>
      <c r="P37" s="79" t="n">
        <f aca="false">D37-H37-L37</f>
        <v>0</v>
      </c>
      <c r="Q37" s="203" t="n">
        <f aca="false">O37-P37</f>
        <v>0</v>
      </c>
    </row>
    <row r="38" customFormat="false" ht="12.75" hidden="false" customHeight="true" outlineLevel="0" collapsed="false">
      <c r="A38" s="46" t="s">
        <v>137</v>
      </c>
      <c r="B38" s="47"/>
      <c r="C38" s="74" t="n">
        <f aca="false">GrossMargin!I38</f>
        <v>-28957</v>
      </c>
      <c r="D38" s="63" t="n">
        <f aca="false">GrossMargin!J38</f>
        <v>26500</v>
      </c>
      <c r="E38" s="214" t="n">
        <f aca="false">C38-D38</f>
        <v>-55457</v>
      </c>
      <c r="F38" s="81"/>
      <c r="G38" s="63" t="n">
        <f aca="false">Expenses!C38</f>
        <v>1106</v>
      </c>
      <c r="H38" s="63" t="n">
        <f aca="false">Expenses!D38</f>
        <v>1106</v>
      </c>
      <c r="I38" s="203" t="n">
        <f aca="false">G38-H38</f>
        <v>0</v>
      </c>
      <c r="J38" s="47"/>
      <c r="K38" s="63" t="n">
        <f aca="false">'Cap Charge'!C38</f>
        <v>0</v>
      </c>
      <c r="L38" s="79" t="n">
        <f aca="false">'Cap Charge'!D38</f>
        <v>0</v>
      </c>
      <c r="M38" s="203" t="n">
        <f aca="false">'Cap Charge'!E38</f>
        <v>0</v>
      </c>
      <c r="N38" s="77"/>
      <c r="O38" s="78" t="n">
        <f aca="false">C38-G38-K38</f>
        <v>-30063</v>
      </c>
      <c r="P38" s="79" t="n">
        <f aca="false">D38-H38-L38</f>
        <v>25394</v>
      </c>
      <c r="Q38" s="203" t="n">
        <f aca="false">O38-P38</f>
        <v>-55457</v>
      </c>
    </row>
    <row r="39" customFormat="false" ht="12.75" hidden="false" customHeight="true" outlineLevel="0" collapsed="false">
      <c r="A39" s="46" t="s">
        <v>138</v>
      </c>
      <c r="B39" s="47"/>
      <c r="C39" s="74" t="n">
        <f aca="false">GrossMargin!I39</f>
        <v>3248</v>
      </c>
      <c r="D39" s="63" t="n">
        <f aca="false">GrossMargin!J39</f>
        <v>5000</v>
      </c>
      <c r="E39" s="214" t="n">
        <f aca="false">C39-D39</f>
        <v>-1752</v>
      </c>
      <c r="F39" s="81"/>
      <c r="G39" s="63" t="n">
        <f aca="false">Expenses!C39</f>
        <v>624</v>
      </c>
      <c r="H39" s="63" t="n">
        <f aca="false">Expenses!D39</f>
        <v>624</v>
      </c>
      <c r="I39" s="203" t="n">
        <f aca="false">G39-H39</f>
        <v>0</v>
      </c>
      <c r="J39" s="47"/>
      <c r="K39" s="63" t="n">
        <f aca="false">'Cap Charge'!C39</f>
        <v>0</v>
      </c>
      <c r="L39" s="79" t="n">
        <f aca="false">'Cap Charge'!D39</f>
        <v>0</v>
      </c>
      <c r="M39" s="203" t="n">
        <f aca="false">'Cap Charge'!E39</f>
        <v>0</v>
      </c>
      <c r="N39" s="77"/>
      <c r="O39" s="78" t="n">
        <f aca="false">C39-G39-K39</f>
        <v>2624</v>
      </c>
      <c r="P39" s="79" t="n">
        <f aca="false">D39-H39-L39</f>
        <v>4376</v>
      </c>
      <c r="Q39" s="203" t="n">
        <f aca="false">O39-P39</f>
        <v>-1752</v>
      </c>
    </row>
    <row r="40" customFormat="false" ht="12.75" hidden="false" customHeight="true" outlineLevel="0" collapsed="false">
      <c r="A40" s="46" t="s">
        <v>139</v>
      </c>
      <c r="B40" s="47"/>
      <c r="C40" s="74" t="n">
        <f aca="false">GrossMargin!I40</f>
        <v>56219</v>
      </c>
      <c r="D40" s="63" t="n">
        <f aca="false">GrossMargin!J40</f>
        <v>31250</v>
      </c>
      <c r="E40" s="214" t="n">
        <f aca="false">C40-D40</f>
        <v>24969</v>
      </c>
      <c r="F40" s="81"/>
      <c r="G40" s="63" t="n">
        <f aca="false">Expenses!C40</f>
        <v>402</v>
      </c>
      <c r="H40" s="63" t="n">
        <f aca="false">Expenses!D40</f>
        <v>402</v>
      </c>
      <c r="I40" s="203" t="n">
        <f aca="false">G40-H40</f>
        <v>0</v>
      </c>
      <c r="J40" s="47"/>
      <c r="K40" s="63" t="n">
        <f aca="false">'Cap Charge'!C40</f>
        <v>0</v>
      </c>
      <c r="L40" s="79" t="n">
        <f aca="false">'Cap Charge'!D40</f>
        <v>0</v>
      </c>
      <c r="M40" s="203" t="n">
        <f aca="false">'Cap Charge'!E40</f>
        <v>0</v>
      </c>
      <c r="N40" s="77"/>
      <c r="O40" s="78" t="n">
        <f aca="false">C40-G40-K40</f>
        <v>55817</v>
      </c>
      <c r="P40" s="79" t="n">
        <f aca="false">D40-H40-L40</f>
        <v>30848</v>
      </c>
      <c r="Q40" s="203" t="n">
        <f aca="false">O40-P40</f>
        <v>24969</v>
      </c>
    </row>
    <row r="41" customFormat="false" ht="12.75" hidden="false" customHeight="true" outlineLevel="0" collapsed="false">
      <c r="A41" s="46" t="s">
        <v>140</v>
      </c>
      <c r="B41" s="47"/>
      <c r="C41" s="74" t="n">
        <f aca="false">GrossMargin!I41</f>
        <v>2937</v>
      </c>
      <c r="D41" s="63" t="n">
        <f aca="false">GrossMargin!J41</f>
        <v>6250</v>
      </c>
      <c r="E41" s="214" t="n">
        <f aca="false">C41-D41</f>
        <v>-3313</v>
      </c>
      <c r="F41" s="81"/>
      <c r="G41" s="63" t="n">
        <f aca="false">Expenses!C41</f>
        <v>1084</v>
      </c>
      <c r="H41" s="63" t="n">
        <f aca="false">Expenses!D41</f>
        <v>1084</v>
      </c>
      <c r="I41" s="203" t="n">
        <f aca="false">G41-H41</f>
        <v>0</v>
      </c>
      <c r="J41" s="47"/>
      <c r="K41" s="63" t="n">
        <f aca="false">'Cap Charge'!C41</f>
        <v>0</v>
      </c>
      <c r="L41" s="79" t="n">
        <f aca="false">'Cap Charge'!D41</f>
        <v>0</v>
      </c>
      <c r="M41" s="203" t="n">
        <f aca="false">'Cap Charge'!E41</f>
        <v>0</v>
      </c>
      <c r="N41" s="77"/>
      <c r="O41" s="78" t="n">
        <f aca="false">C41-G41-K41</f>
        <v>1853</v>
      </c>
      <c r="P41" s="79" t="n">
        <f aca="false">D41-H41-L41</f>
        <v>5166</v>
      </c>
      <c r="Q41" s="203" t="n">
        <f aca="false">O41-P41</f>
        <v>-3313</v>
      </c>
    </row>
    <row r="42" customFormat="false" ht="12.75" hidden="false" customHeight="true" outlineLevel="0" collapsed="false">
      <c r="A42" s="46" t="s">
        <v>141</v>
      </c>
      <c r="B42" s="47"/>
      <c r="C42" s="74" t="n">
        <f aca="false">GrossMargin!I42</f>
        <v>0</v>
      </c>
      <c r="D42" s="63" t="n">
        <f aca="false">GrossMargin!J42</f>
        <v>0</v>
      </c>
      <c r="E42" s="214" t="n">
        <f aca="false">C42-D42</f>
        <v>0</v>
      </c>
      <c r="F42" s="81"/>
      <c r="G42" s="63" t="n">
        <f aca="false">Expenses!C42</f>
        <v>734</v>
      </c>
      <c r="H42" s="63" t="n">
        <f aca="false">Expenses!D42</f>
        <v>734</v>
      </c>
      <c r="I42" s="203" t="n">
        <f aca="false">G42-H42</f>
        <v>0</v>
      </c>
      <c r="J42" s="47"/>
      <c r="K42" s="63" t="n">
        <f aca="false">'Cap Charge'!C42</f>
        <v>0</v>
      </c>
      <c r="L42" s="79" t="n">
        <f aca="false">'Cap Charge'!D42</f>
        <v>0</v>
      </c>
      <c r="M42" s="203" t="n">
        <f aca="false">'Cap Charge'!E42</f>
        <v>0</v>
      </c>
      <c r="N42" s="77"/>
      <c r="O42" s="78" t="n">
        <f aca="false">C42-G42-K42</f>
        <v>-734</v>
      </c>
      <c r="P42" s="79" t="n">
        <f aca="false">D42-H42-L42</f>
        <v>-734</v>
      </c>
      <c r="Q42" s="203" t="n">
        <f aca="false">O42-P42</f>
        <v>0</v>
      </c>
    </row>
    <row r="43" customFormat="false" ht="12.75" hidden="false" customHeight="true" outlineLevel="0" collapsed="false">
      <c r="A43" s="46" t="s">
        <v>142</v>
      </c>
      <c r="B43" s="47"/>
      <c r="C43" s="74" t="n">
        <f aca="false">GrossMargin!I43</f>
        <v>0</v>
      </c>
      <c r="D43" s="63" t="n">
        <f aca="false">GrossMargin!J43</f>
        <v>0</v>
      </c>
      <c r="E43" s="214" t="n">
        <f aca="false">C43-D43</f>
        <v>0</v>
      </c>
      <c r="F43" s="81"/>
      <c r="G43" s="63" t="n">
        <f aca="false">Expenses!C43</f>
        <v>508</v>
      </c>
      <c r="H43" s="63" t="n">
        <f aca="false">Expenses!D43</f>
        <v>508</v>
      </c>
      <c r="I43" s="203" t="n">
        <f aca="false">G43-H43</f>
        <v>0</v>
      </c>
      <c r="J43" s="47"/>
      <c r="K43" s="63" t="n">
        <f aca="false">'Cap Charge'!C43</f>
        <v>0</v>
      </c>
      <c r="L43" s="79" t="n">
        <f aca="false">'Cap Charge'!D43</f>
        <v>0</v>
      </c>
      <c r="M43" s="203" t="n">
        <f aca="false">'Cap Charge'!E43</f>
        <v>0</v>
      </c>
      <c r="N43" s="77"/>
      <c r="O43" s="78" t="n">
        <f aca="false">C43-G43-K43</f>
        <v>-508</v>
      </c>
      <c r="P43" s="79" t="n">
        <f aca="false">D43-H43-L43</f>
        <v>-508</v>
      </c>
      <c r="Q43" s="203" t="n">
        <f aca="false">O43-P43</f>
        <v>0</v>
      </c>
    </row>
    <row r="44" customFormat="false" ht="12.75" hidden="false" customHeight="true" outlineLevel="0" collapsed="false">
      <c r="A44" s="46" t="s">
        <v>143</v>
      </c>
      <c r="B44" s="47"/>
      <c r="C44" s="74" t="n">
        <f aca="false">GrossMargin!I44</f>
        <v>0</v>
      </c>
      <c r="D44" s="63" t="n">
        <f aca="false">GrossMargin!J44</f>
        <v>0</v>
      </c>
      <c r="E44" s="214" t="n">
        <f aca="false">C44-D44</f>
        <v>0</v>
      </c>
      <c r="F44" s="81"/>
      <c r="G44" s="63" t="n">
        <f aca="false">Expenses!C44</f>
        <v>0</v>
      </c>
      <c r="H44" s="63" t="n">
        <f aca="false">Expenses!D44</f>
        <v>0</v>
      </c>
      <c r="I44" s="203" t="n">
        <f aca="false">G44-H44</f>
        <v>0</v>
      </c>
      <c r="J44" s="47"/>
      <c r="K44" s="63" t="n">
        <f aca="false">'Cap Charge'!C44</f>
        <v>0</v>
      </c>
      <c r="L44" s="79" t="n">
        <f aca="false">'Cap Charge'!D44</f>
        <v>0</v>
      </c>
      <c r="M44" s="203" t="n">
        <f aca="false">'Cap Charge'!E44</f>
        <v>0</v>
      </c>
      <c r="N44" s="77"/>
      <c r="O44" s="78" t="n">
        <f aca="false">C44-G44-K44</f>
        <v>0</v>
      </c>
      <c r="P44" s="79" t="n">
        <f aca="false">D44-H44-L44</f>
        <v>0</v>
      </c>
      <c r="Q44" s="203" t="n">
        <f aca="false">O44-P44</f>
        <v>0</v>
      </c>
    </row>
    <row r="45" customFormat="false" ht="12.75" hidden="false" customHeight="true" outlineLevel="0" collapsed="false">
      <c r="A45" s="101" t="s">
        <v>38</v>
      </c>
      <c r="B45" s="191"/>
      <c r="C45" s="192" t="n">
        <f aca="false">SUM(C32:C44)</f>
        <v>32995</v>
      </c>
      <c r="D45" s="192" t="n">
        <f aca="false">SUM(D32:D44)</f>
        <v>122250</v>
      </c>
      <c r="E45" s="192" t="n">
        <f aca="false">SUM(E32:E44)</f>
        <v>-89255</v>
      </c>
      <c r="F45" s="106"/>
      <c r="G45" s="219" t="n">
        <f aca="false">SUM(G32:G44)</f>
        <v>10871</v>
      </c>
      <c r="H45" s="219" t="n">
        <f aca="false">SUM(H32:H44)</f>
        <v>10871</v>
      </c>
      <c r="I45" s="219" t="n">
        <f aca="false">SUM(I32:I44)</f>
        <v>0</v>
      </c>
      <c r="J45" s="220"/>
      <c r="K45" s="219" t="n">
        <f aca="false">SUM(K32:K44)</f>
        <v>1592</v>
      </c>
      <c r="L45" s="219" t="n">
        <f aca="false">SUM(L32:L44)</f>
        <v>1717</v>
      </c>
      <c r="M45" s="219" t="n">
        <f aca="false">SUM(M32:M44)</f>
        <v>125</v>
      </c>
      <c r="N45" s="111"/>
      <c r="O45" s="219" t="n">
        <f aca="false">SUM(O32:O44)</f>
        <v>20532</v>
      </c>
      <c r="P45" s="219" t="n">
        <f aca="false">SUM(P32:P44)</f>
        <v>109662</v>
      </c>
      <c r="Q45" s="197" t="n">
        <f aca="false">SUM(Q32:Q44)</f>
        <v>-89130</v>
      </c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94"/>
      <c r="CD45" s="94"/>
      <c r="CE45" s="94"/>
      <c r="CF45" s="94"/>
      <c r="CG45" s="94"/>
      <c r="CH45" s="94"/>
      <c r="CI45" s="94"/>
      <c r="CJ45" s="94"/>
      <c r="CK45" s="94"/>
      <c r="CL45" s="94"/>
      <c r="CM45" s="94"/>
      <c r="CN45" s="94"/>
      <c r="CO45" s="94"/>
      <c r="CP45" s="94"/>
      <c r="CQ45" s="94"/>
      <c r="CR45" s="94"/>
      <c r="CS45" s="94"/>
      <c r="CT45" s="94"/>
      <c r="CU45" s="94"/>
      <c r="CV45" s="94"/>
      <c r="CW45" s="94"/>
      <c r="CX45" s="94"/>
      <c r="CY45" s="94"/>
      <c r="CZ45" s="94"/>
      <c r="DA45" s="94"/>
      <c r="DB45" s="94"/>
      <c r="DC45" s="94"/>
      <c r="DD45" s="94"/>
      <c r="DE45" s="94"/>
      <c r="DF45" s="94"/>
      <c r="DG45" s="94"/>
      <c r="DH45" s="94"/>
      <c r="DI45" s="94"/>
      <c r="DJ45" s="94"/>
      <c r="DK45" s="94"/>
      <c r="DL45" s="94"/>
      <c r="DM45" s="94"/>
      <c r="DN45" s="94"/>
      <c r="DO45" s="94"/>
      <c r="DP45" s="94"/>
      <c r="DQ45" s="94"/>
      <c r="DR45" s="94"/>
      <c r="DS45" s="94"/>
      <c r="DT45" s="94"/>
      <c r="DU45" s="94"/>
      <c r="DV45" s="94"/>
      <c r="DW45" s="94"/>
      <c r="DX45" s="94"/>
      <c r="DY45" s="94"/>
      <c r="DZ45" s="94"/>
      <c r="EA45" s="94"/>
      <c r="EB45" s="94"/>
      <c r="EC45" s="94"/>
      <c r="ED45" s="94"/>
      <c r="EE45" s="94"/>
      <c r="EF45" s="94"/>
      <c r="EG45" s="94"/>
      <c r="EH45" s="94"/>
      <c r="EI45" s="94"/>
      <c r="EJ45" s="94"/>
      <c r="EK45" s="94"/>
      <c r="EL45" s="94"/>
      <c r="EM45" s="94"/>
      <c r="EN45" s="94"/>
      <c r="EO45" s="94"/>
      <c r="EP45" s="94"/>
      <c r="EQ45" s="94"/>
      <c r="ER45" s="94"/>
      <c r="ES45" s="94"/>
      <c r="ET45" s="94"/>
      <c r="EU45" s="94"/>
      <c r="EV45" s="94"/>
      <c r="EW45" s="94"/>
      <c r="EX45" s="94"/>
      <c r="EY45" s="94"/>
      <c r="EZ45" s="94"/>
      <c r="FA45" s="94"/>
      <c r="FB45" s="94"/>
      <c r="FC45" s="94"/>
      <c r="FD45" s="94"/>
      <c r="FE45" s="94"/>
      <c r="FF45" s="94"/>
      <c r="FG45" s="94"/>
      <c r="FH45" s="94"/>
      <c r="FI45" s="94"/>
      <c r="FJ45" s="94"/>
      <c r="FK45" s="94"/>
      <c r="FL45" s="94"/>
      <c r="FM45" s="94"/>
      <c r="FN45" s="94"/>
      <c r="FO45" s="94"/>
      <c r="FP45" s="94"/>
      <c r="FQ45" s="94"/>
      <c r="FR45" s="94"/>
      <c r="FS45" s="94"/>
      <c r="FT45" s="94"/>
      <c r="FU45" s="94"/>
      <c r="FV45" s="94"/>
      <c r="FW45" s="94"/>
      <c r="FX45" s="94"/>
      <c r="FY45" s="94"/>
      <c r="FZ45" s="94"/>
      <c r="GA45" s="94"/>
      <c r="GB45" s="94"/>
      <c r="GC45" s="94"/>
      <c r="GD45" s="94"/>
      <c r="GE45" s="94"/>
      <c r="GF45" s="94"/>
      <c r="GG45" s="94"/>
      <c r="GH45" s="94"/>
      <c r="GI45" s="94"/>
      <c r="GJ45" s="94"/>
      <c r="GK45" s="94"/>
      <c r="GL45" s="94"/>
      <c r="GM45" s="94"/>
      <c r="GN45" s="94"/>
      <c r="GO45" s="94"/>
      <c r="GP45" s="94"/>
      <c r="GQ45" s="94"/>
      <c r="GR45" s="94"/>
      <c r="GS45" s="94"/>
      <c r="GT45" s="94"/>
      <c r="GU45" s="94"/>
      <c r="GV45" s="94"/>
      <c r="GW45" s="94"/>
      <c r="GX45" s="94"/>
      <c r="GY45" s="94"/>
      <c r="GZ45" s="94"/>
      <c r="HA45" s="94"/>
      <c r="HB45" s="94"/>
      <c r="HC45" s="94"/>
      <c r="HD45" s="94"/>
      <c r="HE45" s="94"/>
      <c r="HF45" s="94"/>
      <c r="HG45" s="94"/>
      <c r="HH45" s="94"/>
      <c r="HI45" s="94"/>
      <c r="HJ45" s="94"/>
      <c r="HK45" s="94"/>
      <c r="HL45" s="94"/>
      <c r="HM45" s="94"/>
      <c r="HN45" s="94"/>
      <c r="HO45" s="94"/>
      <c r="HP45" s="94"/>
      <c r="HQ45" s="94"/>
      <c r="HR45" s="94"/>
      <c r="HS45" s="94"/>
      <c r="HT45" s="94"/>
      <c r="HU45" s="94"/>
      <c r="HV45" s="94"/>
      <c r="HW45" s="94"/>
      <c r="HX45" s="94"/>
      <c r="HY45" s="94"/>
      <c r="HZ45" s="94"/>
      <c r="IA45" s="94"/>
      <c r="IB45" s="94"/>
      <c r="IC45" s="94"/>
      <c r="ID45" s="94"/>
      <c r="IE45" s="94"/>
      <c r="IF45" s="94"/>
      <c r="IG45" s="94"/>
      <c r="IH45" s="94"/>
      <c r="II45" s="94"/>
      <c r="IJ45" s="94"/>
      <c r="IK45" s="94"/>
      <c r="IL45" s="94"/>
      <c r="IM45" s="94"/>
      <c r="IN45" s="94"/>
      <c r="IO45" s="94"/>
      <c r="IP45" s="94"/>
      <c r="IQ45" s="94"/>
      <c r="IR45" s="94"/>
      <c r="IS45" s="94"/>
      <c r="IT45" s="94"/>
      <c r="IU45" s="94"/>
      <c r="IV45" s="94"/>
      <c r="IW45" s="94"/>
    </row>
    <row r="46" customFormat="false" ht="12.75" hidden="false" customHeight="true" outlineLevel="0" collapsed="false">
      <c r="A46" s="46" t="s">
        <v>144</v>
      </c>
      <c r="B46" s="47"/>
      <c r="C46" s="74" t="n">
        <f aca="false">GrossMargin!I46</f>
        <v>1232</v>
      </c>
      <c r="D46" s="63" t="n">
        <f aca="false">GrossMargin!J46</f>
        <v>6250</v>
      </c>
      <c r="E46" s="214" t="n">
        <f aca="false">C46-D46</f>
        <v>-5018</v>
      </c>
      <c r="F46" s="215" t="s">
        <v>133</v>
      </c>
      <c r="G46" s="216" t="n">
        <f aca="false">Expenses!C46</f>
        <v>730</v>
      </c>
      <c r="H46" s="216" t="n">
        <f aca="false">Expenses!D46</f>
        <v>730</v>
      </c>
      <c r="I46" s="217" t="n">
        <f aca="false">G46-H46</f>
        <v>0</v>
      </c>
      <c r="J46" s="218"/>
      <c r="K46" s="216" t="n">
        <f aca="false">'Cap Charge'!C46</f>
        <v>222</v>
      </c>
      <c r="L46" s="79" t="n">
        <f aca="false">'Cap Charge'!D46</f>
        <v>99</v>
      </c>
      <c r="M46" s="203" t="n">
        <f aca="false">'Cap Charge'!E46</f>
        <v>-123</v>
      </c>
      <c r="N46" s="77"/>
      <c r="O46" s="78" t="n">
        <f aca="false">C46-G46-K46</f>
        <v>280</v>
      </c>
      <c r="P46" s="79" t="n">
        <f aca="false">D46-H46-L46</f>
        <v>5421</v>
      </c>
      <c r="Q46" s="203" t="n">
        <f aca="false">O46-P46</f>
        <v>-5141</v>
      </c>
    </row>
    <row r="47" customFormat="false" ht="12.75" hidden="false" customHeight="true" outlineLevel="0" collapsed="false">
      <c r="A47" s="46" t="s">
        <v>145</v>
      </c>
      <c r="B47" s="47"/>
      <c r="C47" s="74" t="n">
        <f aca="false">GrossMargin!I47</f>
        <v>913</v>
      </c>
      <c r="D47" s="63" t="n">
        <f aca="false">GrossMargin!J47</f>
        <v>6250</v>
      </c>
      <c r="E47" s="214" t="n">
        <f aca="false">C47-D47</f>
        <v>-5337</v>
      </c>
      <c r="F47" s="81"/>
      <c r="G47" s="63" t="n">
        <f aca="false">Expenses!C47</f>
        <v>487</v>
      </c>
      <c r="H47" s="63" t="n">
        <f aca="false">Expenses!D47</f>
        <v>487</v>
      </c>
      <c r="I47" s="203" t="n">
        <f aca="false">G47-H47</f>
        <v>0</v>
      </c>
      <c r="J47" s="47"/>
      <c r="K47" s="63" t="n">
        <f aca="false">'Cap Charge'!C47</f>
        <v>0</v>
      </c>
      <c r="L47" s="79" t="n">
        <f aca="false">'Cap Charge'!D47</f>
        <v>0</v>
      </c>
      <c r="M47" s="203" t="n">
        <f aca="false">'Cap Charge'!E47</f>
        <v>0</v>
      </c>
      <c r="N47" s="77"/>
      <c r="O47" s="78" t="n">
        <f aca="false">C47-G47-K47</f>
        <v>426</v>
      </c>
      <c r="P47" s="79" t="n">
        <f aca="false">D47-H47-L47</f>
        <v>5763</v>
      </c>
      <c r="Q47" s="203" t="n">
        <f aca="false">O47-P47</f>
        <v>-5337</v>
      </c>
    </row>
    <row r="48" customFormat="false" ht="12.75" hidden="false" customHeight="true" outlineLevel="0" collapsed="false">
      <c r="A48" s="46" t="s">
        <v>146</v>
      </c>
      <c r="B48" s="47"/>
      <c r="C48" s="74" t="n">
        <f aca="false">GrossMargin!I48</f>
        <v>183</v>
      </c>
      <c r="D48" s="63" t="n">
        <f aca="false">GrossMargin!J48</f>
        <v>5000</v>
      </c>
      <c r="E48" s="214" t="n">
        <f aca="false">C48-D48</f>
        <v>-4817</v>
      </c>
      <c r="F48" s="215" t="s">
        <v>147</v>
      </c>
      <c r="G48" s="216" t="n">
        <f aca="false">Expenses!C48</f>
        <v>423</v>
      </c>
      <c r="H48" s="216" t="n">
        <f aca="false">Expenses!D48</f>
        <v>423</v>
      </c>
      <c r="I48" s="217" t="n">
        <f aca="false">G48-H48</f>
        <v>0</v>
      </c>
      <c r="J48" s="218"/>
      <c r="K48" s="216" t="n">
        <f aca="false">'Cap Charge'!C48</f>
        <v>907</v>
      </c>
      <c r="L48" s="79" t="n">
        <f aca="false">'Cap Charge'!D48</f>
        <v>98</v>
      </c>
      <c r="M48" s="203" t="n">
        <f aca="false">'Cap Charge'!E48</f>
        <v>-809</v>
      </c>
      <c r="N48" s="77"/>
      <c r="O48" s="78" t="n">
        <f aca="false">C48-G48-K48</f>
        <v>-1147</v>
      </c>
      <c r="P48" s="79" t="n">
        <f aca="false">D48-H48-L48</f>
        <v>4479</v>
      </c>
      <c r="Q48" s="203" t="n">
        <f aca="false">O48-P48</f>
        <v>-5626</v>
      </c>
    </row>
    <row r="49" customFormat="false" ht="12.75" hidden="false" customHeight="true" outlineLevel="0" collapsed="false">
      <c r="A49" s="46" t="s">
        <v>148</v>
      </c>
      <c r="B49" s="47"/>
      <c r="C49" s="74" t="n">
        <f aca="false">GrossMargin!I49</f>
        <v>9260</v>
      </c>
      <c r="D49" s="63" t="n">
        <f aca="false">GrossMargin!J49</f>
        <v>38750</v>
      </c>
      <c r="E49" s="214" t="n">
        <f aca="false">C49-D49</f>
        <v>-29490</v>
      </c>
      <c r="F49" s="81"/>
      <c r="G49" s="63" t="n">
        <f aca="false">Expenses!C49</f>
        <v>574</v>
      </c>
      <c r="H49" s="63" t="n">
        <f aca="false">Expenses!D49</f>
        <v>574</v>
      </c>
      <c r="I49" s="203" t="n">
        <f aca="false">G49-H49</f>
        <v>0</v>
      </c>
      <c r="J49" s="47"/>
      <c r="K49" s="79" t="n">
        <f aca="false">'Cap Charge'!C49</f>
        <v>0</v>
      </c>
      <c r="L49" s="79" t="n">
        <f aca="false">'Cap Charge'!D49</f>
        <v>0</v>
      </c>
      <c r="M49" s="203" t="n">
        <f aca="false">'Cap Charge'!E49</f>
        <v>0</v>
      </c>
      <c r="N49" s="77"/>
      <c r="O49" s="78" t="n">
        <f aca="false">C49-G49-K49</f>
        <v>8686</v>
      </c>
      <c r="P49" s="79" t="n">
        <f aca="false">D49-H49-L49</f>
        <v>38176</v>
      </c>
      <c r="Q49" s="203" t="n">
        <f aca="false">O49-P49</f>
        <v>-29490</v>
      </c>
    </row>
    <row r="50" customFormat="false" ht="12.75" hidden="false" customHeight="true" outlineLevel="0" collapsed="false">
      <c r="A50" s="46" t="s">
        <v>149</v>
      </c>
      <c r="B50" s="47"/>
      <c r="C50" s="74" t="n">
        <f aca="false">GrossMargin!I50</f>
        <v>0</v>
      </c>
      <c r="D50" s="63" t="n">
        <f aca="false">GrossMargin!J50</f>
        <v>12500</v>
      </c>
      <c r="E50" s="214" t="n">
        <f aca="false">C50-D50</f>
        <v>-12500</v>
      </c>
      <c r="F50" s="81"/>
      <c r="G50" s="63" t="n">
        <f aca="false">Expenses!C50</f>
        <v>1155</v>
      </c>
      <c r="H50" s="63" t="n">
        <f aca="false">Expenses!D50</f>
        <v>1155</v>
      </c>
      <c r="I50" s="203" t="n">
        <f aca="false">G50-H50</f>
        <v>0</v>
      </c>
      <c r="J50" s="47"/>
      <c r="K50" s="79" t="n">
        <f aca="false">'Cap Charge'!C50</f>
        <v>0</v>
      </c>
      <c r="L50" s="79" t="n">
        <f aca="false">'Cap Charge'!D50</f>
        <v>447</v>
      </c>
      <c r="M50" s="203" t="n">
        <f aca="false">'Cap Charge'!E50</f>
        <v>447</v>
      </c>
      <c r="N50" s="77"/>
      <c r="O50" s="78" t="n">
        <f aca="false">C50-G50-K50</f>
        <v>-1155</v>
      </c>
      <c r="P50" s="79" t="n">
        <f aca="false">D50-H50-L50</f>
        <v>10898</v>
      </c>
      <c r="Q50" s="203" t="n">
        <f aca="false">O50-P50</f>
        <v>-12053</v>
      </c>
    </row>
    <row r="51" customFormat="false" ht="12.75" hidden="false" customHeight="true" outlineLevel="0" collapsed="false">
      <c r="A51" s="46" t="s">
        <v>150</v>
      </c>
      <c r="B51" s="47"/>
      <c r="C51" s="74" t="n">
        <f aca="false">GrossMargin!I51</f>
        <v>0</v>
      </c>
      <c r="D51" s="63" t="n">
        <f aca="false">GrossMargin!J51</f>
        <v>2500</v>
      </c>
      <c r="E51" s="214" t="n">
        <f aca="false">C51-D51</f>
        <v>-2500</v>
      </c>
      <c r="F51" s="81"/>
      <c r="G51" s="63" t="n">
        <f aca="false">Expenses!C51</f>
        <v>1314</v>
      </c>
      <c r="H51" s="63" t="n">
        <f aca="false">Expenses!D51</f>
        <v>1314</v>
      </c>
      <c r="I51" s="203" t="n">
        <f aca="false">G51-H51</f>
        <v>0</v>
      </c>
      <c r="J51" s="47"/>
      <c r="K51" s="63" t="n">
        <f aca="false">'Cap Charge'!C51</f>
        <v>0</v>
      </c>
      <c r="L51" s="79" t="n">
        <f aca="false">'Cap Charge'!D51</f>
        <v>0</v>
      </c>
      <c r="M51" s="203" t="n">
        <f aca="false">'Cap Charge'!E51</f>
        <v>0</v>
      </c>
      <c r="N51" s="77"/>
      <c r="O51" s="78" t="n">
        <f aca="false">C51-G51-K51</f>
        <v>-1314</v>
      </c>
      <c r="P51" s="79" t="n">
        <f aca="false">D51-H51-L51</f>
        <v>1186</v>
      </c>
      <c r="Q51" s="203" t="n">
        <f aca="false">O51-P51</f>
        <v>-2500</v>
      </c>
    </row>
    <row r="52" customFormat="false" ht="12.75" hidden="false" customHeight="true" outlineLevel="0" collapsed="false">
      <c r="A52" s="101" t="s">
        <v>45</v>
      </c>
      <c r="B52" s="191"/>
      <c r="C52" s="192" t="n">
        <f aca="false">SUM(C46:C51)</f>
        <v>11588</v>
      </c>
      <c r="D52" s="192" t="n">
        <f aca="false">SUM(D46:D51)</f>
        <v>71250</v>
      </c>
      <c r="E52" s="192" t="n">
        <f aca="false">SUM(E46:E51)</f>
        <v>-59662</v>
      </c>
      <c r="F52" s="106"/>
      <c r="G52" s="192" t="n">
        <f aca="false">SUM(G46:G51)</f>
        <v>4683</v>
      </c>
      <c r="H52" s="192" t="n">
        <f aca="false">SUM(H46:H51)</f>
        <v>4683</v>
      </c>
      <c r="I52" s="192" t="n">
        <f aca="false">SUM(I46:I51)</f>
        <v>0</v>
      </c>
      <c r="J52" s="220"/>
      <c r="K52" s="192" t="n">
        <f aca="false">SUM(K46:K51)</f>
        <v>1129</v>
      </c>
      <c r="L52" s="192" t="n">
        <f aca="false">SUM(L46:L51)</f>
        <v>644</v>
      </c>
      <c r="M52" s="192" t="n">
        <f aca="false">SUM(M46:M51)</f>
        <v>-485</v>
      </c>
      <c r="N52" s="111"/>
      <c r="O52" s="192" t="n">
        <f aca="false">SUM(O46:O51)</f>
        <v>5776</v>
      </c>
      <c r="P52" s="192" t="n">
        <f aca="false">SUM(P46:P51)</f>
        <v>65923</v>
      </c>
      <c r="Q52" s="194" t="n">
        <f aca="false">SUM(Q46:Q51)</f>
        <v>-60147</v>
      </c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4"/>
      <c r="BR52" s="94"/>
      <c r="BS52" s="94"/>
      <c r="BT52" s="94"/>
      <c r="BU52" s="94"/>
      <c r="BV52" s="94"/>
      <c r="BW52" s="94"/>
      <c r="BX52" s="94"/>
      <c r="BY52" s="94"/>
      <c r="BZ52" s="94"/>
      <c r="CA52" s="94"/>
      <c r="CB52" s="94"/>
      <c r="CC52" s="94"/>
      <c r="CD52" s="94"/>
      <c r="CE52" s="94"/>
      <c r="CF52" s="94"/>
      <c r="CG52" s="94"/>
      <c r="CH52" s="94"/>
      <c r="CI52" s="94"/>
      <c r="CJ52" s="94"/>
      <c r="CK52" s="94"/>
      <c r="CL52" s="94"/>
      <c r="CM52" s="94"/>
      <c r="CN52" s="94"/>
      <c r="CO52" s="94"/>
      <c r="CP52" s="94"/>
      <c r="CQ52" s="94"/>
      <c r="CR52" s="94"/>
      <c r="CS52" s="94"/>
      <c r="CT52" s="94"/>
      <c r="CU52" s="94"/>
      <c r="CV52" s="94"/>
      <c r="CW52" s="94"/>
      <c r="CX52" s="94"/>
      <c r="CY52" s="94"/>
      <c r="CZ52" s="94"/>
      <c r="DA52" s="94"/>
      <c r="DB52" s="94"/>
      <c r="DC52" s="94"/>
      <c r="DD52" s="94"/>
      <c r="DE52" s="94"/>
      <c r="DF52" s="94"/>
      <c r="DG52" s="94"/>
      <c r="DH52" s="94"/>
      <c r="DI52" s="94"/>
      <c r="DJ52" s="94"/>
      <c r="DK52" s="94"/>
      <c r="DL52" s="94"/>
      <c r="DM52" s="94"/>
      <c r="DN52" s="94"/>
      <c r="DO52" s="94"/>
      <c r="DP52" s="94"/>
      <c r="DQ52" s="94"/>
      <c r="DR52" s="94"/>
      <c r="DS52" s="94"/>
      <c r="DT52" s="94"/>
      <c r="DU52" s="94"/>
      <c r="DV52" s="94"/>
      <c r="DW52" s="94"/>
      <c r="DX52" s="94"/>
      <c r="DY52" s="94"/>
      <c r="DZ52" s="94"/>
      <c r="EA52" s="94"/>
      <c r="EB52" s="94"/>
      <c r="EC52" s="94"/>
      <c r="ED52" s="94"/>
      <c r="EE52" s="94"/>
      <c r="EF52" s="94"/>
      <c r="EG52" s="94"/>
      <c r="EH52" s="94"/>
      <c r="EI52" s="94"/>
      <c r="EJ52" s="94"/>
      <c r="EK52" s="94"/>
      <c r="EL52" s="94"/>
      <c r="EM52" s="94"/>
      <c r="EN52" s="94"/>
      <c r="EO52" s="94"/>
      <c r="EP52" s="94"/>
      <c r="EQ52" s="94"/>
      <c r="ER52" s="94"/>
      <c r="ES52" s="94"/>
      <c r="ET52" s="94"/>
      <c r="EU52" s="94"/>
      <c r="EV52" s="94"/>
      <c r="EW52" s="94"/>
      <c r="EX52" s="94"/>
      <c r="EY52" s="94"/>
      <c r="EZ52" s="94"/>
      <c r="FA52" s="94"/>
      <c r="FB52" s="94"/>
      <c r="FC52" s="94"/>
      <c r="FD52" s="94"/>
      <c r="FE52" s="94"/>
      <c r="FF52" s="94"/>
      <c r="FG52" s="94"/>
      <c r="FH52" s="94"/>
      <c r="FI52" s="94"/>
      <c r="FJ52" s="94"/>
      <c r="FK52" s="94"/>
      <c r="FL52" s="94"/>
      <c r="FM52" s="94"/>
      <c r="FN52" s="94"/>
      <c r="FO52" s="94"/>
      <c r="FP52" s="94"/>
      <c r="FQ52" s="94"/>
      <c r="FR52" s="94"/>
      <c r="FS52" s="94"/>
      <c r="FT52" s="94"/>
      <c r="FU52" s="94"/>
      <c r="FV52" s="94"/>
      <c r="FW52" s="94"/>
      <c r="FX52" s="94"/>
      <c r="FY52" s="94"/>
      <c r="FZ52" s="94"/>
      <c r="GA52" s="94"/>
      <c r="GB52" s="94"/>
      <c r="GC52" s="94"/>
      <c r="GD52" s="94"/>
      <c r="GE52" s="94"/>
      <c r="GF52" s="94"/>
      <c r="GG52" s="94"/>
      <c r="GH52" s="94"/>
      <c r="GI52" s="94"/>
      <c r="GJ52" s="94"/>
      <c r="GK52" s="94"/>
      <c r="GL52" s="94"/>
      <c r="GM52" s="94"/>
      <c r="GN52" s="94"/>
      <c r="GO52" s="94"/>
      <c r="GP52" s="94"/>
      <c r="GQ52" s="94"/>
      <c r="GR52" s="94"/>
      <c r="GS52" s="94"/>
      <c r="GT52" s="94"/>
      <c r="GU52" s="94"/>
      <c r="GV52" s="94"/>
      <c r="GW52" s="94"/>
      <c r="GX52" s="94"/>
      <c r="GY52" s="94"/>
      <c r="GZ52" s="94"/>
      <c r="HA52" s="94"/>
      <c r="HB52" s="94"/>
      <c r="HC52" s="94"/>
      <c r="HD52" s="94"/>
      <c r="HE52" s="94"/>
      <c r="HF52" s="94"/>
      <c r="HG52" s="94"/>
      <c r="HH52" s="94"/>
      <c r="HI52" s="94"/>
      <c r="HJ52" s="94"/>
      <c r="HK52" s="94"/>
      <c r="HL52" s="94"/>
      <c r="HM52" s="94"/>
      <c r="HN52" s="94"/>
      <c r="HO52" s="94"/>
      <c r="HP52" s="94"/>
      <c r="HQ52" s="94"/>
      <c r="HR52" s="94"/>
      <c r="HS52" s="94"/>
      <c r="HT52" s="94"/>
      <c r="HU52" s="94"/>
      <c r="HV52" s="94"/>
      <c r="HW52" s="94"/>
      <c r="HX52" s="94"/>
      <c r="HY52" s="94"/>
      <c r="HZ52" s="94"/>
      <c r="IA52" s="94"/>
      <c r="IB52" s="94"/>
      <c r="IC52" s="94"/>
      <c r="ID52" s="94"/>
      <c r="IE52" s="94"/>
      <c r="IF52" s="94"/>
      <c r="IG52" s="94"/>
      <c r="IH52" s="94"/>
      <c r="II52" s="94"/>
      <c r="IJ52" s="94"/>
      <c r="IK52" s="94"/>
      <c r="IL52" s="94"/>
      <c r="IM52" s="94"/>
      <c r="IN52" s="94"/>
      <c r="IO52" s="94"/>
      <c r="IP52" s="94"/>
      <c r="IQ52" s="94"/>
      <c r="IR52" s="94"/>
      <c r="IS52" s="94"/>
      <c r="IT52" s="94"/>
      <c r="IU52" s="94"/>
      <c r="IV52" s="94"/>
      <c r="IW52" s="94"/>
    </row>
    <row r="53" customFormat="false" ht="12.75" hidden="false" customHeight="true" outlineLevel="0" collapsed="false">
      <c r="A53" s="46" t="s">
        <v>151</v>
      </c>
      <c r="B53" s="47"/>
      <c r="C53" s="74" t="n">
        <f aca="false">GrossMargin!I53</f>
        <v>1406</v>
      </c>
      <c r="D53" s="95" t="n">
        <f aca="false">GrossMargin!J53</f>
        <v>7798</v>
      </c>
      <c r="E53" s="214" t="n">
        <f aca="false">C53-D53</f>
        <v>-6392</v>
      </c>
      <c r="F53" s="81"/>
      <c r="G53" s="78" t="n">
        <f aca="false">Expenses!C53+Expenses!F53</f>
        <v>1948</v>
      </c>
      <c r="H53" s="79" t="n">
        <f aca="false">Expenses!D53+Expenses!G53</f>
        <v>1948</v>
      </c>
      <c r="I53" s="79" t="n">
        <f aca="false">G53-H53</f>
        <v>0</v>
      </c>
      <c r="J53" s="47"/>
      <c r="K53" s="79" t="n">
        <f aca="false">'Cap Charge'!C53</f>
        <v>0</v>
      </c>
      <c r="L53" s="79" t="n">
        <f aca="false">'Cap Charge'!D53</f>
        <v>501</v>
      </c>
      <c r="M53" s="203" t="n">
        <f aca="false">'Cap Charge'!E53</f>
        <v>501</v>
      </c>
      <c r="N53" s="77"/>
      <c r="O53" s="78" t="n">
        <f aca="false">C53-G53-K53</f>
        <v>-542</v>
      </c>
      <c r="P53" s="79" t="n">
        <f aca="false">D53-H53-L53</f>
        <v>5349</v>
      </c>
      <c r="Q53" s="203" t="n">
        <f aca="false">O53-P53</f>
        <v>-5891</v>
      </c>
    </row>
    <row r="54" customFormat="false" ht="12.75" hidden="false" customHeight="true" outlineLevel="0" collapsed="false">
      <c r="A54" s="46" t="s">
        <v>152</v>
      </c>
      <c r="B54" s="47"/>
      <c r="C54" s="74" t="n">
        <f aca="false">GrossMargin!I54</f>
        <v>2687</v>
      </c>
      <c r="D54" s="95" t="n">
        <f aca="false">GrossMargin!J54</f>
        <v>2909</v>
      </c>
      <c r="E54" s="214" t="n">
        <f aca="false">C54-D54</f>
        <v>-222</v>
      </c>
      <c r="F54" s="81"/>
      <c r="G54" s="78" t="n">
        <f aca="false">Expenses!C54+Expenses!F54</f>
        <v>0</v>
      </c>
      <c r="H54" s="79" t="n">
        <f aca="false">Expenses!D54+Expenses!G54</f>
        <v>0</v>
      </c>
      <c r="I54" s="79" t="n">
        <f aca="false">G54-H54</f>
        <v>0</v>
      </c>
      <c r="J54" s="47"/>
      <c r="K54" s="63" t="n">
        <f aca="false">'Cap Charge'!C54</f>
        <v>5450</v>
      </c>
      <c r="L54" s="79" t="n">
        <f aca="false">'Cap Charge'!D54</f>
        <v>6282</v>
      </c>
      <c r="M54" s="203" t="n">
        <f aca="false">'Cap Charge'!E54</f>
        <v>832</v>
      </c>
      <c r="N54" s="77"/>
      <c r="O54" s="78" t="n">
        <f aca="false">C54-G54-K54</f>
        <v>-2763</v>
      </c>
      <c r="P54" s="79" t="n">
        <f aca="false">D54-H54-L54</f>
        <v>-3373</v>
      </c>
      <c r="Q54" s="203" t="n">
        <f aca="false">O54-P54</f>
        <v>610</v>
      </c>
    </row>
    <row r="55" customFormat="false" ht="12.75" hidden="false" customHeight="true" outlineLevel="0" collapsed="false">
      <c r="A55" s="46" t="s">
        <v>153</v>
      </c>
      <c r="B55" s="47"/>
      <c r="C55" s="74" t="n">
        <f aca="false">GrossMargin!I55</f>
        <v>6298</v>
      </c>
      <c r="D55" s="95" t="n">
        <f aca="false">GrossMargin!J55</f>
        <v>6372</v>
      </c>
      <c r="E55" s="214" t="n">
        <f aca="false">C55-D55</f>
        <v>-74</v>
      </c>
      <c r="F55" s="81"/>
      <c r="G55" s="78" t="n">
        <f aca="false">Expenses!C55+Expenses!F55</f>
        <v>18332</v>
      </c>
      <c r="H55" s="79" t="n">
        <f aca="false">Expenses!D55+Expenses!G55</f>
        <v>11857</v>
      </c>
      <c r="I55" s="79" t="n">
        <f aca="false">G55-H55</f>
        <v>6475</v>
      </c>
      <c r="J55" s="47"/>
      <c r="K55" s="63" t="n">
        <f aca="false">'Cap Charge'!C55</f>
        <v>0</v>
      </c>
      <c r="L55" s="79" t="n">
        <f aca="false">'Cap Charge'!D55</f>
        <v>0</v>
      </c>
      <c r="M55" s="203" t="n">
        <f aca="false">'Cap Charge'!E55</f>
        <v>0</v>
      </c>
      <c r="N55" s="77"/>
      <c r="O55" s="78" t="n">
        <f aca="false">C55-G55-K55</f>
        <v>-12034</v>
      </c>
      <c r="P55" s="79" t="n">
        <f aca="false">D55-H55-L55</f>
        <v>-5485</v>
      </c>
      <c r="Q55" s="203" t="n">
        <f aca="false">O55-P55</f>
        <v>-6549</v>
      </c>
    </row>
    <row r="56" customFormat="false" ht="12.75" hidden="false" customHeight="true" outlineLevel="0" collapsed="false">
      <c r="A56" s="46" t="s">
        <v>154</v>
      </c>
      <c r="B56" s="47"/>
      <c r="C56" s="74" t="n">
        <f aca="false">GrossMargin!I56</f>
        <v>505</v>
      </c>
      <c r="D56" s="95" t="n">
        <f aca="false">GrossMargin!J56</f>
        <v>15000</v>
      </c>
      <c r="E56" s="214" t="n">
        <f aca="false">C56-D56</f>
        <v>-14495</v>
      </c>
      <c r="F56" s="215" t="s">
        <v>155</v>
      </c>
      <c r="G56" s="221" t="n">
        <f aca="false">Expenses!C56+Expenses!F56</f>
        <v>1311</v>
      </c>
      <c r="H56" s="222" t="n">
        <f aca="false">Expenses!D56+Expenses!G56</f>
        <v>1311</v>
      </c>
      <c r="I56" s="222" t="n">
        <f aca="false">G56-H56</f>
        <v>0</v>
      </c>
      <c r="J56" s="218"/>
      <c r="K56" s="222" t="n">
        <f aca="false">'Cap Charge'!C56</f>
        <v>41</v>
      </c>
      <c r="L56" s="79" t="n">
        <f aca="false">'Cap Charge'!D56</f>
        <v>0</v>
      </c>
      <c r="M56" s="203" t="n">
        <f aca="false">'Cap Charge'!E56</f>
        <v>-41</v>
      </c>
      <c r="N56" s="77"/>
      <c r="O56" s="78" t="n">
        <f aca="false">C56-G56-K56</f>
        <v>-847</v>
      </c>
      <c r="P56" s="79" t="n">
        <f aca="false">D56-H56-L56</f>
        <v>13689</v>
      </c>
      <c r="Q56" s="203" t="n">
        <f aca="false">O56-P56</f>
        <v>-14536</v>
      </c>
    </row>
    <row r="57" customFormat="false" ht="12.75" hidden="false" customHeight="true" outlineLevel="0" collapsed="false">
      <c r="A57" s="46" t="s">
        <v>156</v>
      </c>
      <c r="B57" s="47"/>
      <c r="C57" s="74" t="n">
        <f aca="false">GrossMargin!I57</f>
        <v>333</v>
      </c>
      <c r="D57" s="95" t="n">
        <f aca="false">GrossMargin!J57</f>
        <v>15675</v>
      </c>
      <c r="E57" s="214" t="n">
        <f aca="false">C57-D57</f>
        <v>-15342</v>
      </c>
      <c r="F57" s="215" t="s">
        <v>157</v>
      </c>
      <c r="G57" s="221" t="n">
        <f aca="false">Expenses!C57+Expenses!F57</f>
        <v>1945</v>
      </c>
      <c r="H57" s="222" t="n">
        <f aca="false">Expenses!D57+Expenses!G57</f>
        <v>1945</v>
      </c>
      <c r="I57" s="222" t="n">
        <f aca="false">G57-H57</f>
        <v>0</v>
      </c>
      <c r="J57" s="218"/>
      <c r="K57" s="216" t="n">
        <f aca="false">'Cap Charge'!C57</f>
        <v>5079</v>
      </c>
      <c r="L57" s="79" t="n">
        <f aca="false">'Cap Charge'!D57</f>
        <v>7759</v>
      </c>
      <c r="M57" s="203" t="n">
        <f aca="false">'Cap Charge'!E57</f>
        <v>2680</v>
      </c>
      <c r="N57" s="77"/>
      <c r="O57" s="78" t="n">
        <f aca="false">C57-G57-K57</f>
        <v>-6691</v>
      </c>
      <c r="P57" s="79" t="n">
        <f aca="false">D57-H57-L57</f>
        <v>5971</v>
      </c>
      <c r="Q57" s="203" t="n">
        <f aca="false">O57-P57</f>
        <v>-12662</v>
      </c>
    </row>
    <row r="58" customFormat="false" ht="12.75" hidden="false" customHeight="true" outlineLevel="0" collapsed="false">
      <c r="A58" s="46" t="s">
        <v>158</v>
      </c>
      <c r="B58" s="47"/>
      <c r="C58" s="74" t="n">
        <f aca="false">GrossMargin!I58</f>
        <v>6662</v>
      </c>
      <c r="D58" s="95" t="n">
        <f aca="false">GrossMargin!J58</f>
        <v>0</v>
      </c>
      <c r="E58" s="214" t="n">
        <f aca="false">C58-D58</f>
        <v>6662</v>
      </c>
      <c r="F58" s="215" t="s">
        <v>159</v>
      </c>
      <c r="G58" s="221" t="n">
        <f aca="false">Expenses!C58+Expenses!F58</f>
        <v>0</v>
      </c>
      <c r="H58" s="222" t="n">
        <f aca="false">Expenses!D58+Expenses!G58</f>
        <v>0</v>
      </c>
      <c r="I58" s="222" t="n">
        <f aca="false">G58-H58</f>
        <v>0</v>
      </c>
      <c r="J58" s="218"/>
      <c r="K58" s="216" t="n">
        <f aca="false">'Cap Charge'!C58</f>
        <v>13944</v>
      </c>
      <c r="L58" s="79" t="n">
        <f aca="false">'Cap Charge'!D58</f>
        <v>6005</v>
      </c>
      <c r="M58" s="203" t="n">
        <f aca="false">'Cap Charge'!E58</f>
        <v>-7939</v>
      </c>
      <c r="N58" s="77"/>
      <c r="O58" s="78" t="n">
        <f aca="false">C58-G58-K58</f>
        <v>-7282</v>
      </c>
      <c r="P58" s="79" t="n">
        <f aca="false">D58-H58-L58</f>
        <v>-6005</v>
      </c>
      <c r="Q58" s="203" t="n">
        <f aca="false">O58-P58</f>
        <v>-1277</v>
      </c>
    </row>
    <row r="59" customFormat="false" ht="12.75" hidden="false" customHeight="true" outlineLevel="0" collapsed="false">
      <c r="A59" s="46" t="s">
        <v>160</v>
      </c>
      <c r="B59" s="80"/>
      <c r="C59" s="74" t="n">
        <f aca="false">GrossMargin!I59</f>
        <v>0</v>
      </c>
      <c r="D59" s="95" t="n">
        <f aca="false">GrossMargin!J59</f>
        <v>5000</v>
      </c>
      <c r="E59" s="214" t="n">
        <f aca="false">C59-D59</f>
        <v>-5000</v>
      </c>
      <c r="F59" s="81"/>
      <c r="G59" s="78" t="n">
        <f aca="false">Expenses!C59+Expenses!F59</f>
        <v>336</v>
      </c>
      <c r="H59" s="79" t="n">
        <f aca="false">Expenses!D59+Expenses!G59</f>
        <v>336</v>
      </c>
      <c r="I59" s="79" t="n">
        <f aca="false">G59-H59</f>
        <v>0</v>
      </c>
      <c r="J59" s="47"/>
      <c r="K59" s="63" t="n">
        <f aca="false">'Cap Charge'!C59</f>
        <v>0</v>
      </c>
      <c r="L59" s="79" t="n">
        <f aca="false">'Cap Charge'!D59</f>
        <v>0</v>
      </c>
      <c r="M59" s="203" t="n">
        <f aca="false">'Cap Charge'!E59</f>
        <v>0</v>
      </c>
      <c r="N59" s="77"/>
      <c r="O59" s="78" t="n">
        <f aca="false">C59-G59-K59</f>
        <v>-336</v>
      </c>
      <c r="P59" s="79" t="n">
        <f aca="false">D59-H59-L59</f>
        <v>4664</v>
      </c>
      <c r="Q59" s="203" t="n">
        <f aca="false">O59-P59</f>
        <v>-5000</v>
      </c>
    </row>
    <row r="60" customFormat="false" ht="12.75" hidden="false" customHeight="true" outlineLevel="0" collapsed="false">
      <c r="A60" s="46" t="s">
        <v>161</v>
      </c>
      <c r="B60" s="80"/>
      <c r="C60" s="74" t="n">
        <f aca="false">GrossMargin!I60</f>
        <v>-402</v>
      </c>
      <c r="D60" s="95" t="n">
        <f aca="false">GrossMargin!J60</f>
        <v>0</v>
      </c>
      <c r="E60" s="214" t="n">
        <f aca="false">C60-D60</f>
        <v>-402</v>
      </c>
      <c r="F60" s="81"/>
      <c r="G60" s="78" t="n">
        <f aca="false">Expenses!C60+Expenses!F60</f>
        <v>994</v>
      </c>
      <c r="H60" s="79" t="n">
        <f aca="false">Expenses!D60+Expenses!G60</f>
        <v>994</v>
      </c>
      <c r="I60" s="79" t="n">
        <f aca="false">G60-H60</f>
        <v>0</v>
      </c>
      <c r="J60" s="47"/>
      <c r="K60" s="63" t="n">
        <f aca="false">'Cap Charge'!C60</f>
        <v>0</v>
      </c>
      <c r="L60" s="79" t="n">
        <f aca="false">'Cap Charge'!D60</f>
        <v>0</v>
      </c>
      <c r="M60" s="203" t="n">
        <f aca="false">'Cap Charge'!E60</f>
        <v>0</v>
      </c>
      <c r="N60" s="77"/>
      <c r="O60" s="78" t="n">
        <f aca="false">C60-G60-K60</f>
        <v>-1396</v>
      </c>
      <c r="P60" s="79" t="n">
        <f aca="false">D60-H60-L60</f>
        <v>-994</v>
      </c>
      <c r="Q60" s="203" t="n">
        <f aca="false">O60-P60</f>
        <v>-402</v>
      </c>
    </row>
    <row r="61" customFormat="false" ht="12.75" hidden="false" customHeight="true" outlineLevel="0" collapsed="false">
      <c r="A61" s="46" t="s">
        <v>162</v>
      </c>
      <c r="B61" s="80"/>
      <c r="C61" s="74" t="n">
        <f aca="false">GrossMargin!I61</f>
        <v>3915</v>
      </c>
      <c r="D61" s="95" t="n">
        <f aca="false">GrossMargin!J61</f>
        <v>0</v>
      </c>
      <c r="E61" s="214" t="n">
        <f aca="false">C61-D61</f>
        <v>3915</v>
      </c>
      <c r="F61" s="81"/>
      <c r="G61" s="78" t="n">
        <f aca="false">Expenses!C61+Expenses!F61</f>
        <v>0</v>
      </c>
      <c r="H61" s="79" t="n">
        <f aca="false">Expenses!D61+Expenses!G61</f>
        <v>0</v>
      </c>
      <c r="I61" s="79" t="n">
        <f aca="false">G61-H61</f>
        <v>0</v>
      </c>
      <c r="J61" s="47"/>
      <c r="K61" s="79" t="n">
        <f aca="false">'Cap Charge'!C61</f>
        <v>0</v>
      </c>
      <c r="L61" s="79" t="n">
        <f aca="false">'Cap Charge'!D61</f>
        <v>0</v>
      </c>
      <c r="M61" s="203" t="n">
        <f aca="false">'Cap Charge'!E61</f>
        <v>0</v>
      </c>
      <c r="N61" s="77"/>
      <c r="O61" s="78" t="n">
        <f aca="false">C61-G61-K61</f>
        <v>3915</v>
      </c>
      <c r="P61" s="79" t="n">
        <f aca="false">D61-H61-L61</f>
        <v>0</v>
      </c>
      <c r="Q61" s="203" t="n">
        <f aca="false">O61-P61</f>
        <v>3915</v>
      </c>
    </row>
    <row r="62" customFormat="false" ht="12.75" hidden="false" customHeight="true" outlineLevel="0" collapsed="false">
      <c r="A62" s="97" t="s">
        <v>163</v>
      </c>
      <c r="B62" s="47"/>
      <c r="C62" s="74" t="n">
        <f aca="false">GrossMargin!I62</f>
        <v>-1188</v>
      </c>
      <c r="D62" s="95" t="n">
        <f aca="false">GrossMargin!J62</f>
        <v>-90004</v>
      </c>
      <c r="E62" s="214" t="n">
        <f aca="false">C62-D62</f>
        <v>88816</v>
      </c>
      <c r="F62" s="81"/>
      <c r="G62" s="78" t="n">
        <f aca="false">Expenses!C62+Expenses!F62</f>
        <v>1292</v>
      </c>
      <c r="H62" s="79" t="n">
        <f aca="false">Expenses!D62+Expenses!G62</f>
        <v>1292</v>
      </c>
      <c r="I62" s="79" t="n">
        <f aca="false">G62-H62</f>
        <v>0</v>
      </c>
      <c r="J62" s="47"/>
      <c r="K62" s="79" t="n">
        <f aca="false">'Cap Charge'!C62</f>
        <v>0</v>
      </c>
      <c r="L62" s="79" t="n">
        <f aca="false">'Cap Charge'!D62</f>
        <v>0</v>
      </c>
      <c r="M62" s="203" t="n">
        <f aca="false">'Cap Charge'!E62</f>
        <v>0</v>
      </c>
      <c r="N62" s="77"/>
      <c r="O62" s="78" t="n">
        <f aca="false">C62-G62-K62</f>
        <v>-2480</v>
      </c>
      <c r="P62" s="79" t="n">
        <f aca="false">D62-H62-L62</f>
        <v>-91296</v>
      </c>
      <c r="Q62" s="203" t="n">
        <f aca="false">O62-P62</f>
        <v>88816</v>
      </c>
    </row>
    <row r="63" customFormat="false" ht="12.75" hidden="false" customHeight="true" outlineLevel="0" collapsed="false">
      <c r="A63" s="97" t="s">
        <v>164</v>
      </c>
      <c r="B63" s="47"/>
      <c r="C63" s="74" t="n">
        <f aca="false">GrossMargin!I63</f>
        <v>0</v>
      </c>
      <c r="D63" s="95"/>
      <c r="E63" s="214" t="n">
        <f aca="false">C63-D63</f>
        <v>0</v>
      </c>
      <c r="F63" s="81"/>
      <c r="G63" s="78" t="n">
        <f aca="false">Expenses!C63+Expenses!F63</f>
        <v>0</v>
      </c>
      <c r="H63" s="79" t="n">
        <f aca="false">Expenses!D63+Expenses!G63</f>
        <v>0</v>
      </c>
      <c r="I63" s="79" t="n">
        <f aca="false">G63-H63</f>
        <v>0</v>
      </c>
      <c r="J63" s="47"/>
      <c r="K63" s="79" t="n">
        <f aca="false">'Cap Charge'!C63</f>
        <v>0</v>
      </c>
      <c r="L63" s="79" t="n">
        <f aca="false">'Cap Charge'!D63</f>
        <v>0</v>
      </c>
      <c r="M63" s="203" t="n">
        <f aca="false">'Cap Charge'!E63</f>
        <v>0</v>
      </c>
      <c r="N63" s="77"/>
      <c r="O63" s="78" t="n">
        <f aca="false">C63-G63-K63</f>
        <v>0</v>
      </c>
      <c r="P63" s="79" t="n">
        <f aca="false">D63-H63-L63</f>
        <v>0</v>
      </c>
      <c r="Q63" s="203" t="n">
        <f aca="false">O63-P63</f>
        <v>0</v>
      </c>
    </row>
    <row r="64" customFormat="false" ht="12.75" hidden="false" customHeight="true" outlineLevel="0" collapsed="false">
      <c r="A64" s="97" t="s">
        <v>165</v>
      </c>
      <c r="B64" s="47"/>
      <c r="C64" s="74" t="n">
        <f aca="false">GrossMargin!I64</f>
        <v>-2395</v>
      </c>
      <c r="D64" s="95" t="n">
        <f aca="false">GrossMargin!J63</f>
        <v>0</v>
      </c>
      <c r="E64" s="214" t="n">
        <f aca="false">C64-D64</f>
        <v>-2395</v>
      </c>
      <c r="F64" s="215" t="s">
        <v>166</v>
      </c>
      <c r="G64" s="221" t="n">
        <f aca="false">Expenses!C64+Expenses!F64</f>
        <v>608</v>
      </c>
      <c r="H64" s="222" t="n">
        <f aca="false">Expenses!D64+Expenses!G64</f>
        <v>608</v>
      </c>
      <c r="I64" s="222" t="n">
        <f aca="false">G64-H64</f>
        <v>0</v>
      </c>
      <c r="J64" s="218"/>
      <c r="K64" s="222" t="n">
        <f aca="false">'Cap Charge'!C64</f>
        <v>-430</v>
      </c>
      <c r="L64" s="79" t="n">
        <f aca="false">'Cap Charge'!D64</f>
        <v>0</v>
      </c>
      <c r="M64" s="203" t="n">
        <f aca="false">'Cap Charge'!E64</f>
        <v>430</v>
      </c>
      <c r="N64" s="77"/>
      <c r="O64" s="78" t="n">
        <f aca="false">C64-G64-K64</f>
        <v>-2573</v>
      </c>
      <c r="P64" s="79" t="n">
        <f aca="false">D64-H64-L64</f>
        <v>-608</v>
      </c>
      <c r="Q64" s="203" t="n">
        <f aca="false">O64-P64</f>
        <v>-1965</v>
      </c>
    </row>
    <row r="65" customFormat="false" ht="12.75" hidden="false" customHeight="true" outlineLevel="0" collapsed="false">
      <c r="A65" s="101" t="s">
        <v>66</v>
      </c>
      <c r="B65" s="102"/>
      <c r="C65" s="223" t="n">
        <f aca="false">(SUM(C53:C64))+C23+C31+C45+C52</f>
        <v>103222</v>
      </c>
      <c r="D65" s="224" t="n">
        <f aca="false">SUM(D53:D64)+D52+D45+D31+D23</f>
        <v>355405</v>
      </c>
      <c r="E65" s="194" t="n">
        <f aca="false">SUM(E53:E64)+E52+E45+E31+E23</f>
        <v>-252183</v>
      </c>
      <c r="F65" s="106" t="n">
        <f aca="false">SUM(F53:F64)+F52+F45+F31+F23</f>
        <v>0</v>
      </c>
      <c r="G65" s="195" t="n">
        <f aca="false">(SUM(G53:G64))+G23+G31+G45+G52</f>
        <v>63754</v>
      </c>
      <c r="H65" s="196" t="n">
        <f aca="false">SUM(H53:H64)+H52+H45+H31+H23</f>
        <v>56913</v>
      </c>
      <c r="I65" s="196" t="n">
        <f aca="false">SUM(I53:I64)+I52+I45+I31+I23</f>
        <v>6841</v>
      </c>
      <c r="J65" s="165" t="n">
        <f aca="false">SUM(J53:J64)+J52+J45+J31+J23</f>
        <v>0</v>
      </c>
      <c r="K65" s="196" t="n">
        <f aca="false">SUM(K53:K64)+K52+K45+K31+K23</f>
        <v>47264</v>
      </c>
      <c r="L65" s="196" t="n">
        <f aca="false">SUM(L53:L64)+L52+L45+L31+L23</f>
        <v>42403</v>
      </c>
      <c r="M65" s="197" t="n">
        <f aca="false">SUM(M53:M64)+M52+M45+M31+M23</f>
        <v>-4861</v>
      </c>
      <c r="N65" s="111" t="n">
        <f aca="false">SUM(N53:N64)+N52+N45+N31+N23</f>
        <v>0</v>
      </c>
      <c r="O65" s="195" t="n">
        <f aca="false">SUM(O53:O64)+O52+O45+O31+O23</f>
        <v>-7796</v>
      </c>
      <c r="P65" s="196" t="n">
        <f aca="false">SUM(P53:P64)+P52+P45+P31+P23</f>
        <v>256089</v>
      </c>
      <c r="Q65" s="197" t="n">
        <f aca="false">SUM(Q53:Q64)+Q52+Q45+Q31+Q23</f>
        <v>-263885</v>
      </c>
      <c r="R65" s="98"/>
      <c r="S65" s="98"/>
      <c r="T65" s="225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98"/>
      <c r="BD65" s="98"/>
      <c r="BE65" s="98"/>
      <c r="BF65" s="98"/>
      <c r="BG65" s="98"/>
      <c r="BH65" s="98"/>
      <c r="BI65" s="98"/>
      <c r="BJ65" s="98"/>
      <c r="BK65" s="98"/>
      <c r="BL65" s="98"/>
      <c r="BM65" s="98"/>
      <c r="BN65" s="98"/>
      <c r="BO65" s="98"/>
      <c r="BP65" s="98"/>
      <c r="BQ65" s="98"/>
      <c r="BR65" s="98"/>
      <c r="BS65" s="98"/>
      <c r="BT65" s="98"/>
      <c r="BU65" s="98"/>
      <c r="BV65" s="98"/>
      <c r="BW65" s="98"/>
      <c r="BX65" s="98"/>
      <c r="BY65" s="98"/>
      <c r="BZ65" s="98"/>
      <c r="CA65" s="98"/>
      <c r="CB65" s="98"/>
      <c r="CC65" s="98"/>
      <c r="CD65" s="98"/>
      <c r="CE65" s="98"/>
      <c r="CF65" s="98"/>
      <c r="CG65" s="98"/>
      <c r="CH65" s="98"/>
      <c r="CI65" s="98"/>
      <c r="CJ65" s="98"/>
      <c r="CK65" s="98"/>
      <c r="CL65" s="98"/>
      <c r="CM65" s="98"/>
      <c r="CN65" s="98"/>
      <c r="CO65" s="98"/>
      <c r="CP65" s="98"/>
      <c r="CQ65" s="98"/>
      <c r="CR65" s="98"/>
      <c r="CS65" s="98"/>
      <c r="CT65" s="98"/>
      <c r="CU65" s="98"/>
      <c r="CV65" s="98"/>
      <c r="CW65" s="98"/>
      <c r="CX65" s="98"/>
      <c r="CY65" s="98"/>
      <c r="CZ65" s="98"/>
      <c r="DA65" s="98"/>
      <c r="DB65" s="98"/>
      <c r="DC65" s="98"/>
      <c r="DD65" s="98"/>
      <c r="DE65" s="98"/>
      <c r="DF65" s="98"/>
      <c r="DG65" s="98"/>
      <c r="DH65" s="98"/>
      <c r="DI65" s="98"/>
      <c r="DJ65" s="98"/>
      <c r="DK65" s="98"/>
      <c r="DL65" s="98"/>
      <c r="DM65" s="98"/>
      <c r="DN65" s="98"/>
      <c r="DO65" s="98"/>
      <c r="DP65" s="98"/>
      <c r="DQ65" s="98"/>
      <c r="DR65" s="98"/>
      <c r="DS65" s="98"/>
      <c r="DT65" s="98"/>
      <c r="DU65" s="98"/>
      <c r="DV65" s="98"/>
      <c r="DW65" s="98"/>
      <c r="DX65" s="98"/>
      <c r="DY65" s="98"/>
      <c r="DZ65" s="98"/>
      <c r="EA65" s="98"/>
      <c r="EB65" s="98"/>
      <c r="EC65" s="98"/>
      <c r="ED65" s="98"/>
      <c r="EE65" s="98"/>
      <c r="EF65" s="98"/>
      <c r="EG65" s="98"/>
      <c r="EH65" s="98"/>
      <c r="EI65" s="98"/>
      <c r="EJ65" s="98"/>
      <c r="EK65" s="98"/>
      <c r="EL65" s="98"/>
      <c r="EM65" s="98"/>
      <c r="EN65" s="98"/>
      <c r="EO65" s="98"/>
      <c r="EP65" s="98"/>
      <c r="EQ65" s="98"/>
      <c r="ER65" s="98"/>
      <c r="ES65" s="98"/>
      <c r="ET65" s="98"/>
      <c r="EU65" s="98"/>
      <c r="EV65" s="98"/>
      <c r="EW65" s="98"/>
      <c r="EX65" s="98"/>
      <c r="EY65" s="98"/>
      <c r="EZ65" s="98"/>
      <c r="FA65" s="98"/>
      <c r="FB65" s="98"/>
      <c r="FC65" s="98"/>
      <c r="FD65" s="98"/>
      <c r="FE65" s="98"/>
      <c r="FF65" s="98"/>
      <c r="FG65" s="98"/>
      <c r="FH65" s="98"/>
      <c r="FI65" s="98"/>
      <c r="FJ65" s="98"/>
      <c r="FK65" s="98"/>
      <c r="FL65" s="98"/>
      <c r="FM65" s="98"/>
      <c r="FN65" s="98"/>
      <c r="FO65" s="98"/>
      <c r="FP65" s="98"/>
      <c r="FQ65" s="98"/>
      <c r="FR65" s="98"/>
      <c r="FS65" s="98"/>
      <c r="FT65" s="98"/>
      <c r="FU65" s="98"/>
      <c r="FV65" s="98"/>
      <c r="FW65" s="98"/>
      <c r="FX65" s="98"/>
      <c r="FY65" s="98"/>
      <c r="FZ65" s="98"/>
      <c r="GA65" s="98"/>
      <c r="GB65" s="98"/>
      <c r="GC65" s="98"/>
      <c r="GD65" s="98"/>
      <c r="GE65" s="98"/>
      <c r="GF65" s="98"/>
      <c r="GG65" s="98"/>
      <c r="GH65" s="98"/>
      <c r="GI65" s="98"/>
      <c r="GJ65" s="98"/>
      <c r="GK65" s="98"/>
      <c r="GL65" s="98"/>
      <c r="GM65" s="98"/>
      <c r="GN65" s="98"/>
      <c r="GO65" s="98"/>
      <c r="GP65" s="98"/>
      <c r="GQ65" s="98"/>
      <c r="GR65" s="98"/>
      <c r="GS65" s="98"/>
      <c r="GT65" s="98"/>
      <c r="GU65" s="98"/>
      <c r="GV65" s="98"/>
      <c r="GW65" s="98"/>
      <c r="GX65" s="98"/>
      <c r="GY65" s="98"/>
      <c r="GZ65" s="98"/>
      <c r="HA65" s="98"/>
      <c r="HB65" s="98"/>
      <c r="HC65" s="98"/>
      <c r="HD65" s="98"/>
      <c r="HE65" s="98"/>
      <c r="HF65" s="98"/>
      <c r="HG65" s="98"/>
      <c r="HH65" s="98"/>
      <c r="HI65" s="98"/>
      <c r="HJ65" s="98"/>
      <c r="HK65" s="98"/>
      <c r="HL65" s="98"/>
      <c r="HM65" s="98"/>
      <c r="HN65" s="98"/>
      <c r="HO65" s="98"/>
      <c r="HP65" s="98"/>
      <c r="HQ65" s="98"/>
      <c r="HR65" s="98"/>
      <c r="HS65" s="98"/>
      <c r="HT65" s="98"/>
      <c r="HU65" s="98"/>
      <c r="HV65" s="98"/>
      <c r="HW65" s="98"/>
      <c r="HX65" s="98"/>
      <c r="HY65" s="98"/>
      <c r="HZ65" s="98"/>
      <c r="IA65" s="98"/>
      <c r="IB65" s="98"/>
      <c r="IC65" s="98"/>
      <c r="ID65" s="98"/>
      <c r="IE65" s="98"/>
      <c r="IF65" s="98"/>
      <c r="IG65" s="98"/>
      <c r="IH65" s="98"/>
      <c r="II65" s="98"/>
      <c r="IJ65" s="98"/>
      <c r="IK65" s="98"/>
      <c r="IL65" s="98"/>
      <c r="IM65" s="98"/>
      <c r="IN65" s="98"/>
      <c r="IO65" s="98"/>
      <c r="IP65" s="98"/>
      <c r="IQ65" s="98"/>
      <c r="IR65" s="98"/>
      <c r="IS65" s="98"/>
      <c r="IT65" s="98"/>
      <c r="IU65" s="98"/>
      <c r="IV65" s="98"/>
      <c r="IW65" s="98"/>
    </row>
    <row r="66" customFormat="false" ht="7.5" hidden="false" customHeight="true" outlineLevel="0" collapsed="false">
      <c r="A66" s="97"/>
      <c r="B66" s="47"/>
      <c r="C66" s="114"/>
      <c r="D66" s="95"/>
      <c r="E66" s="76"/>
      <c r="F66" s="81"/>
      <c r="G66" s="226"/>
      <c r="H66" s="79"/>
      <c r="I66" s="79"/>
      <c r="J66" s="47"/>
      <c r="K66" s="79"/>
      <c r="L66" s="79"/>
      <c r="M66" s="67"/>
      <c r="N66" s="77"/>
      <c r="O66" s="78"/>
      <c r="P66" s="79"/>
      <c r="Q66" s="67"/>
    </row>
    <row r="67" customFormat="false" ht="12.75" hidden="true" customHeight="true" outlineLevel="0" collapsed="false">
      <c r="A67" s="97" t="s">
        <v>67</v>
      </c>
      <c r="B67" s="47"/>
      <c r="C67" s="79" t="n">
        <v>0</v>
      </c>
      <c r="D67" s="79" t="n">
        <v>0</v>
      </c>
      <c r="E67" s="76" t="n">
        <f aca="false">-D67+C67</f>
        <v>0</v>
      </c>
      <c r="F67" s="81"/>
      <c r="G67" s="63" t="n">
        <f aca="false">Expenses!C67+Expenses!F67</f>
        <v>2629</v>
      </c>
      <c r="H67" s="63" t="n">
        <f aca="false">Expenses!D67+Expenses!G67</f>
        <v>2629</v>
      </c>
      <c r="I67" s="203" t="n">
        <f aca="false">H67-G67</f>
        <v>0</v>
      </c>
      <c r="J67" s="47"/>
      <c r="K67" s="66" t="n">
        <v>0</v>
      </c>
      <c r="L67" s="66" t="n">
        <v>0</v>
      </c>
      <c r="M67" s="203" t="n">
        <f aca="false">L67-K67</f>
        <v>0</v>
      </c>
      <c r="N67" s="77"/>
      <c r="O67" s="78" t="n">
        <f aca="false">C67-G67-K67</f>
        <v>-2629</v>
      </c>
      <c r="P67" s="79" t="n">
        <f aca="false">D67-H67-L67</f>
        <v>-2629</v>
      </c>
      <c r="Q67" s="67" t="n">
        <f aca="false">O67-P67</f>
        <v>0</v>
      </c>
    </row>
    <row r="68" customFormat="false" ht="12.75" hidden="true" customHeight="true" outlineLevel="0" collapsed="false">
      <c r="A68" s="97" t="s">
        <v>68</v>
      </c>
      <c r="B68" s="47"/>
      <c r="C68" s="79" t="n">
        <v>0</v>
      </c>
      <c r="D68" s="79" t="n">
        <v>0</v>
      </c>
      <c r="E68" s="76" t="n">
        <f aca="false">-D68+C68</f>
        <v>0</v>
      </c>
      <c r="F68" s="81"/>
      <c r="G68" s="63" t="n">
        <f aca="false">Expenses!C68+Expenses!F68</f>
        <v>499</v>
      </c>
      <c r="H68" s="63" t="n">
        <f aca="false">Expenses!D68+Expenses!G68</f>
        <v>499</v>
      </c>
      <c r="I68" s="203" t="n">
        <f aca="false">H68-G68</f>
        <v>0</v>
      </c>
      <c r="J68" s="47"/>
      <c r="K68" s="66" t="n">
        <v>0</v>
      </c>
      <c r="L68" s="66" t="n">
        <v>0</v>
      </c>
      <c r="M68" s="203" t="n">
        <f aca="false">L68-K68</f>
        <v>0</v>
      </c>
      <c r="N68" s="77"/>
      <c r="O68" s="78" t="n">
        <f aca="false">C68-G68-K68</f>
        <v>-499</v>
      </c>
      <c r="P68" s="79" t="n">
        <f aca="false">D68-H68-L68</f>
        <v>-499</v>
      </c>
      <c r="Q68" s="67" t="n">
        <f aca="false">O68-P68</f>
        <v>0</v>
      </c>
    </row>
    <row r="69" customFormat="false" ht="12.75" hidden="true" customHeight="true" outlineLevel="0" collapsed="false">
      <c r="A69" s="97" t="s">
        <v>69</v>
      </c>
      <c r="B69" s="47"/>
      <c r="C69" s="79" t="n">
        <v>0</v>
      </c>
      <c r="D69" s="79" t="n">
        <v>0</v>
      </c>
      <c r="E69" s="76" t="n">
        <f aca="false">-D69+C69</f>
        <v>0</v>
      </c>
      <c r="F69" s="81"/>
      <c r="G69" s="63" t="n">
        <f aca="false">Expenses!C69+Expenses!F69</f>
        <v>1419</v>
      </c>
      <c r="H69" s="63" t="n">
        <f aca="false">Expenses!D69+Expenses!G69</f>
        <v>1419</v>
      </c>
      <c r="I69" s="203" t="n">
        <f aca="false">H69-G69</f>
        <v>0</v>
      </c>
      <c r="J69" s="47"/>
      <c r="K69" s="66" t="n">
        <v>0</v>
      </c>
      <c r="L69" s="66" t="n">
        <v>0</v>
      </c>
      <c r="M69" s="203" t="n">
        <f aca="false">L69-K69</f>
        <v>0</v>
      </c>
      <c r="N69" s="77"/>
      <c r="O69" s="78" t="n">
        <f aca="false">C69-G69-K69</f>
        <v>-1419</v>
      </c>
      <c r="P69" s="79" t="n">
        <f aca="false">D69-H69-L69</f>
        <v>-1419</v>
      </c>
      <c r="Q69" s="67" t="n">
        <f aca="false">O69-P69</f>
        <v>0</v>
      </c>
    </row>
    <row r="70" customFormat="false" ht="12.75" hidden="true" customHeight="true" outlineLevel="0" collapsed="false">
      <c r="A70" s="97" t="s">
        <v>70</v>
      </c>
      <c r="B70" s="47"/>
      <c r="C70" s="79" t="n">
        <v>0</v>
      </c>
      <c r="D70" s="79" t="n">
        <v>0</v>
      </c>
      <c r="E70" s="76" t="n">
        <f aca="false">-D70+C70</f>
        <v>0</v>
      </c>
      <c r="F70" s="81"/>
      <c r="G70" s="63" t="n">
        <f aca="false">Expenses!C70+Expenses!F70</f>
        <v>10143</v>
      </c>
      <c r="H70" s="63" t="n">
        <f aca="false">Expenses!D70+Expenses!G70</f>
        <v>10143</v>
      </c>
      <c r="I70" s="203" t="n">
        <f aca="false">H70-G70</f>
        <v>0</v>
      </c>
      <c r="J70" s="47"/>
      <c r="K70" s="66" t="n">
        <v>0</v>
      </c>
      <c r="L70" s="66" t="n">
        <v>0</v>
      </c>
      <c r="M70" s="203" t="n">
        <f aca="false">L70-K70</f>
        <v>0</v>
      </c>
      <c r="N70" s="77"/>
      <c r="O70" s="78" t="n">
        <f aca="false">C70-G70-K70</f>
        <v>-10143</v>
      </c>
      <c r="P70" s="79" t="n">
        <f aca="false">D70-H70-L70</f>
        <v>-10143</v>
      </c>
      <c r="Q70" s="67" t="n">
        <f aca="false">O70-P70</f>
        <v>0</v>
      </c>
    </row>
    <row r="71" customFormat="false" ht="12.75" hidden="true" customHeight="true" outlineLevel="0" collapsed="false">
      <c r="A71" s="97" t="s">
        <v>71</v>
      </c>
      <c r="B71" s="47"/>
      <c r="C71" s="79" t="n">
        <v>0</v>
      </c>
      <c r="D71" s="79" t="n">
        <v>0</v>
      </c>
      <c r="E71" s="76" t="n">
        <f aca="false">-D71+C71</f>
        <v>0</v>
      </c>
      <c r="F71" s="81"/>
      <c r="G71" s="63" t="n">
        <f aca="false">Expenses!C71+Expenses!F71</f>
        <v>1204</v>
      </c>
      <c r="H71" s="63" t="n">
        <f aca="false">Expenses!D71+Expenses!G71</f>
        <v>1204</v>
      </c>
      <c r="I71" s="203" t="n">
        <f aca="false">H71-G71</f>
        <v>0</v>
      </c>
      <c r="J71" s="47"/>
      <c r="K71" s="66" t="n">
        <v>0</v>
      </c>
      <c r="L71" s="66" t="n">
        <v>0</v>
      </c>
      <c r="M71" s="203" t="n">
        <f aca="false">L71-K71</f>
        <v>0</v>
      </c>
      <c r="N71" s="77"/>
      <c r="O71" s="78" t="n">
        <f aca="false">C71-G71-K71</f>
        <v>-1204</v>
      </c>
      <c r="P71" s="79" t="n">
        <f aca="false">D71-H71-L71</f>
        <v>-1204</v>
      </c>
      <c r="Q71" s="67" t="n">
        <f aca="false">O71-P71</f>
        <v>0</v>
      </c>
    </row>
    <row r="72" customFormat="false" ht="12.75" hidden="true" customHeight="true" outlineLevel="0" collapsed="false">
      <c r="A72" s="97" t="s">
        <v>72</v>
      </c>
      <c r="B72" s="47"/>
      <c r="C72" s="79" t="n">
        <v>0</v>
      </c>
      <c r="D72" s="79" t="n">
        <v>0</v>
      </c>
      <c r="E72" s="76" t="n">
        <f aca="false">-D72+C72</f>
        <v>0</v>
      </c>
      <c r="F72" s="81"/>
      <c r="G72" s="63" t="n">
        <f aca="false">Expenses!C72+Expenses!F72</f>
        <v>2251</v>
      </c>
      <c r="H72" s="63" t="n">
        <f aca="false">Expenses!D72+Expenses!G72</f>
        <v>2251</v>
      </c>
      <c r="I72" s="203" t="n">
        <f aca="false">H72-G72</f>
        <v>0</v>
      </c>
      <c r="J72" s="47"/>
      <c r="K72" s="66" t="n">
        <v>0</v>
      </c>
      <c r="L72" s="66" t="n">
        <v>0</v>
      </c>
      <c r="M72" s="203" t="n">
        <f aca="false">L72-K72</f>
        <v>0</v>
      </c>
      <c r="N72" s="77"/>
      <c r="O72" s="78" t="n">
        <f aca="false">C72-G72-K72</f>
        <v>-2251</v>
      </c>
      <c r="P72" s="79" t="n">
        <f aca="false">D72-H72-L72</f>
        <v>-2251</v>
      </c>
      <c r="Q72" s="67" t="n">
        <f aca="false">O72-P72</f>
        <v>0</v>
      </c>
    </row>
    <row r="73" customFormat="false" ht="12.75" hidden="true" customHeight="true" outlineLevel="0" collapsed="false">
      <c r="A73" s="97" t="s">
        <v>73</v>
      </c>
      <c r="B73" s="47"/>
      <c r="C73" s="79" t="n">
        <v>0</v>
      </c>
      <c r="D73" s="79" t="n">
        <v>0</v>
      </c>
      <c r="E73" s="76" t="n">
        <f aca="false">-D73+C73</f>
        <v>0</v>
      </c>
      <c r="F73" s="81"/>
      <c r="G73" s="63" t="n">
        <f aca="false">Expenses!C73+Expenses!F73</f>
        <v>318</v>
      </c>
      <c r="H73" s="63" t="n">
        <f aca="false">Expenses!D73+Expenses!G73</f>
        <v>318</v>
      </c>
      <c r="I73" s="203" t="n">
        <f aca="false">H73-G73</f>
        <v>0</v>
      </c>
      <c r="J73" s="47"/>
      <c r="K73" s="66" t="n">
        <v>0</v>
      </c>
      <c r="L73" s="66" t="n">
        <v>0</v>
      </c>
      <c r="M73" s="203" t="n">
        <f aca="false">L73-K73</f>
        <v>0</v>
      </c>
      <c r="N73" s="77"/>
      <c r="O73" s="78" t="n">
        <f aca="false">C73-G73-K73</f>
        <v>-318</v>
      </c>
      <c r="P73" s="79" t="n">
        <f aca="false">D73-H73-L73</f>
        <v>-318</v>
      </c>
      <c r="Q73" s="67" t="n">
        <f aca="false">O73-P73</f>
        <v>0</v>
      </c>
    </row>
    <row r="74" customFormat="false" ht="12.75" hidden="true" customHeight="true" outlineLevel="0" collapsed="false">
      <c r="A74" s="97" t="s">
        <v>74</v>
      </c>
      <c r="B74" s="47"/>
      <c r="C74" s="79" t="n">
        <v>0</v>
      </c>
      <c r="D74" s="79" t="n">
        <v>0</v>
      </c>
      <c r="E74" s="76" t="n">
        <f aca="false">-D74+C74</f>
        <v>0</v>
      </c>
      <c r="F74" s="81"/>
      <c r="G74" s="63" t="n">
        <f aca="false">Expenses!C74+Expenses!F74</f>
        <v>575</v>
      </c>
      <c r="H74" s="63" t="n">
        <f aca="false">Expenses!D74+Expenses!G74</f>
        <v>575</v>
      </c>
      <c r="I74" s="203" t="n">
        <f aca="false">H74-G74</f>
        <v>0</v>
      </c>
      <c r="J74" s="47"/>
      <c r="K74" s="66" t="n">
        <v>0</v>
      </c>
      <c r="L74" s="66" t="n">
        <v>0</v>
      </c>
      <c r="M74" s="203" t="n">
        <f aca="false">L74-K74</f>
        <v>0</v>
      </c>
      <c r="N74" s="77"/>
      <c r="O74" s="78" t="n">
        <f aca="false">C74-G74-K74</f>
        <v>-575</v>
      </c>
      <c r="P74" s="79" t="n">
        <f aca="false">D74-H74-L74</f>
        <v>-575</v>
      </c>
      <c r="Q74" s="67" t="n">
        <f aca="false">O74-P74</f>
        <v>0</v>
      </c>
    </row>
    <row r="75" customFormat="false" ht="12.75" hidden="true" customHeight="true" outlineLevel="0" collapsed="false">
      <c r="A75" s="97" t="s">
        <v>75</v>
      </c>
      <c r="B75" s="47"/>
      <c r="C75" s="79" t="n">
        <v>0</v>
      </c>
      <c r="D75" s="79" t="n">
        <v>0</v>
      </c>
      <c r="E75" s="76" t="n">
        <f aca="false">-D75+C75</f>
        <v>0</v>
      </c>
      <c r="F75" s="81"/>
      <c r="G75" s="63" t="n">
        <f aca="false">Expenses!C75+Expenses!F75</f>
        <v>545</v>
      </c>
      <c r="H75" s="63" t="n">
        <f aca="false">Expenses!D75+Expenses!G75</f>
        <v>545</v>
      </c>
      <c r="I75" s="203" t="n">
        <f aca="false">H75-G75</f>
        <v>0</v>
      </c>
      <c r="J75" s="47"/>
      <c r="K75" s="66" t="n">
        <v>0</v>
      </c>
      <c r="L75" s="66" t="n">
        <v>0</v>
      </c>
      <c r="M75" s="203" t="n">
        <f aca="false">L75-K75</f>
        <v>0</v>
      </c>
      <c r="N75" s="77"/>
      <c r="O75" s="78" t="n">
        <f aca="false">C75-G75-K75</f>
        <v>-545</v>
      </c>
      <c r="P75" s="79" t="n">
        <f aca="false">D75-H75-L75</f>
        <v>-545</v>
      </c>
      <c r="Q75" s="67" t="n">
        <f aca="false">O75-P75</f>
        <v>0</v>
      </c>
    </row>
    <row r="76" customFormat="false" ht="12.75" hidden="true" customHeight="true" outlineLevel="0" collapsed="false">
      <c r="A76" s="97" t="s">
        <v>76</v>
      </c>
      <c r="B76" s="47"/>
      <c r="C76" s="79" t="n">
        <v>0</v>
      </c>
      <c r="D76" s="79" t="n">
        <v>0</v>
      </c>
      <c r="E76" s="76" t="n">
        <f aca="false">-D76+C76</f>
        <v>0</v>
      </c>
      <c r="F76" s="81"/>
      <c r="G76" s="63" t="n">
        <f aca="false">Expenses!C76+Expenses!F76</f>
        <v>198</v>
      </c>
      <c r="H76" s="63" t="n">
        <f aca="false">Expenses!D76+Expenses!G76</f>
        <v>198</v>
      </c>
      <c r="I76" s="203" t="n">
        <f aca="false">H76-G76</f>
        <v>0</v>
      </c>
      <c r="J76" s="47"/>
      <c r="K76" s="66" t="n">
        <v>0</v>
      </c>
      <c r="L76" s="66" t="n">
        <v>0</v>
      </c>
      <c r="M76" s="203" t="n">
        <f aca="false">L76-K76</f>
        <v>0</v>
      </c>
      <c r="N76" s="77"/>
      <c r="O76" s="78" t="n">
        <f aca="false">C76-G76-K76</f>
        <v>-198</v>
      </c>
      <c r="P76" s="79" t="n">
        <f aca="false">D76-H76-L76</f>
        <v>-198</v>
      </c>
      <c r="Q76" s="67" t="n">
        <f aca="false">O76-P76</f>
        <v>0</v>
      </c>
    </row>
    <row r="77" customFormat="false" ht="12.75" hidden="true" customHeight="true" outlineLevel="0" collapsed="false">
      <c r="A77" s="97" t="s">
        <v>77</v>
      </c>
      <c r="B77" s="47"/>
      <c r="C77" s="79" t="n">
        <v>0</v>
      </c>
      <c r="D77" s="79" t="n">
        <v>0</v>
      </c>
      <c r="E77" s="76" t="n">
        <f aca="false">-D77+C77</f>
        <v>0</v>
      </c>
      <c r="F77" s="81"/>
      <c r="G77" s="63" t="n">
        <f aca="false">Expenses!C77+Expenses!F77</f>
        <v>682</v>
      </c>
      <c r="H77" s="63" t="n">
        <f aca="false">Expenses!D77+Expenses!G77</f>
        <v>682</v>
      </c>
      <c r="I77" s="203" t="n">
        <f aca="false">H77-G77</f>
        <v>0</v>
      </c>
      <c r="J77" s="47"/>
      <c r="K77" s="66" t="n">
        <v>0</v>
      </c>
      <c r="L77" s="66" t="n">
        <v>0</v>
      </c>
      <c r="M77" s="203" t="n">
        <f aca="false">L77-K77</f>
        <v>0</v>
      </c>
      <c r="N77" s="77"/>
      <c r="O77" s="78" t="n">
        <f aca="false">C77-G77-K77</f>
        <v>-682</v>
      </c>
      <c r="P77" s="79" t="n">
        <f aca="false">D77-H77-L77</f>
        <v>-682</v>
      </c>
      <c r="Q77" s="67" t="n">
        <f aca="false">O77-P77</f>
        <v>0</v>
      </c>
    </row>
    <row r="78" customFormat="false" ht="12.75" hidden="true" customHeight="true" outlineLevel="0" collapsed="false">
      <c r="A78" s="97" t="s">
        <v>78</v>
      </c>
      <c r="B78" s="47"/>
      <c r="C78" s="79" t="n">
        <v>0</v>
      </c>
      <c r="D78" s="79" t="n">
        <v>0</v>
      </c>
      <c r="E78" s="76" t="n">
        <f aca="false">-D78+C78</f>
        <v>0</v>
      </c>
      <c r="F78" s="81"/>
      <c r="G78" s="63" t="n">
        <f aca="false">Expenses!C78+Expenses!F78</f>
        <v>1419</v>
      </c>
      <c r="H78" s="63" t="n">
        <f aca="false">Expenses!D78+Expenses!G78</f>
        <v>1419</v>
      </c>
      <c r="I78" s="203" t="n">
        <f aca="false">H78-G78</f>
        <v>0</v>
      </c>
      <c r="J78" s="47"/>
      <c r="K78" s="66" t="n">
        <v>0</v>
      </c>
      <c r="L78" s="66" t="n">
        <v>0</v>
      </c>
      <c r="M78" s="203" t="n">
        <f aca="false">L78-K78</f>
        <v>0</v>
      </c>
      <c r="N78" s="77"/>
      <c r="O78" s="78" t="n">
        <f aca="false">C78-G78-K78</f>
        <v>-1419</v>
      </c>
      <c r="P78" s="79" t="n">
        <f aca="false">D78-H78-L78</f>
        <v>-1419</v>
      </c>
      <c r="Q78" s="67" t="n">
        <f aca="false">O78-P78</f>
        <v>0</v>
      </c>
    </row>
    <row r="79" customFormat="false" ht="12.75" hidden="true" customHeight="true" outlineLevel="0" collapsed="false">
      <c r="A79" s="97" t="s">
        <v>79</v>
      </c>
      <c r="B79" s="47"/>
      <c r="C79" s="79" t="n">
        <v>0</v>
      </c>
      <c r="D79" s="79" t="n">
        <v>0</v>
      </c>
      <c r="E79" s="76" t="n">
        <f aca="false">-D79+C79</f>
        <v>0</v>
      </c>
      <c r="F79" s="81"/>
      <c r="G79" s="63" t="n">
        <f aca="false">Expenses!C79+Expenses!F79</f>
        <v>23075</v>
      </c>
      <c r="H79" s="63" t="n">
        <f aca="false">Expenses!D79+Expenses!G79</f>
        <v>23075</v>
      </c>
      <c r="I79" s="203" t="n">
        <f aca="false">H79-G79</f>
        <v>0</v>
      </c>
      <c r="J79" s="47"/>
      <c r="K79" s="66" t="n">
        <v>0</v>
      </c>
      <c r="L79" s="66" t="n">
        <v>0</v>
      </c>
      <c r="M79" s="203" t="n">
        <f aca="false">L79-K79</f>
        <v>0</v>
      </c>
      <c r="N79" s="77"/>
      <c r="O79" s="78" t="n">
        <f aca="false">C79-G79-K79</f>
        <v>-23075</v>
      </c>
      <c r="P79" s="79" t="n">
        <f aca="false">D79-H79-L79</f>
        <v>-23075</v>
      </c>
      <c r="Q79" s="67" t="n">
        <f aca="false">O79-P79</f>
        <v>0</v>
      </c>
    </row>
    <row r="80" customFormat="false" ht="12.75" hidden="true" customHeight="true" outlineLevel="0" collapsed="false">
      <c r="A80" s="97" t="s">
        <v>80</v>
      </c>
      <c r="B80" s="47"/>
      <c r="C80" s="79" t="n">
        <v>0</v>
      </c>
      <c r="D80" s="79" t="n">
        <v>0</v>
      </c>
      <c r="E80" s="76" t="n">
        <f aca="false">-D80+C80</f>
        <v>0</v>
      </c>
      <c r="F80" s="81"/>
      <c r="G80" s="63" t="n">
        <f aca="false">Expenses!C80+Expenses!F80</f>
        <v>47362</v>
      </c>
      <c r="H80" s="63" t="n">
        <f aca="false">Expenses!D80+Expenses!G80</f>
        <v>46612</v>
      </c>
      <c r="I80" s="203" t="n">
        <f aca="false">H80-G80</f>
        <v>-750</v>
      </c>
      <c r="J80" s="47"/>
      <c r="K80" s="66" t="n">
        <v>0</v>
      </c>
      <c r="L80" s="66" t="n">
        <v>0</v>
      </c>
      <c r="M80" s="203" t="n">
        <f aca="false">L80-K80</f>
        <v>0</v>
      </c>
      <c r="N80" s="77"/>
      <c r="O80" s="78" t="n">
        <f aca="false">C80-G80-K80</f>
        <v>-47362</v>
      </c>
      <c r="P80" s="79" t="n">
        <f aca="false">D80-H80-L80</f>
        <v>-46612</v>
      </c>
      <c r="Q80" s="67" t="n">
        <f aca="false">O80-P80</f>
        <v>-750</v>
      </c>
    </row>
    <row r="81" customFormat="false" ht="12.75" hidden="false" customHeight="true" outlineLevel="0" collapsed="false">
      <c r="A81" s="101" t="s">
        <v>81</v>
      </c>
      <c r="B81" s="102"/>
      <c r="C81" s="223" t="n">
        <f aca="false">SUM(C67:C80)</f>
        <v>0</v>
      </c>
      <c r="D81" s="224" t="n">
        <f aca="false">SUM(D67:D80)</f>
        <v>0</v>
      </c>
      <c r="E81" s="194" t="n">
        <f aca="false">SUM(E67:E80)</f>
        <v>0</v>
      </c>
      <c r="F81" s="106"/>
      <c r="G81" s="195" t="n">
        <f aca="false">SUM(G67:G80)</f>
        <v>92319</v>
      </c>
      <c r="H81" s="196" t="n">
        <f aca="false">SUM(H67:H80)</f>
        <v>91569</v>
      </c>
      <c r="I81" s="196" t="n">
        <f aca="false">SUM(I67:I80)</f>
        <v>-750</v>
      </c>
      <c r="J81" s="165"/>
      <c r="K81" s="196" t="n">
        <f aca="false">SUM(K67:K80)</f>
        <v>0</v>
      </c>
      <c r="L81" s="196" t="n">
        <f aca="false">SUM(L67:L80)</f>
        <v>0</v>
      </c>
      <c r="M81" s="197" t="n">
        <f aca="false">SUM(M67:M80)</f>
        <v>0</v>
      </c>
      <c r="N81" s="111"/>
      <c r="O81" s="195" t="n">
        <f aca="false">SUM(O67:O80)</f>
        <v>-92319</v>
      </c>
      <c r="P81" s="196" t="n">
        <f aca="false">SUM(P67:P80)</f>
        <v>-91569</v>
      </c>
      <c r="Q81" s="197" t="n">
        <f aca="false">SUM(Q67:Q80)</f>
        <v>-750</v>
      </c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98"/>
      <c r="AG81" s="98"/>
      <c r="AH81" s="98"/>
      <c r="AI81" s="98"/>
      <c r="AJ81" s="98"/>
      <c r="AK81" s="98"/>
      <c r="AL81" s="98"/>
      <c r="AM81" s="98"/>
      <c r="AN81" s="98"/>
      <c r="AO81" s="98"/>
      <c r="AP81" s="98"/>
      <c r="AQ81" s="98"/>
      <c r="AR81" s="98"/>
      <c r="AS81" s="98"/>
      <c r="AT81" s="98"/>
      <c r="AU81" s="98"/>
      <c r="AV81" s="98"/>
      <c r="AW81" s="98"/>
      <c r="AX81" s="98"/>
      <c r="AY81" s="98"/>
      <c r="AZ81" s="98"/>
      <c r="BA81" s="98"/>
      <c r="BB81" s="98"/>
      <c r="BC81" s="98"/>
      <c r="BD81" s="98"/>
      <c r="BE81" s="98"/>
      <c r="BF81" s="98"/>
      <c r="BG81" s="98"/>
      <c r="BH81" s="98"/>
      <c r="BI81" s="98"/>
      <c r="BJ81" s="98"/>
      <c r="BK81" s="98"/>
      <c r="BL81" s="98"/>
      <c r="BM81" s="98"/>
      <c r="BN81" s="98"/>
      <c r="BO81" s="98"/>
      <c r="BP81" s="98"/>
      <c r="BQ81" s="98"/>
      <c r="BR81" s="98"/>
      <c r="BS81" s="98"/>
      <c r="BT81" s="98"/>
      <c r="BU81" s="98"/>
      <c r="BV81" s="98"/>
      <c r="BW81" s="98"/>
      <c r="BX81" s="98"/>
      <c r="BY81" s="98"/>
      <c r="BZ81" s="98"/>
      <c r="CA81" s="98"/>
      <c r="CB81" s="98"/>
      <c r="CC81" s="98"/>
      <c r="CD81" s="98"/>
      <c r="CE81" s="98"/>
      <c r="CF81" s="98"/>
      <c r="CG81" s="98"/>
      <c r="CH81" s="98"/>
      <c r="CI81" s="98"/>
      <c r="CJ81" s="98"/>
      <c r="CK81" s="98"/>
      <c r="CL81" s="98"/>
      <c r="CM81" s="98"/>
      <c r="CN81" s="98"/>
      <c r="CO81" s="98"/>
      <c r="CP81" s="98"/>
      <c r="CQ81" s="98"/>
      <c r="CR81" s="98"/>
      <c r="CS81" s="98"/>
      <c r="CT81" s="98"/>
      <c r="CU81" s="98"/>
      <c r="CV81" s="98"/>
      <c r="CW81" s="98"/>
      <c r="CX81" s="98"/>
      <c r="CY81" s="98"/>
      <c r="CZ81" s="98"/>
      <c r="DA81" s="98"/>
      <c r="DB81" s="98"/>
      <c r="DC81" s="98"/>
      <c r="DD81" s="98"/>
      <c r="DE81" s="98"/>
      <c r="DF81" s="98"/>
      <c r="DG81" s="98"/>
      <c r="DH81" s="98"/>
      <c r="DI81" s="98"/>
      <c r="DJ81" s="98"/>
      <c r="DK81" s="98"/>
      <c r="DL81" s="98"/>
      <c r="DM81" s="98"/>
      <c r="DN81" s="98"/>
      <c r="DO81" s="98"/>
      <c r="DP81" s="98"/>
      <c r="DQ81" s="98"/>
      <c r="DR81" s="98"/>
      <c r="DS81" s="98"/>
      <c r="DT81" s="98"/>
      <c r="DU81" s="98"/>
      <c r="DV81" s="98"/>
      <c r="DW81" s="98"/>
      <c r="DX81" s="98"/>
      <c r="DY81" s="98"/>
      <c r="DZ81" s="98"/>
      <c r="EA81" s="98"/>
      <c r="EB81" s="98"/>
      <c r="EC81" s="98"/>
      <c r="ED81" s="98"/>
      <c r="EE81" s="98"/>
      <c r="EF81" s="98"/>
      <c r="EG81" s="98"/>
      <c r="EH81" s="98"/>
      <c r="EI81" s="98"/>
      <c r="EJ81" s="98"/>
      <c r="EK81" s="98"/>
      <c r="EL81" s="98"/>
      <c r="EM81" s="98"/>
      <c r="EN81" s="98"/>
      <c r="EO81" s="98"/>
      <c r="EP81" s="98"/>
      <c r="EQ81" s="98"/>
      <c r="ER81" s="98"/>
      <c r="ES81" s="98"/>
      <c r="ET81" s="98"/>
      <c r="EU81" s="98"/>
      <c r="EV81" s="98"/>
      <c r="EW81" s="98"/>
      <c r="EX81" s="98"/>
      <c r="EY81" s="98"/>
      <c r="EZ81" s="98"/>
      <c r="FA81" s="98"/>
      <c r="FB81" s="98"/>
      <c r="FC81" s="98"/>
      <c r="FD81" s="98"/>
      <c r="FE81" s="98"/>
      <c r="FF81" s="98"/>
      <c r="FG81" s="98"/>
      <c r="FH81" s="98"/>
      <c r="FI81" s="98"/>
      <c r="FJ81" s="98"/>
      <c r="FK81" s="98"/>
      <c r="FL81" s="98"/>
      <c r="FM81" s="98"/>
      <c r="FN81" s="98"/>
      <c r="FO81" s="98"/>
      <c r="FP81" s="98"/>
      <c r="FQ81" s="98"/>
      <c r="FR81" s="98"/>
      <c r="FS81" s="98"/>
      <c r="FT81" s="98"/>
      <c r="FU81" s="98"/>
      <c r="FV81" s="98"/>
      <c r="FW81" s="98"/>
      <c r="FX81" s="98"/>
      <c r="FY81" s="98"/>
      <c r="FZ81" s="98"/>
      <c r="GA81" s="98"/>
      <c r="GB81" s="98"/>
      <c r="GC81" s="98"/>
      <c r="GD81" s="98"/>
      <c r="GE81" s="98"/>
      <c r="GF81" s="98"/>
      <c r="GG81" s="98"/>
      <c r="GH81" s="98"/>
      <c r="GI81" s="98"/>
      <c r="GJ81" s="98"/>
      <c r="GK81" s="98"/>
      <c r="GL81" s="98"/>
      <c r="GM81" s="98"/>
      <c r="GN81" s="98"/>
      <c r="GO81" s="98"/>
      <c r="GP81" s="98"/>
      <c r="GQ81" s="98"/>
      <c r="GR81" s="98"/>
      <c r="GS81" s="98"/>
      <c r="GT81" s="98"/>
      <c r="GU81" s="98"/>
      <c r="GV81" s="98"/>
      <c r="GW81" s="98"/>
      <c r="GX81" s="98"/>
      <c r="GY81" s="98"/>
      <c r="GZ81" s="98"/>
      <c r="HA81" s="98"/>
      <c r="HB81" s="98"/>
      <c r="HC81" s="98"/>
      <c r="HD81" s="98"/>
      <c r="HE81" s="98"/>
      <c r="HF81" s="98"/>
      <c r="HG81" s="98"/>
      <c r="HH81" s="98"/>
      <c r="HI81" s="98"/>
      <c r="HJ81" s="98"/>
      <c r="HK81" s="98"/>
      <c r="HL81" s="98"/>
      <c r="HM81" s="98"/>
      <c r="HN81" s="98"/>
      <c r="HO81" s="98"/>
      <c r="HP81" s="98"/>
      <c r="HQ81" s="98"/>
      <c r="HR81" s="98"/>
      <c r="HS81" s="98"/>
      <c r="HT81" s="98"/>
      <c r="HU81" s="98"/>
      <c r="HV81" s="98"/>
      <c r="HW81" s="98"/>
      <c r="HX81" s="98"/>
      <c r="HY81" s="98"/>
      <c r="HZ81" s="98"/>
      <c r="IA81" s="98"/>
      <c r="IB81" s="98"/>
      <c r="IC81" s="98"/>
      <c r="ID81" s="98"/>
      <c r="IE81" s="98"/>
      <c r="IF81" s="98"/>
      <c r="IG81" s="98"/>
      <c r="IH81" s="98"/>
      <c r="II81" s="98"/>
      <c r="IJ81" s="98"/>
      <c r="IK81" s="98"/>
      <c r="IL81" s="98"/>
      <c r="IM81" s="98"/>
      <c r="IN81" s="98"/>
      <c r="IO81" s="98"/>
      <c r="IP81" s="98"/>
      <c r="IQ81" s="98"/>
      <c r="IR81" s="98"/>
      <c r="IS81" s="98"/>
      <c r="IT81" s="98"/>
      <c r="IU81" s="98"/>
      <c r="IV81" s="98"/>
      <c r="IW81" s="98"/>
    </row>
    <row r="82" customFormat="false" ht="12.75" hidden="false" customHeight="true" outlineLevel="0" collapsed="false">
      <c r="A82" s="99" t="s">
        <v>167</v>
      </c>
      <c r="B82" s="47"/>
      <c r="C82" s="79" t="n">
        <f aca="false">GrossMargin!I82</f>
        <v>0</v>
      </c>
      <c r="D82" s="79" t="n">
        <f aca="false">GrossMargin!J82</f>
        <v>0</v>
      </c>
      <c r="E82" s="214" t="n">
        <f aca="false">-D82+C82</f>
        <v>0</v>
      </c>
      <c r="F82" s="81"/>
      <c r="G82" s="63" t="n">
        <f aca="false">Expenses!C82+Expenses!F82</f>
        <v>37132</v>
      </c>
      <c r="H82" s="63" t="n">
        <f aca="false">Expenses!D82+Expenses!G82</f>
        <v>37132</v>
      </c>
      <c r="I82" s="203" t="n">
        <f aca="false">H82-G82</f>
        <v>0</v>
      </c>
      <c r="J82" s="47"/>
      <c r="K82" s="79" t="n">
        <f aca="false">'Cap Charge'!C82</f>
        <v>0</v>
      </c>
      <c r="L82" s="79" t="n">
        <f aca="false">'Cap Charge'!D82</f>
        <v>0</v>
      </c>
      <c r="M82" s="203" t="n">
        <f aca="false">'Cap Charge'!E82</f>
        <v>0</v>
      </c>
      <c r="N82" s="77"/>
      <c r="O82" s="78" t="n">
        <f aca="false">C82-G82-K82</f>
        <v>-37132</v>
      </c>
      <c r="P82" s="79" t="n">
        <f aca="false">D82-H82-L82</f>
        <v>-37132</v>
      </c>
      <c r="Q82" s="203" t="n">
        <f aca="false">O82-P82</f>
        <v>0</v>
      </c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100"/>
      <c r="AM82" s="100"/>
      <c r="AN82" s="100"/>
      <c r="AO82" s="100"/>
      <c r="AP82" s="100"/>
      <c r="AQ82" s="100"/>
      <c r="AR82" s="100"/>
      <c r="AS82" s="100"/>
      <c r="AT82" s="100"/>
      <c r="AU82" s="100"/>
      <c r="AV82" s="100"/>
      <c r="AW82" s="100"/>
      <c r="AX82" s="100"/>
      <c r="AY82" s="100"/>
      <c r="AZ82" s="100"/>
      <c r="BA82" s="100"/>
      <c r="BB82" s="100"/>
      <c r="BC82" s="100"/>
      <c r="BD82" s="100"/>
      <c r="BE82" s="100"/>
      <c r="BF82" s="100"/>
      <c r="BG82" s="100"/>
      <c r="BH82" s="100"/>
      <c r="BI82" s="100"/>
      <c r="BJ82" s="100"/>
      <c r="BK82" s="100"/>
      <c r="BL82" s="100"/>
      <c r="BM82" s="100"/>
      <c r="BN82" s="100"/>
      <c r="BO82" s="100"/>
      <c r="BP82" s="100"/>
      <c r="BQ82" s="100"/>
      <c r="BR82" s="100"/>
      <c r="BS82" s="100"/>
      <c r="BT82" s="100"/>
      <c r="BU82" s="100"/>
      <c r="BV82" s="100"/>
      <c r="BW82" s="100"/>
      <c r="BX82" s="100"/>
      <c r="BY82" s="100"/>
      <c r="BZ82" s="100"/>
      <c r="CA82" s="100"/>
      <c r="CB82" s="100"/>
      <c r="CC82" s="100"/>
      <c r="CD82" s="100"/>
      <c r="CE82" s="100"/>
      <c r="CF82" s="100"/>
      <c r="CG82" s="100"/>
      <c r="CH82" s="100"/>
      <c r="CI82" s="100"/>
      <c r="CJ82" s="100"/>
      <c r="CK82" s="100"/>
      <c r="CL82" s="100"/>
      <c r="CM82" s="100"/>
      <c r="CN82" s="100"/>
      <c r="CO82" s="100"/>
      <c r="CP82" s="100"/>
      <c r="CQ82" s="100"/>
      <c r="CR82" s="100"/>
      <c r="CS82" s="100"/>
      <c r="CT82" s="100"/>
      <c r="CU82" s="100"/>
      <c r="CV82" s="100"/>
      <c r="CW82" s="100"/>
      <c r="CX82" s="100"/>
      <c r="CY82" s="100"/>
      <c r="CZ82" s="100"/>
      <c r="DA82" s="100"/>
      <c r="DB82" s="100"/>
      <c r="DC82" s="100"/>
      <c r="DD82" s="100"/>
      <c r="DE82" s="100"/>
      <c r="DF82" s="100"/>
      <c r="DG82" s="100"/>
      <c r="DH82" s="100"/>
      <c r="DI82" s="100"/>
      <c r="DJ82" s="100"/>
      <c r="DK82" s="100"/>
      <c r="DL82" s="100"/>
      <c r="DM82" s="100"/>
      <c r="DN82" s="100"/>
      <c r="DO82" s="100"/>
      <c r="DP82" s="100"/>
      <c r="DQ82" s="100"/>
      <c r="DR82" s="100"/>
      <c r="DS82" s="100"/>
      <c r="DT82" s="100"/>
      <c r="DU82" s="100"/>
      <c r="DV82" s="100"/>
      <c r="DW82" s="100"/>
      <c r="DX82" s="100"/>
      <c r="DY82" s="100"/>
      <c r="DZ82" s="100"/>
      <c r="EA82" s="100"/>
      <c r="EB82" s="100"/>
      <c r="EC82" s="100"/>
      <c r="ED82" s="100"/>
      <c r="EE82" s="100"/>
      <c r="EF82" s="100"/>
      <c r="EG82" s="100"/>
      <c r="EH82" s="100"/>
      <c r="EI82" s="100"/>
      <c r="EJ82" s="100"/>
      <c r="EK82" s="100"/>
      <c r="EL82" s="100"/>
      <c r="EM82" s="100"/>
      <c r="EN82" s="100"/>
      <c r="EO82" s="100"/>
      <c r="EP82" s="100"/>
      <c r="EQ82" s="100"/>
      <c r="ER82" s="100"/>
      <c r="ES82" s="100"/>
      <c r="ET82" s="100"/>
      <c r="EU82" s="100"/>
      <c r="EV82" s="100"/>
      <c r="EW82" s="100"/>
      <c r="EX82" s="100"/>
      <c r="EY82" s="100"/>
      <c r="EZ82" s="100"/>
      <c r="FA82" s="100"/>
      <c r="FB82" s="100"/>
      <c r="FC82" s="100"/>
      <c r="FD82" s="100"/>
      <c r="FE82" s="100"/>
      <c r="FF82" s="100"/>
      <c r="FG82" s="100"/>
      <c r="FH82" s="100"/>
      <c r="FI82" s="100"/>
      <c r="FJ82" s="100"/>
      <c r="FK82" s="100"/>
      <c r="FL82" s="100"/>
      <c r="FM82" s="100"/>
      <c r="FN82" s="100"/>
      <c r="FO82" s="100"/>
      <c r="FP82" s="100"/>
      <c r="FQ82" s="100"/>
      <c r="FR82" s="100"/>
      <c r="FS82" s="100"/>
      <c r="FT82" s="100"/>
      <c r="FU82" s="100"/>
      <c r="FV82" s="100"/>
      <c r="FW82" s="100"/>
      <c r="FX82" s="100"/>
      <c r="FY82" s="100"/>
      <c r="FZ82" s="100"/>
      <c r="GA82" s="100"/>
      <c r="GB82" s="100"/>
      <c r="GC82" s="100"/>
      <c r="GD82" s="100"/>
      <c r="GE82" s="100"/>
      <c r="GF82" s="100"/>
      <c r="GG82" s="100"/>
      <c r="GH82" s="100"/>
      <c r="GI82" s="100"/>
      <c r="GJ82" s="100"/>
      <c r="GK82" s="100"/>
      <c r="GL82" s="100"/>
      <c r="GM82" s="100"/>
      <c r="GN82" s="100"/>
      <c r="GO82" s="100"/>
      <c r="GP82" s="100"/>
      <c r="GQ82" s="100"/>
      <c r="GR82" s="100"/>
      <c r="GS82" s="100"/>
      <c r="GT82" s="100"/>
      <c r="GU82" s="100"/>
      <c r="GV82" s="100"/>
      <c r="GW82" s="100"/>
      <c r="GX82" s="100"/>
      <c r="GY82" s="100"/>
      <c r="GZ82" s="100"/>
      <c r="HA82" s="100"/>
      <c r="HB82" s="100"/>
      <c r="HC82" s="100"/>
      <c r="HD82" s="100"/>
      <c r="HE82" s="100"/>
      <c r="HF82" s="100"/>
      <c r="HG82" s="100"/>
      <c r="HH82" s="100"/>
      <c r="HI82" s="100"/>
      <c r="HJ82" s="100"/>
      <c r="HK82" s="100"/>
      <c r="HL82" s="100"/>
      <c r="HM82" s="100"/>
      <c r="HN82" s="100"/>
      <c r="HO82" s="100"/>
      <c r="HP82" s="100"/>
      <c r="HQ82" s="100"/>
      <c r="HR82" s="100"/>
      <c r="HS82" s="100"/>
      <c r="HT82" s="100"/>
      <c r="HU82" s="100"/>
      <c r="HV82" s="100"/>
      <c r="HW82" s="100"/>
      <c r="HX82" s="100"/>
      <c r="HY82" s="100"/>
      <c r="HZ82" s="100"/>
      <c r="IA82" s="100"/>
      <c r="IB82" s="100"/>
      <c r="IC82" s="100"/>
      <c r="ID82" s="100"/>
      <c r="IE82" s="100"/>
      <c r="IF82" s="100"/>
      <c r="IG82" s="100"/>
      <c r="IH82" s="100"/>
      <c r="II82" s="100"/>
      <c r="IJ82" s="100"/>
      <c r="IK82" s="100"/>
      <c r="IL82" s="100"/>
      <c r="IM82" s="100"/>
      <c r="IN82" s="100"/>
      <c r="IO82" s="100"/>
      <c r="IP82" s="100"/>
      <c r="IQ82" s="100"/>
      <c r="IR82" s="100"/>
      <c r="IS82" s="100"/>
      <c r="IT82" s="100"/>
      <c r="IU82" s="100"/>
      <c r="IV82" s="100"/>
      <c r="IW82" s="100"/>
    </row>
    <row r="83" customFormat="false" ht="12.75" hidden="false" customHeight="true" outlineLevel="0" collapsed="false">
      <c r="A83" s="99" t="s">
        <v>168</v>
      </c>
      <c r="B83" s="47"/>
      <c r="C83" s="79" t="n">
        <f aca="false">GrossMargin!I83</f>
        <v>14894</v>
      </c>
      <c r="D83" s="79" t="n">
        <f aca="false">GrossMargin!J83</f>
        <v>28610</v>
      </c>
      <c r="E83" s="214" t="n">
        <f aca="false">-D83+C83</f>
        <v>-13716</v>
      </c>
      <c r="F83" s="81"/>
      <c r="G83" s="63" t="n">
        <f aca="false">Expenses!C83+Expenses!F83</f>
        <v>600</v>
      </c>
      <c r="H83" s="63" t="n">
        <f aca="false">Expenses!D83+Expenses!G83</f>
        <v>600</v>
      </c>
      <c r="I83" s="203" t="n">
        <f aca="false">H83-G83</f>
        <v>0</v>
      </c>
      <c r="J83" s="47"/>
      <c r="K83" s="79" t="n">
        <f aca="false">'Cap Charge'!C83</f>
        <v>0</v>
      </c>
      <c r="L83" s="79" t="n">
        <f aca="false">'Cap Charge'!D83</f>
        <v>0</v>
      </c>
      <c r="M83" s="203" t="n">
        <f aca="false">'Cap Charge'!E83</f>
        <v>0</v>
      </c>
      <c r="N83" s="77"/>
      <c r="O83" s="78" t="n">
        <f aca="false">C83-G83-K83</f>
        <v>14294</v>
      </c>
      <c r="P83" s="79" t="n">
        <f aca="false">D83-H83-L83</f>
        <v>28010</v>
      </c>
      <c r="Q83" s="203" t="n">
        <f aca="false">O83-P83</f>
        <v>-13716</v>
      </c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100"/>
      <c r="AM83" s="100"/>
      <c r="AN83" s="100"/>
      <c r="AO83" s="100"/>
      <c r="AP83" s="100"/>
      <c r="AQ83" s="100"/>
      <c r="AR83" s="100"/>
      <c r="AS83" s="100"/>
      <c r="AT83" s="100"/>
      <c r="AU83" s="100"/>
      <c r="AV83" s="100"/>
      <c r="AW83" s="100"/>
      <c r="AX83" s="100"/>
      <c r="AY83" s="100"/>
      <c r="AZ83" s="100"/>
      <c r="BA83" s="100"/>
      <c r="BB83" s="100"/>
      <c r="BC83" s="100"/>
      <c r="BD83" s="100"/>
      <c r="BE83" s="100"/>
      <c r="BF83" s="100"/>
      <c r="BG83" s="100"/>
      <c r="BH83" s="100"/>
      <c r="BI83" s="100"/>
      <c r="BJ83" s="100"/>
      <c r="BK83" s="100"/>
      <c r="BL83" s="100"/>
      <c r="BM83" s="100"/>
      <c r="BN83" s="100"/>
      <c r="BO83" s="100"/>
      <c r="BP83" s="100"/>
      <c r="BQ83" s="100"/>
      <c r="BR83" s="100"/>
      <c r="BS83" s="100"/>
      <c r="BT83" s="100"/>
      <c r="BU83" s="100"/>
      <c r="BV83" s="100"/>
      <c r="BW83" s="100"/>
      <c r="BX83" s="100"/>
      <c r="BY83" s="100"/>
      <c r="BZ83" s="100"/>
      <c r="CA83" s="100"/>
      <c r="CB83" s="100"/>
      <c r="CC83" s="100"/>
      <c r="CD83" s="100"/>
      <c r="CE83" s="100"/>
      <c r="CF83" s="100"/>
      <c r="CG83" s="100"/>
      <c r="CH83" s="100"/>
      <c r="CI83" s="100"/>
      <c r="CJ83" s="100"/>
      <c r="CK83" s="100"/>
      <c r="CL83" s="100"/>
      <c r="CM83" s="100"/>
      <c r="CN83" s="100"/>
      <c r="CO83" s="100"/>
      <c r="CP83" s="100"/>
      <c r="CQ83" s="100"/>
      <c r="CR83" s="100"/>
      <c r="CS83" s="100"/>
      <c r="CT83" s="100"/>
      <c r="CU83" s="100"/>
      <c r="CV83" s="100"/>
      <c r="CW83" s="100"/>
      <c r="CX83" s="100"/>
      <c r="CY83" s="100"/>
      <c r="CZ83" s="100"/>
      <c r="DA83" s="100"/>
      <c r="DB83" s="100"/>
      <c r="DC83" s="100"/>
      <c r="DD83" s="100"/>
      <c r="DE83" s="100"/>
      <c r="DF83" s="100"/>
      <c r="DG83" s="100"/>
      <c r="DH83" s="100"/>
      <c r="DI83" s="100"/>
      <c r="DJ83" s="100"/>
      <c r="DK83" s="100"/>
      <c r="DL83" s="100"/>
      <c r="DM83" s="100"/>
      <c r="DN83" s="100"/>
      <c r="DO83" s="100"/>
      <c r="DP83" s="100"/>
      <c r="DQ83" s="100"/>
      <c r="DR83" s="100"/>
      <c r="DS83" s="100"/>
      <c r="DT83" s="100"/>
      <c r="DU83" s="100"/>
      <c r="DV83" s="100"/>
      <c r="DW83" s="100"/>
      <c r="DX83" s="100"/>
      <c r="DY83" s="100"/>
      <c r="DZ83" s="100"/>
      <c r="EA83" s="100"/>
      <c r="EB83" s="100"/>
      <c r="EC83" s="100"/>
      <c r="ED83" s="100"/>
      <c r="EE83" s="100"/>
      <c r="EF83" s="100"/>
      <c r="EG83" s="100"/>
      <c r="EH83" s="100"/>
      <c r="EI83" s="100"/>
      <c r="EJ83" s="100"/>
      <c r="EK83" s="100"/>
      <c r="EL83" s="100"/>
      <c r="EM83" s="100"/>
      <c r="EN83" s="100"/>
      <c r="EO83" s="100"/>
      <c r="EP83" s="100"/>
      <c r="EQ83" s="100"/>
      <c r="ER83" s="100"/>
      <c r="ES83" s="100"/>
      <c r="ET83" s="100"/>
      <c r="EU83" s="100"/>
      <c r="EV83" s="100"/>
      <c r="EW83" s="100"/>
      <c r="EX83" s="100"/>
      <c r="EY83" s="100"/>
      <c r="EZ83" s="100"/>
      <c r="FA83" s="100"/>
      <c r="FB83" s="100"/>
      <c r="FC83" s="100"/>
      <c r="FD83" s="100"/>
      <c r="FE83" s="100"/>
      <c r="FF83" s="100"/>
      <c r="FG83" s="100"/>
      <c r="FH83" s="100"/>
      <c r="FI83" s="100"/>
      <c r="FJ83" s="100"/>
      <c r="FK83" s="100"/>
      <c r="FL83" s="100"/>
      <c r="FM83" s="100"/>
      <c r="FN83" s="100"/>
      <c r="FO83" s="100"/>
      <c r="FP83" s="100"/>
      <c r="FQ83" s="100"/>
      <c r="FR83" s="100"/>
      <c r="FS83" s="100"/>
      <c r="FT83" s="100"/>
      <c r="FU83" s="100"/>
      <c r="FV83" s="100"/>
      <c r="FW83" s="100"/>
      <c r="FX83" s="100"/>
      <c r="FY83" s="100"/>
      <c r="FZ83" s="100"/>
      <c r="GA83" s="100"/>
      <c r="GB83" s="100"/>
      <c r="GC83" s="100"/>
      <c r="GD83" s="100"/>
      <c r="GE83" s="100"/>
      <c r="GF83" s="100"/>
      <c r="GG83" s="100"/>
      <c r="GH83" s="100"/>
      <c r="GI83" s="100"/>
      <c r="GJ83" s="100"/>
      <c r="GK83" s="100"/>
      <c r="GL83" s="100"/>
      <c r="GM83" s="100"/>
      <c r="GN83" s="100"/>
      <c r="GO83" s="100"/>
      <c r="GP83" s="100"/>
      <c r="GQ83" s="100"/>
      <c r="GR83" s="100"/>
      <c r="GS83" s="100"/>
      <c r="GT83" s="100"/>
      <c r="GU83" s="100"/>
      <c r="GV83" s="100"/>
      <c r="GW83" s="100"/>
      <c r="GX83" s="100"/>
      <c r="GY83" s="100"/>
      <c r="GZ83" s="100"/>
      <c r="HA83" s="100"/>
      <c r="HB83" s="100"/>
      <c r="HC83" s="100"/>
      <c r="HD83" s="100"/>
      <c r="HE83" s="100"/>
      <c r="HF83" s="100"/>
      <c r="HG83" s="100"/>
      <c r="HH83" s="100"/>
      <c r="HI83" s="100"/>
      <c r="HJ83" s="100"/>
      <c r="HK83" s="100"/>
      <c r="HL83" s="100"/>
      <c r="HM83" s="100"/>
      <c r="HN83" s="100"/>
      <c r="HO83" s="100"/>
      <c r="HP83" s="100"/>
      <c r="HQ83" s="100"/>
      <c r="HR83" s="100"/>
      <c r="HS83" s="100"/>
      <c r="HT83" s="100"/>
      <c r="HU83" s="100"/>
      <c r="HV83" s="100"/>
      <c r="HW83" s="100"/>
      <c r="HX83" s="100"/>
      <c r="HY83" s="100"/>
      <c r="HZ83" s="100"/>
      <c r="IA83" s="100"/>
      <c r="IB83" s="100"/>
      <c r="IC83" s="100"/>
      <c r="ID83" s="100"/>
      <c r="IE83" s="100"/>
      <c r="IF83" s="100"/>
      <c r="IG83" s="100"/>
      <c r="IH83" s="100"/>
      <c r="II83" s="100"/>
      <c r="IJ83" s="100"/>
      <c r="IK83" s="100"/>
      <c r="IL83" s="100"/>
      <c r="IM83" s="100"/>
      <c r="IN83" s="100"/>
      <c r="IO83" s="100"/>
      <c r="IP83" s="100"/>
      <c r="IQ83" s="100"/>
      <c r="IR83" s="100"/>
      <c r="IS83" s="100"/>
      <c r="IT83" s="100"/>
      <c r="IU83" s="100"/>
      <c r="IV83" s="100"/>
      <c r="IW83" s="100"/>
    </row>
    <row r="84" customFormat="false" ht="12.75" hidden="false" customHeight="true" outlineLevel="0" collapsed="false">
      <c r="A84" s="99" t="s">
        <v>169</v>
      </c>
      <c r="B84" s="47"/>
      <c r="C84" s="79" t="n">
        <f aca="false">GrossMargin!I84</f>
        <v>-10934</v>
      </c>
      <c r="D84" s="79" t="n">
        <f aca="false">GrossMargin!J84</f>
        <v>-13000</v>
      </c>
      <c r="E84" s="214" t="n">
        <f aca="false">-D84+C84</f>
        <v>2066</v>
      </c>
      <c r="F84" s="81"/>
      <c r="G84" s="63" t="n">
        <f aca="false">Expenses!C84+Expenses!F84</f>
        <v>0</v>
      </c>
      <c r="H84" s="63" t="n">
        <f aca="false">Expenses!D84+Expenses!G84</f>
        <v>0</v>
      </c>
      <c r="I84" s="203" t="n">
        <f aca="false">H84-G84</f>
        <v>0</v>
      </c>
      <c r="J84" s="47"/>
      <c r="K84" s="79" t="n">
        <f aca="false">'Cap Charge'!C84</f>
        <v>0</v>
      </c>
      <c r="L84" s="79" t="n">
        <f aca="false">'Cap Charge'!D84</f>
        <v>0</v>
      </c>
      <c r="M84" s="203" t="n">
        <f aca="false">'Cap Charge'!E84</f>
        <v>0</v>
      </c>
      <c r="N84" s="77"/>
      <c r="O84" s="78" t="n">
        <f aca="false">C84-G84-K84</f>
        <v>-10934</v>
      </c>
      <c r="P84" s="79" t="n">
        <f aca="false">D84-H84-L84</f>
        <v>-13000</v>
      </c>
      <c r="Q84" s="203" t="n">
        <f aca="false">O84-P84</f>
        <v>2066</v>
      </c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  <c r="AS84" s="100"/>
      <c r="AT84" s="100"/>
      <c r="AU84" s="100"/>
      <c r="AV84" s="100"/>
      <c r="AW84" s="100"/>
      <c r="AX84" s="100"/>
      <c r="AY84" s="100"/>
      <c r="AZ84" s="100"/>
      <c r="BA84" s="100"/>
      <c r="BB84" s="100"/>
      <c r="BC84" s="100"/>
      <c r="BD84" s="100"/>
      <c r="BE84" s="100"/>
      <c r="BF84" s="100"/>
      <c r="BG84" s="100"/>
      <c r="BH84" s="100"/>
      <c r="BI84" s="100"/>
      <c r="BJ84" s="100"/>
      <c r="BK84" s="100"/>
      <c r="BL84" s="100"/>
      <c r="BM84" s="100"/>
      <c r="BN84" s="100"/>
      <c r="BO84" s="100"/>
      <c r="BP84" s="100"/>
      <c r="BQ84" s="100"/>
      <c r="BR84" s="100"/>
      <c r="BS84" s="100"/>
      <c r="BT84" s="100"/>
      <c r="BU84" s="100"/>
      <c r="BV84" s="100"/>
      <c r="BW84" s="100"/>
      <c r="BX84" s="100"/>
      <c r="BY84" s="100"/>
      <c r="BZ84" s="100"/>
      <c r="CA84" s="100"/>
      <c r="CB84" s="100"/>
      <c r="CC84" s="100"/>
      <c r="CD84" s="100"/>
      <c r="CE84" s="100"/>
      <c r="CF84" s="100"/>
      <c r="CG84" s="100"/>
      <c r="CH84" s="100"/>
      <c r="CI84" s="100"/>
      <c r="CJ84" s="100"/>
      <c r="CK84" s="100"/>
      <c r="CL84" s="100"/>
      <c r="CM84" s="100"/>
      <c r="CN84" s="100"/>
      <c r="CO84" s="100"/>
      <c r="CP84" s="100"/>
      <c r="CQ84" s="100"/>
      <c r="CR84" s="100"/>
      <c r="CS84" s="100"/>
      <c r="CT84" s="100"/>
      <c r="CU84" s="100"/>
      <c r="CV84" s="100"/>
      <c r="CW84" s="100"/>
      <c r="CX84" s="100"/>
      <c r="CY84" s="100"/>
      <c r="CZ84" s="100"/>
      <c r="DA84" s="100"/>
      <c r="DB84" s="100"/>
      <c r="DC84" s="100"/>
      <c r="DD84" s="100"/>
      <c r="DE84" s="100"/>
      <c r="DF84" s="100"/>
      <c r="DG84" s="100"/>
      <c r="DH84" s="100"/>
      <c r="DI84" s="100"/>
      <c r="DJ84" s="100"/>
      <c r="DK84" s="100"/>
      <c r="DL84" s="100"/>
      <c r="DM84" s="100"/>
      <c r="DN84" s="100"/>
      <c r="DO84" s="100"/>
      <c r="DP84" s="100"/>
      <c r="DQ84" s="100"/>
      <c r="DR84" s="100"/>
      <c r="DS84" s="100"/>
      <c r="DT84" s="100"/>
      <c r="DU84" s="100"/>
      <c r="DV84" s="100"/>
      <c r="DW84" s="100"/>
      <c r="DX84" s="100"/>
      <c r="DY84" s="100"/>
      <c r="DZ84" s="100"/>
      <c r="EA84" s="100"/>
      <c r="EB84" s="100"/>
      <c r="EC84" s="100"/>
      <c r="ED84" s="100"/>
      <c r="EE84" s="100"/>
      <c r="EF84" s="100"/>
      <c r="EG84" s="100"/>
      <c r="EH84" s="100"/>
      <c r="EI84" s="100"/>
      <c r="EJ84" s="100"/>
      <c r="EK84" s="100"/>
      <c r="EL84" s="100"/>
      <c r="EM84" s="100"/>
      <c r="EN84" s="100"/>
      <c r="EO84" s="100"/>
      <c r="EP84" s="100"/>
      <c r="EQ84" s="100"/>
      <c r="ER84" s="100"/>
      <c r="ES84" s="100"/>
      <c r="ET84" s="100"/>
      <c r="EU84" s="100"/>
      <c r="EV84" s="100"/>
      <c r="EW84" s="100"/>
      <c r="EX84" s="100"/>
      <c r="EY84" s="100"/>
      <c r="EZ84" s="100"/>
      <c r="FA84" s="100"/>
      <c r="FB84" s="100"/>
      <c r="FC84" s="100"/>
      <c r="FD84" s="100"/>
      <c r="FE84" s="100"/>
      <c r="FF84" s="100"/>
      <c r="FG84" s="100"/>
      <c r="FH84" s="100"/>
      <c r="FI84" s="100"/>
      <c r="FJ84" s="100"/>
      <c r="FK84" s="100"/>
      <c r="FL84" s="100"/>
      <c r="FM84" s="100"/>
      <c r="FN84" s="100"/>
      <c r="FO84" s="100"/>
      <c r="FP84" s="100"/>
      <c r="FQ84" s="100"/>
      <c r="FR84" s="100"/>
      <c r="FS84" s="100"/>
      <c r="FT84" s="100"/>
      <c r="FU84" s="100"/>
      <c r="FV84" s="100"/>
      <c r="FW84" s="100"/>
      <c r="FX84" s="100"/>
      <c r="FY84" s="100"/>
      <c r="FZ84" s="100"/>
      <c r="GA84" s="100"/>
      <c r="GB84" s="100"/>
      <c r="GC84" s="100"/>
      <c r="GD84" s="100"/>
      <c r="GE84" s="100"/>
      <c r="GF84" s="100"/>
      <c r="GG84" s="100"/>
      <c r="GH84" s="100"/>
      <c r="GI84" s="100"/>
      <c r="GJ84" s="100"/>
      <c r="GK84" s="100"/>
      <c r="GL84" s="100"/>
      <c r="GM84" s="100"/>
      <c r="GN84" s="100"/>
      <c r="GO84" s="100"/>
      <c r="GP84" s="100"/>
      <c r="GQ84" s="100"/>
      <c r="GR84" s="100"/>
      <c r="GS84" s="100"/>
      <c r="GT84" s="100"/>
      <c r="GU84" s="100"/>
      <c r="GV84" s="100"/>
      <c r="GW84" s="100"/>
      <c r="GX84" s="100"/>
      <c r="GY84" s="100"/>
      <c r="GZ84" s="100"/>
      <c r="HA84" s="100"/>
      <c r="HB84" s="100"/>
      <c r="HC84" s="100"/>
      <c r="HD84" s="100"/>
      <c r="HE84" s="100"/>
      <c r="HF84" s="100"/>
      <c r="HG84" s="100"/>
      <c r="HH84" s="100"/>
      <c r="HI84" s="100"/>
      <c r="HJ84" s="100"/>
      <c r="HK84" s="100"/>
      <c r="HL84" s="100"/>
      <c r="HM84" s="100"/>
      <c r="HN84" s="100"/>
      <c r="HO84" s="100"/>
      <c r="HP84" s="100"/>
      <c r="HQ84" s="100"/>
      <c r="HR84" s="100"/>
      <c r="HS84" s="100"/>
      <c r="HT84" s="100"/>
      <c r="HU84" s="100"/>
      <c r="HV84" s="100"/>
      <c r="HW84" s="100"/>
      <c r="HX84" s="100"/>
      <c r="HY84" s="100"/>
      <c r="HZ84" s="100"/>
      <c r="IA84" s="100"/>
      <c r="IB84" s="100"/>
      <c r="IC84" s="100"/>
      <c r="ID84" s="100"/>
      <c r="IE84" s="100"/>
      <c r="IF84" s="100"/>
      <c r="IG84" s="100"/>
      <c r="IH84" s="100"/>
      <c r="II84" s="100"/>
      <c r="IJ84" s="100"/>
      <c r="IK84" s="100"/>
      <c r="IL84" s="100"/>
      <c r="IM84" s="100"/>
      <c r="IN84" s="100"/>
      <c r="IO84" s="100"/>
      <c r="IP84" s="100"/>
      <c r="IQ84" s="100"/>
      <c r="IR84" s="100"/>
      <c r="IS84" s="100"/>
      <c r="IT84" s="100"/>
      <c r="IU84" s="100"/>
      <c r="IV84" s="100"/>
      <c r="IW84" s="100"/>
    </row>
    <row r="85" customFormat="false" ht="12.75" hidden="false" customHeight="true" outlineLevel="0" collapsed="false">
      <c r="A85" s="97" t="s">
        <v>170</v>
      </c>
      <c r="B85" s="47"/>
      <c r="C85" s="79" t="n">
        <f aca="false">GrossMargin!I85</f>
        <v>2883</v>
      </c>
      <c r="D85" s="79" t="n">
        <f aca="false">GrossMargin!J85</f>
        <v>0</v>
      </c>
      <c r="E85" s="214" t="n">
        <f aca="false">-D85+C85</f>
        <v>2883</v>
      </c>
      <c r="F85" s="81"/>
      <c r="G85" s="63" t="n">
        <f aca="false">Expenses!C85+Expenses!F85</f>
        <v>0</v>
      </c>
      <c r="H85" s="63" t="n">
        <f aca="false">Expenses!D85+Expenses!G85</f>
        <v>0</v>
      </c>
      <c r="I85" s="203" t="n">
        <f aca="false">H85-G85</f>
        <v>0</v>
      </c>
      <c r="J85" s="47"/>
      <c r="K85" s="63" t="n">
        <f aca="false">'Cap Charge'!C85</f>
        <v>-47264</v>
      </c>
      <c r="L85" s="63" t="n">
        <f aca="false">'Cap Charge'!D85</f>
        <v>-42403</v>
      </c>
      <c r="M85" s="203" t="n">
        <f aca="false">'Cap Charge'!E85</f>
        <v>4861</v>
      </c>
      <c r="N85" s="77"/>
      <c r="O85" s="78" t="n">
        <f aca="false">C85-G85-K85</f>
        <v>50147</v>
      </c>
      <c r="P85" s="79" t="n">
        <f aca="false">D85-H85-L85</f>
        <v>42403</v>
      </c>
      <c r="Q85" s="203" t="n">
        <f aca="false">O85-P85</f>
        <v>7744</v>
      </c>
    </row>
    <row r="86" customFormat="false" ht="12.75" hidden="false" customHeight="true" outlineLevel="0" collapsed="false">
      <c r="A86" s="101" t="s">
        <v>171</v>
      </c>
      <c r="B86" s="191"/>
      <c r="C86" s="192" t="n">
        <f aca="false">SUM(C82:C85)+C65+C81</f>
        <v>110065</v>
      </c>
      <c r="D86" s="224" t="n">
        <f aca="false">SUM(D82:D85)+D65+D81</f>
        <v>371015</v>
      </c>
      <c r="E86" s="224" t="n">
        <f aca="false">SUM(E82:E85)+E65+E81</f>
        <v>-260950</v>
      </c>
      <c r="F86" s="227" t="n">
        <f aca="false">SUM(F82:F85)+F65+F81</f>
        <v>0</v>
      </c>
      <c r="G86" s="228" t="n">
        <f aca="false">SUM(G82:G85)+G65+G81</f>
        <v>193805</v>
      </c>
      <c r="H86" s="192" t="n">
        <f aca="false">SUM(H82:H85)+H65+H81</f>
        <v>186214</v>
      </c>
      <c r="I86" s="224" t="n">
        <f aca="false">SUM(I82:I85)+I65+I81</f>
        <v>6091</v>
      </c>
      <c r="J86" s="165" t="n">
        <f aca="false">SUM(J82:J85)+J65+J81</f>
        <v>0</v>
      </c>
      <c r="K86" s="228" t="n">
        <f aca="false">SUM(K82:K85)+K65+K81</f>
        <v>0</v>
      </c>
      <c r="L86" s="192" t="n">
        <f aca="false">SUM(L82:L85)+L65+L81</f>
        <v>0</v>
      </c>
      <c r="M86" s="224" t="n">
        <f aca="false">SUM(M82:M85)+M65+M81</f>
        <v>0</v>
      </c>
      <c r="N86" s="165" t="n">
        <f aca="false">SUM(N82:N85)+N65+N81</f>
        <v>0</v>
      </c>
      <c r="O86" s="228" t="n">
        <f aca="false">SUM(O82:O85)+O65+O81</f>
        <v>-83740</v>
      </c>
      <c r="P86" s="192" t="n">
        <f aca="false">SUM(P82:P85)+P65+P81</f>
        <v>184801</v>
      </c>
      <c r="Q86" s="194" t="n">
        <f aca="false">SUM(Q82:Q85)+Q65+Q81</f>
        <v>-268541</v>
      </c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  <c r="AD86" s="98"/>
      <c r="AE86" s="98"/>
      <c r="AF86" s="98"/>
      <c r="AG86" s="98"/>
      <c r="AH86" s="98"/>
      <c r="AI86" s="98"/>
      <c r="AJ86" s="98"/>
      <c r="AK86" s="98"/>
      <c r="AL86" s="98"/>
      <c r="AM86" s="98"/>
      <c r="AN86" s="98"/>
      <c r="AO86" s="98"/>
      <c r="AP86" s="98"/>
      <c r="AQ86" s="98"/>
      <c r="AR86" s="98"/>
      <c r="AS86" s="98"/>
      <c r="AT86" s="98"/>
      <c r="AU86" s="98"/>
      <c r="AV86" s="98"/>
      <c r="AW86" s="98"/>
      <c r="AX86" s="98"/>
      <c r="AY86" s="98"/>
      <c r="AZ86" s="98"/>
      <c r="BA86" s="98"/>
      <c r="BB86" s="98"/>
      <c r="BC86" s="98"/>
      <c r="BD86" s="98"/>
      <c r="BE86" s="98"/>
      <c r="BF86" s="98"/>
      <c r="BG86" s="98"/>
      <c r="BH86" s="98"/>
      <c r="BI86" s="98"/>
      <c r="BJ86" s="98"/>
      <c r="BK86" s="98"/>
      <c r="BL86" s="98"/>
      <c r="BM86" s="98"/>
      <c r="BN86" s="98"/>
      <c r="BO86" s="98"/>
      <c r="BP86" s="98"/>
      <c r="BQ86" s="98"/>
      <c r="BR86" s="98"/>
      <c r="BS86" s="98"/>
      <c r="BT86" s="98"/>
      <c r="BU86" s="98"/>
      <c r="BV86" s="98"/>
      <c r="BW86" s="98"/>
      <c r="BX86" s="98"/>
      <c r="BY86" s="98"/>
      <c r="BZ86" s="98"/>
      <c r="CA86" s="98"/>
      <c r="CB86" s="98"/>
      <c r="CC86" s="98"/>
      <c r="CD86" s="98"/>
      <c r="CE86" s="98"/>
      <c r="CF86" s="98"/>
      <c r="CG86" s="98"/>
      <c r="CH86" s="98"/>
      <c r="CI86" s="98"/>
      <c r="CJ86" s="98"/>
      <c r="CK86" s="98"/>
      <c r="CL86" s="98"/>
      <c r="CM86" s="98"/>
      <c r="CN86" s="98"/>
      <c r="CO86" s="98"/>
      <c r="CP86" s="98"/>
      <c r="CQ86" s="98"/>
      <c r="CR86" s="98"/>
      <c r="CS86" s="98"/>
      <c r="CT86" s="98"/>
      <c r="CU86" s="98"/>
      <c r="CV86" s="98"/>
      <c r="CW86" s="98"/>
      <c r="CX86" s="98"/>
      <c r="CY86" s="98"/>
      <c r="CZ86" s="98"/>
      <c r="DA86" s="98"/>
      <c r="DB86" s="98"/>
      <c r="DC86" s="98"/>
      <c r="DD86" s="98"/>
      <c r="DE86" s="98"/>
      <c r="DF86" s="98"/>
      <c r="DG86" s="98"/>
      <c r="DH86" s="98"/>
      <c r="DI86" s="98"/>
      <c r="DJ86" s="98"/>
      <c r="DK86" s="98"/>
      <c r="DL86" s="98"/>
      <c r="DM86" s="98"/>
      <c r="DN86" s="98"/>
      <c r="DO86" s="98"/>
      <c r="DP86" s="98"/>
      <c r="DQ86" s="98"/>
      <c r="DR86" s="98"/>
      <c r="DS86" s="98"/>
      <c r="DT86" s="98"/>
      <c r="DU86" s="98"/>
      <c r="DV86" s="98"/>
      <c r="DW86" s="98"/>
      <c r="DX86" s="98"/>
      <c r="DY86" s="98"/>
      <c r="DZ86" s="98"/>
      <c r="EA86" s="98"/>
      <c r="EB86" s="98"/>
      <c r="EC86" s="98"/>
      <c r="ED86" s="98"/>
      <c r="EE86" s="98"/>
      <c r="EF86" s="98"/>
      <c r="EG86" s="98"/>
      <c r="EH86" s="98"/>
      <c r="EI86" s="98"/>
      <c r="EJ86" s="98"/>
      <c r="EK86" s="98"/>
      <c r="EL86" s="98"/>
      <c r="EM86" s="98"/>
      <c r="EN86" s="98"/>
      <c r="EO86" s="98"/>
      <c r="EP86" s="98"/>
      <c r="EQ86" s="98"/>
      <c r="ER86" s="98"/>
      <c r="ES86" s="98"/>
      <c r="ET86" s="98"/>
      <c r="EU86" s="98"/>
      <c r="EV86" s="98"/>
      <c r="EW86" s="98"/>
      <c r="EX86" s="98"/>
      <c r="EY86" s="98"/>
      <c r="EZ86" s="98"/>
      <c r="FA86" s="98"/>
      <c r="FB86" s="98"/>
      <c r="FC86" s="98"/>
      <c r="FD86" s="98"/>
      <c r="FE86" s="98"/>
      <c r="FF86" s="98"/>
      <c r="FG86" s="98"/>
      <c r="FH86" s="98"/>
      <c r="FI86" s="98"/>
      <c r="FJ86" s="98"/>
      <c r="FK86" s="98"/>
      <c r="FL86" s="98"/>
      <c r="FM86" s="98"/>
      <c r="FN86" s="98"/>
      <c r="FO86" s="98"/>
      <c r="FP86" s="98"/>
      <c r="FQ86" s="98"/>
      <c r="FR86" s="98"/>
      <c r="FS86" s="98"/>
      <c r="FT86" s="98"/>
      <c r="FU86" s="98"/>
      <c r="FV86" s="98"/>
      <c r="FW86" s="98"/>
      <c r="FX86" s="98"/>
      <c r="FY86" s="98"/>
      <c r="FZ86" s="98"/>
      <c r="GA86" s="98"/>
      <c r="GB86" s="98"/>
      <c r="GC86" s="98"/>
      <c r="GD86" s="98"/>
      <c r="GE86" s="98"/>
      <c r="GF86" s="98"/>
      <c r="GG86" s="98"/>
      <c r="GH86" s="98"/>
      <c r="GI86" s="98"/>
      <c r="GJ86" s="98"/>
      <c r="GK86" s="98"/>
      <c r="GL86" s="98"/>
      <c r="GM86" s="98"/>
      <c r="GN86" s="98"/>
      <c r="GO86" s="98"/>
      <c r="GP86" s="98"/>
      <c r="GQ86" s="98"/>
      <c r="GR86" s="98"/>
      <c r="GS86" s="98"/>
      <c r="GT86" s="98"/>
      <c r="GU86" s="98"/>
      <c r="GV86" s="98"/>
      <c r="GW86" s="98"/>
      <c r="GX86" s="98"/>
      <c r="GY86" s="98"/>
      <c r="GZ86" s="98"/>
      <c r="HA86" s="98"/>
      <c r="HB86" s="98"/>
      <c r="HC86" s="98"/>
      <c r="HD86" s="98"/>
      <c r="HE86" s="98"/>
      <c r="HF86" s="98"/>
      <c r="HG86" s="98"/>
      <c r="HH86" s="98"/>
      <c r="HI86" s="98"/>
      <c r="HJ86" s="98"/>
      <c r="HK86" s="98"/>
      <c r="HL86" s="98"/>
      <c r="HM86" s="98"/>
      <c r="HN86" s="98"/>
      <c r="HO86" s="98"/>
      <c r="HP86" s="98"/>
      <c r="HQ86" s="98"/>
      <c r="HR86" s="98"/>
      <c r="HS86" s="98"/>
      <c r="HT86" s="98"/>
      <c r="HU86" s="98"/>
      <c r="HV86" s="98"/>
      <c r="HW86" s="98"/>
      <c r="HX86" s="98"/>
      <c r="HY86" s="98"/>
      <c r="HZ86" s="98"/>
      <c r="IA86" s="98"/>
      <c r="IB86" s="98"/>
      <c r="IC86" s="98"/>
      <c r="ID86" s="98"/>
      <c r="IE86" s="98"/>
      <c r="IF86" s="98"/>
      <c r="IG86" s="98"/>
      <c r="IH86" s="98"/>
      <c r="II86" s="98"/>
      <c r="IJ86" s="98"/>
      <c r="IK86" s="98"/>
      <c r="IL86" s="98"/>
      <c r="IM86" s="98"/>
      <c r="IN86" s="98"/>
      <c r="IO86" s="98"/>
      <c r="IP86" s="98"/>
      <c r="IQ86" s="98"/>
      <c r="IR86" s="98"/>
      <c r="IS86" s="98"/>
      <c r="IT86" s="98"/>
      <c r="IU86" s="98"/>
      <c r="IV86" s="98"/>
      <c r="IW86" s="98"/>
    </row>
    <row r="87" customFormat="false" ht="12.75" hidden="false" customHeight="true" outlineLevel="0" collapsed="false">
      <c r="A87" s="97" t="s">
        <v>87</v>
      </c>
      <c r="B87" s="47"/>
      <c r="C87" s="74" t="n">
        <v>0</v>
      </c>
      <c r="D87" s="95" t="n">
        <v>0</v>
      </c>
      <c r="E87" s="76" t="n">
        <f aca="false">D87-C87</f>
        <v>0</v>
      </c>
      <c r="F87" s="81"/>
      <c r="G87" s="78" t="n">
        <f aca="false">Expenses!C87</f>
        <v>40984</v>
      </c>
      <c r="H87" s="79" t="n">
        <f aca="false">Expenses!D87</f>
        <v>25828</v>
      </c>
      <c r="I87" s="203" t="n">
        <f aca="false">H87-G87</f>
        <v>-15156</v>
      </c>
      <c r="J87" s="47"/>
      <c r="K87" s="79" t="n">
        <v>0</v>
      </c>
      <c r="L87" s="79" t="n">
        <v>0</v>
      </c>
      <c r="M87" s="203" t="n">
        <v>0</v>
      </c>
      <c r="N87" s="77"/>
      <c r="O87" s="188" t="n">
        <f aca="false">C87-G87-K87</f>
        <v>-40984</v>
      </c>
      <c r="P87" s="189" t="n">
        <f aca="false">D87-H87-L87</f>
        <v>-25828</v>
      </c>
      <c r="Q87" s="229" t="n">
        <f aca="false">O87-P87</f>
        <v>-15156</v>
      </c>
    </row>
    <row r="88" customFormat="false" ht="12.75" hidden="false" customHeight="true" outlineLevel="0" collapsed="false">
      <c r="A88" s="101" t="s">
        <v>172</v>
      </c>
      <c r="B88" s="102"/>
      <c r="C88" s="103" t="n">
        <f aca="false">SUM(C86:C87)</f>
        <v>110065</v>
      </c>
      <c r="D88" s="104" t="n">
        <f aca="false">SUM(D86:D87)</f>
        <v>371015</v>
      </c>
      <c r="E88" s="105" t="n">
        <f aca="false">SUM(E86:E87)</f>
        <v>-260950</v>
      </c>
      <c r="F88" s="106" t="n">
        <f aca="false">SUM(F86:F87)</f>
        <v>0</v>
      </c>
      <c r="G88" s="107" t="n">
        <f aca="false">SUM(G86:G87)</f>
        <v>234789</v>
      </c>
      <c r="H88" s="108" t="n">
        <f aca="false">SUM(H86:H87)</f>
        <v>212042</v>
      </c>
      <c r="I88" s="108" t="n">
        <f aca="false">SUM(I86:I87)</f>
        <v>-9065</v>
      </c>
      <c r="J88" s="106" t="n">
        <f aca="false">SUM(J86:J87)</f>
        <v>0</v>
      </c>
      <c r="K88" s="107" t="n">
        <f aca="false">SUM(K86:K87)</f>
        <v>0</v>
      </c>
      <c r="L88" s="108" t="n">
        <f aca="false">SUM(L86:L87)</f>
        <v>0</v>
      </c>
      <c r="M88" s="110" t="n">
        <f aca="false">SUM(M86:M87)</f>
        <v>0</v>
      </c>
      <c r="N88" s="111" t="n">
        <f aca="false">SUM(N86:N87)</f>
        <v>0</v>
      </c>
      <c r="O88" s="230" t="n">
        <f aca="false">SUM(O86:O87)</f>
        <v>-124724</v>
      </c>
      <c r="P88" s="231" t="n">
        <f aca="false">SUM(P86:P87)</f>
        <v>158973</v>
      </c>
      <c r="Q88" s="232" t="n">
        <f aca="false">SUM(Q86:Q87)</f>
        <v>-283697</v>
      </c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8"/>
      <c r="AD88" s="98"/>
      <c r="AE88" s="98"/>
      <c r="AF88" s="98"/>
      <c r="AG88" s="98"/>
      <c r="AH88" s="98"/>
      <c r="AI88" s="98"/>
      <c r="AJ88" s="98"/>
      <c r="AK88" s="98"/>
      <c r="AL88" s="98"/>
      <c r="AM88" s="98"/>
      <c r="AN88" s="98"/>
      <c r="AO88" s="98"/>
      <c r="AP88" s="98"/>
      <c r="AQ88" s="98"/>
      <c r="AR88" s="98"/>
      <c r="AS88" s="98"/>
      <c r="AT88" s="98"/>
      <c r="AU88" s="98"/>
      <c r="AV88" s="98"/>
      <c r="AW88" s="98"/>
      <c r="AX88" s="98"/>
      <c r="AY88" s="98"/>
      <c r="AZ88" s="98"/>
      <c r="BA88" s="98"/>
      <c r="BB88" s="98"/>
      <c r="BC88" s="98"/>
      <c r="BD88" s="98"/>
      <c r="BE88" s="98"/>
      <c r="BF88" s="98"/>
      <c r="BG88" s="98"/>
      <c r="BH88" s="98"/>
      <c r="BI88" s="98"/>
      <c r="BJ88" s="98"/>
      <c r="BK88" s="98"/>
      <c r="BL88" s="98"/>
      <c r="BM88" s="98"/>
      <c r="BN88" s="98"/>
      <c r="BO88" s="98"/>
      <c r="BP88" s="98"/>
      <c r="BQ88" s="98"/>
      <c r="BR88" s="98"/>
      <c r="BS88" s="98"/>
      <c r="BT88" s="98"/>
      <c r="BU88" s="98"/>
      <c r="BV88" s="98"/>
      <c r="BW88" s="98"/>
      <c r="BX88" s="98"/>
      <c r="BY88" s="98"/>
      <c r="BZ88" s="98"/>
      <c r="CA88" s="98"/>
      <c r="CB88" s="98"/>
      <c r="CC88" s="98"/>
      <c r="CD88" s="98"/>
      <c r="CE88" s="98"/>
      <c r="CF88" s="98"/>
      <c r="CG88" s="98"/>
      <c r="CH88" s="98"/>
      <c r="CI88" s="98"/>
      <c r="CJ88" s="98"/>
      <c r="CK88" s="98"/>
      <c r="CL88" s="98"/>
      <c r="CM88" s="98"/>
      <c r="CN88" s="98"/>
      <c r="CO88" s="98"/>
      <c r="CP88" s="98"/>
      <c r="CQ88" s="98"/>
      <c r="CR88" s="98"/>
      <c r="CS88" s="98"/>
      <c r="CT88" s="98"/>
      <c r="CU88" s="98"/>
      <c r="CV88" s="98"/>
      <c r="CW88" s="98"/>
      <c r="CX88" s="98"/>
      <c r="CY88" s="98"/>
      <c r="CZ88" s="98"/>
      <c r="DA88" s="98"/>
      <c r="DB88" s="98"/>
      <c r="DC88" s="98"/>
      <c r="DD88" s="98"/>
      <c r="DE88" s="98"/>
      <c r="DF88" s="98"/>
      <c r="DG88" s="98"/>
      <c r="DH88" s="98"/>
      <c r="DI88" s="98"/>
      <c r="DJ88" s="98"/>
      <c r="DK88" s="98"/>
      <c r="DL88" s="98"/>
      <c r="DM88" s="98"/>
      <c r="DN88" s="98"/>
      <c r="DO88" s="98"/>
      <c r="DP88" s="98"/>
      <c r="DQ88" s="98"/>
      <c r="DR88" s="98"/>
      <c r="DS88" s="98"/>
      <c r="DT88" s="98"/>
      <c r="DU88" s="98"/>
      <c r="DV88" s="98"/>
      <c r="DW88" s="98"/>
      <c r="DX88" s="98"/>
      <c r="DY88" s="98"/>
      <c r="DZ88" s="98"/>
      <c r="EA88" s="98"/>
      <c r="EB88" s="98"/>
      <c r="EC88" s="98"/>
      <c r="ED88" s="98"/>
      <c r="EE88" s="98"/>
      <c r="EF88" s="98"/>
      <c r="EG88" s="98"/>
      <c r="EH88" s="98"/>
      <c r="EI88" s="98"/>
      <c r="EJ88" s="98"/>
      <c r="EK88" s="98"/>
      <c r="EL88" s="98"/>
      <c r="EM88" s="98"/>
      <c r="EN88" s="98"/>
      <c r="EO88" s="98"/>
      <c r="EP88" s="98"/>
      <c r="EQ88" s="98"/>
      <c r="ER88" s="98"/>
      <c r="ES88" s="98"/>
      <c r="ET88" s="98"/>
      <c r="EU88" s="98"/>
      <c r="EV88" s="98"/>
      <c r="EW88" s="98"/>
      <c r="EX88" s="98"/>
      <c r="EY88" s="98"/>
      <c r="EZ88" s="98"/>
      <c r="FA88" s="98"/>
      <c r="FB88" s="98"/>
      <c r="FC88" s="98"/>
      <c r="FD88" s="98"/>
      <c r="FE88" s="98"/>
      <c r="FF88" s="98"/>
      <c r="FG88" s="98"/>
      <c r="FH88" s="98"/>
      <c r="FI88" s="98"/>
      <c r="FJ88" s="98"/>
      <c r="FK88" s="98"/>
      <c r="FL88" s="98"/>
      <c r="FM88" s="98"/>
      <c r="FN88" s="98"/>
      <c r="FO88" s="98"/>
      <c r="FP88" s="98"/>
      <c r="FQ88" s="98"/>
      <c r="FR88" s="98"/>
      <c r="FS88" s="98"/>
      <c r="FT88" s="98"/>
      <c r="FU88" s="98"/>
      <c r="FV88" s="98"/>
      <c r="FW88" s="98"/>
      <c r="FX88" s="98"/>
      <c r="FY88" s="98"/>
      <c r="FZ88" s="98"/>
      <c r="GA88" s="98"/>
      <c r="GB88" s="98"/>
      <c r="GC88" s="98"/>
      <c r="GD88" s="98"/>
      <c r="GE88" s="98"/>
      <c r="GF88" s="98"/>
      <c r="GG88" s="98"/>
      <c r="GH88" s="98"/>
      <c r="GI88" s="98"/>
      <c r="GJ88" s="98"/>
      <c r="GK88" s="98"/>
      <c r="GL88" s="98"/>
      <c r="GM88" s="98"/>
      <c r="GN88" s="98"/>
      <c r="GO88" s="98"/>
      <c r="GP88" s="98"/>
      <c r="GQ88" s="98"/>
      <c r="GR88" s="98"/>
      <c r="GS88" s="98"/>
      <c r="GT88" s="98"/>
      <c r="GU88" s="98"/>
      <c r="GV88" s="98"/>
      <c r="GW88" s="98"/>
      <c r="GX88" s="98"/>
      <c r="GY88" s="98"/>
      <c r="GZ88" s="98"/>
      <c r="HA88" s="98"/>
      <c r="HB88" s="98"/>
      <c r="HC88" s="98"/>
      <c r="HD88" s="98"/>
      <c r="HE88" s="98"/>
      <c r="HF88" s="98"/>
      <c r="HG88" s="98"/>
      <c r="HH88" s="98"/>
      <c r="HI88" s="98"/>
      <c r="HJ88" s="98"/>
      <c r="HK88" s="98"/>
      <c r="HL88" s="98"/>
      <c r="HM88" s="98"/>
      <c r="HN88" s="98"/>
      <c r="HO88" s="98"/>
      <c r="HP88" s="98"/>
      <c r="HQ88" s="98"/>
      <c r="HR88" s="98"/>
      <c r="HS88" s="98"/>
      <c r="HT88" s="98"/>
      <c r="HU88" s="98"/>
      <c r="HV88" s="98"/>
      <c r="HW88" s="98"/>
      <c r="HX88" s="98"/>
      <c r="HY88" s="98"/>
      <c r="HZ88" s="98"/>
      <c r="IA88" s="98"/>
      <c r="IB88" s="98"/>
      <c r="IC88" s="98"/>
      <c r="ID88" s="98"/>
      <c r="IE88" s="98"/>
      <c r="IF88" s="98"/>
      <c r="IG88" s="98"/>
      <c r="IH88" s="98"/>
      <c r="II88" s="98"/>
      <c r="IJ88" s="98"/>
      <c r="IK88" s="98"/>
      <c r="IL88" s="98"/>
      <c r="IM88" s="98"/>
      <c r="IN88" s="98"/>
      <c r="IO88" s="98"/>
      <c r="IP88" s="98"/>
      <c r="IQ88" s="98"/>
      <c r="IR88" s="98"/>
      <c r="IS88" s="98"/>
      <c r="IT88" s="98"/>
      <c r="IU88" s="98"/>
      <c r="IV88" s="98"/>
      <c r="IW88" s="98"/>
    </row>
    <row r="89" customFormat="false" ht="3" hidden="false" customHeight="true" outlineLevel="0" collapsed="false">
      <c r="A89" s="112"/>
      <c r="C89" s="113"/>
      <c r="D89" s="114"/>
      <c r="E89" s="112"/>
      <c r="F89" s="114"/>
    </row>
    <row r="91" customFormat="false" ht="12.75" hidden="false" customHeight="false" outlineLevel="0" collapsed="false">
      <c r="A91" s="1" t="s">
        <v>173</v>
      </c>
      <c r="G91" s="233"/>
      <c r="O91" s="226"/>
      <c r="P91" s="233"/>
    </row>
    <row r="92" customFormat="false" ht="12.75" hidden="false" customHeight="false" outlineLevel="0" collapsed="false">
      <c r="C92" s="234"/>
      <c r="G92" s="233"/>
      <c r="O92" s="226"/>
      <c r="P92" s="233"/>
    </row>
    <row r="93" customFormat="false" ht="12.75" hidden="false" customHeight="false" outlineLevel="0" collapsed="false">
      <c r="C93" s="234"/>
      <c r="D93" s="234"/>
      <c r="G93" s="233"/>
      <c r="H93" s="233"/>
      <c r="O93" s="233"/>
      <c r="P93" s="235"/>
    </row>
    <row r="94" customFormat="false" ht="12.75" hidden="false" customHeight="false" outlineLevel="0" collapsed="false">
      <c r="C94" s="114"/>
      <c r="D94" s="114"/>
      <c r="G94" s="226"/>
      <c r="O94" s="226"/>
    </row>
    <row r="95" customFormat="false" ht="12.75" hidden="false" customHeight="false" outlineLevel="0" collapsed="false">
      <c r="C95" s="234"/>
      <c r="D95" s="234"/>
      <c r="G95" s="233"/>
      <c r="H95" s="233"/>
      <c r="O95" s="226"/>
      <c r="P95" s="235"/>
    </row>
    <row r="96" customFormat="false" ht="12.75" hidden="false" customHeight="false" outlineLevel="0" collapsed="false">
      <c r="O96" s="226"/>
    </row>
    <row r="97" customFormat="false" ht="12.75" hidden="false" customHeight="false" outlineLevel="0" collapsed="false">
      <c r="O97" s="233"/>
    </row>
  </sheetData>
  <mergeCells count="7">
    <mergeCell ref="L2:Q2"/>
    <mergeCell ref="C6:E7"/>
    <mergeCell ref="G6:I6"/>
    <mergeCell ref="K6:M6"/>
    <mergeCell ref="O6:Q7"/>
    <mergeCell ref="G7:I7"/>
    <mergeCell ref="K7:M7"/>
  </mergeCells>
  <printOptions headings="false" gridLines="false" gridLinesSet="true" horizontalCentered="true" verticalCentered="false"/>
  <pageMargins left="0.25" right="0.25" top="0.2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49" activeCellId="0" sqref="H4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6.84"/>
    <col collapsed="false" customWidth="true" hidden="false" outlineLevel="0" max="2" min="2" style="1" width="2.13"/>
    <col collapsed="false" customWidth="true" hidden="false" outlineLevel="0" max="4" min="3" style="1" width="8.7"/>
    <col collapsed="false" customWidth="true" hidden="false" outlineLevel="0" max="5" min="5" style="1" width="9.7"/>
    <col collapsed="false" customWidth="true" hidden="false" outlineLevel="0" max="11" min="6" style="1" width="8.7"/>
    <col collapsed="false" customWidth="true" hidden="false" outlineLevel="0" max="18" min="12" style="1" width="9.7"/>
    <col collapsed="false" customWidth="false" hidden="false" outlineLevel="0" max="257" min="19" style="1" width="9.14"/>
  </cols>
  <sheetData>
    <row r="1" customFormat="false" ht="15.75" hidden="false" customHeight="false" outlineLevel="0" collapsed="false">
      <c r="A1" s="236" t="s">
        <v>174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</row>
    <row r="2" customFormat="false" ht="16.5" hidden="false" customHeight="false" outlineLevel="0" collapsed="false">
      <c r="A2" s="237" t="s">
        <v>175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</row>
    <row r="3" customFormat="false" ht="14.25" hidden="false" customHeight="false" outlineLevel="0" collapsed="false">
      <c r="A3" s="238" t="s">
        <v>176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</row>
    <row r="4" customFormat="false" ht="3" hidden="false" customHeight="true" outlineLevel="0" collapsed="false">
      <c r="A4" s="115"/>
      <c r="B4" s="157"/>
    </row>
    <row r="5" customFormat="false" ht="12.75" hidden="false" customHeight="true" outlineLevel="0" collapsed="false">
      <c r="A5" s="239"/>
      <c r="B5" s="47"/>
      <c r="C5" s="240"/>
      <c r="D5" s="240"/>
      <c r="E5" s="240"/>
      <c r="F5" s="240"/>
      <c r="G5" s="240"/>
      <c r="H5" s="240"/>
      <c r="I5" s="240"/>
      <c r="J5" s="240"/>
      <c r="K5" s="241"/>
    </row>
    <row r="6" customFormat="false" ht="12.75" hidden="false" customHeight="false" outlineLevel="0" collapsed="false">
      <c r="A6" s="49"/>
      <c r="B6" s="47"/>
      <c r="C6" s="115"/>
      <c r="D6" s="115"/>
      <c r="E6" s="242"/>
      <c r="F6" s="242"/>
      <c r="G6" s="115"/>
      <c r="H6" s="242" t="s">
        <v>8</v>
      </c>
      <c r="I6" s="242" t="s">
        <v>177</v>
      </c>
      <c r="J6" s="242" t="s">
        <v>11</v>
      </c>
      <c r="K6" s="243" t="s">
        <v>178</v>
      </c>
      <c r="L6" s="244"/>
      <c r="M6" s="245"/>
      <c r="N6" s="244"/>
    </row>
    <row r="7" customFormat="false" ht="13.5" hidden="false" customHeight="false" outlineLevel="0" collapsed="false">
      <c r="A7" s="246" t="s">
        <v>7</v>
      </c>
      <c r="B7" s="247"/>
      <c r="C7" s="248" t="s">
        <v>179</v>
      </c>
      <c r="D7" s="248" t="s">
        <v>180</v>
      </c>
      <c r="E7" s="248" t="s">
        <v>181</v>
      </c>
      <c r="F7" s="248" t="s">
        <v>96</v>
      </c>
      <c r="G7" s="248" t="s">
        <v>182</v>
      </c>
      <c r="H7" s="248" t="s">
        <v>3</v>
      </c>
      <c r="I7" s="248" t="s">
        <v>183</v>
      </c>
      <c r="J7" s="248" t="s">
        <v>3</v>
      </c>
      <c r="K7" s="249" t="s">
        <v>3</v>
      </c>
      <c r="L7" s="244"/>
      <c r="M7" s="244"/>
      <c r="N7" s="244"/>
    </row>
    <row r="8" customFormat="false" ht="6.75" hidden="false" customHeight="true" outlineLevel="0" collapsed="false">
      <c r="A8" s="239"/>
      <c r="B8" s="165"/>
      <c r="C8" s="115"/>
      <c r="D8" s="115"/>
      <c r="E8" s="115"/>
      <c r="F8" s="115"/>
      <c r="G8" s="115"/>
      <c r="H8" s="49"/>
      <c r="I8" s="49"/>
      <c r="J8" s="115"/>
      <c r="K8" s="250"/>
    </row>
    <row r="9" customFormat="false" ht="12.75" hidden="false" customHeight="false" outlineLevel="0" collapsed="false">
      <c r="A9" s="46" t="s">
        <v>12</v>
      </c>
      <c r="B9" s="251"/>
      <c r="C9" s="252" t="n">
        <v>0</v>
      </c>
      <c r="D9" s="253" t="n">
        <v>0</v>
      </c>
      <c r="E9" s="253" t="n">
        <v>0</v>
      </c>
      <c r="F9" s="254" t="n">
        <v>0</v>
      </c>
      <c r="G9" s="255" t="n">
        <v>0</v>
      </c>
      <c r="H9" s="253" t="n">
        <f aca="false">SUM(C9:G9)</f>
        <v>0</v>
      </c>
      <c r="I9" s="252" t="n">
        <v>0</v>
      </c>
      <c r="J9" s="253" t="n">
        <v>0</v>
      </c>
      <c r="K9" s="255" t="n">
        <f aca="false">SUM(H9:J9)</f>
        <v>0</v>
      </c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</row>
    <row r="10" customFormat="false" ht="12.75" hidden="false" customHeight="false" outlineLevel="0" collapsed="false">
      <c r="A10" s="46" t="s">
        <v>13</v>
      </c>
      <c r="B10" s="251"/>
      <c r="C10" s="256" t="n">
        <v>0</v>
      </c>
      <c r="D10" s="257" t="n">
        <f aca="false">[1]GrossMargin!E11-[2]GrossMargin!E11</f>
        <v>0</v>
      </c>
      <c r="E10" s="257" t="n">
        <f aca="false">[1]GrossMargin!F11-[2]GrossMargin!F11</f>
        <v>0</v>
      </c>
      <c r="F10" s="257" t="n">
        <f aca="false">[1]GrossMargin!G11-[2]GrossMargin!G11</f>
        <v>0</v>
      </c>
      <c r="G10" s="257" t="n">
        <f aca="false">[1]GrossMargin!H11-[2]GrossMargin!H11</f>
        <v>0</v>
      </c>
      <c r="H10" s="256" t="n">
        <f aca="false">SUM(C10:G10)</f>
        <v>0</v>
      </c>
      <c r="I10" s="256" t="n">
        <v>0</v>
      </c>
      <c r="J10" s="257" t="n">
        <v>0</v>
      </c>
      <c r="K10" s="258" t="n">
        <f aca="false">SUM(H10:J10)</f>
        <v>0</v>
      </c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  <c r="IU10" s="72"/>
      <c r="IV10" s="72"/>
      <c r="IW10" s="72"/>
    </row>
    <row r="11" customFormat="false" ht="12.75" hidden="false" customHeight="false" outlineLevel="0" collapsed="false">
      <c r="A11" s="46" t="s">
        <v>14</v>
      </c>
      <c r="B11" s="259"/>
      <c r="C11" s="95" t="n">
        <v>0</v>
      </c>
      <c r="D11" s="114" t="n">
        <v>0</v>
      </c>
      <c r="E11" s="114" t="n">
        <v>0</v>
      </c>
      <c r="F11" s="114" t="n">
        <v>0</v>
      </c>
      <c r="G11" s="114" t="n">
        <v>0</v>
      </c>
      <c r="H11" s="95" t="n">
        <f aca="false">SUM(H9:H10)</f>
        <v>0</v>
      </c>
      <c r="I11" s="95" t="n">
        <v>0</v>
      </c>
      <c r="J11" s="114" t="n">
        <f aca="false">SUM(J9:J10)</f>
        <v>0</v>
      </c>
      <c r="K11" s="260" t="n">
        <f aca="false">SUM(K9:K10)</f>
        <v>0</v>
      </c>
    </row>
    <row r="12" customFormat="false" ht="12.75" hidden="false" customHeight="false" outlineLevel="0" collapsed="false">
      <c r="A12" s="46" t="s">
        <v>15</v>
      </c>
      <c r="B12" s="259"/>
      <c r="C12" s="95" t="n">
        <v>0</v>
      </c>
      <c r="D12" s="114" t="n">
        <v>0</v>
      </c>
      <c r="E12" s="114" t="n">
        <v>0</v>
      </c>
      <c r="F12" s="114" t="n">
        <v>0</v>
      </c>
      <c r="G12" s="114" t="n">
        <v>0</v>
      </c>
      <c r="H12" s="95" t="n">
        <f aca="false">SUM(C12:G12)</f>
        <v>0</v>
      </c>
      <c r="I12" s="95" t="n">
        <v>0</v>
      </c>
      <c r="J12" s="114" t="n">
        <v>0</v>
      </c>
      <c r="K12" s="260" t="n">
        <f aca="false">SUM(H12:J12)</f>
        <v>0</v>
      </c>
    </row>
    <row r="13" customFormat="false" ht="12.75" hidden="false" customHeight="false" outlineLevel="0" collapsed="false">
      <c r="A13" s="46" t="s">
        <v>16</v>
      </c>
      <c r="B13" s="259"/>
      <c r="C13" s="95" t="n">
        <v>0</v>
      </c>
      <c r="D13" s="114" t="n">
        <v>0</v>
      </c>
      <c r="E13" s="114" t="n">
        <v>0</v>
      </c>
      <c r="F13" s="114" t="n">
        <v>0</v>
      </c>
      <c r="G13" s="114" t="n">
        <v>0</v>
      </c>
      <c r="H13" s="95" t="n">
        <f aca="false">SUM(C13:G13)</f>
        <v>0</v>
      </c>
      <c r="I13" s="95" t="n">
        <v>0</v>
      </c>
      <c r="J13" s="114" t="n">
        <v>0</v>
      </c>
      <c r="K13" s="260" t="n">
        <f aca="false">SUM(H13:J13)</f>
        <v>0</v>
      </c>
    </row>
    <row r="14" customFormat="false" ht="12.75" hidden="false" customHeight="false" outlineLevel="0" collapsed="false">
      <c r="A14" s="46" t="s">
        <v>17</v>
      </c>
      <c r="B14" s="259"/>
      <c r="C14" s="95" t="n">
        <v>0</v>
      </c>
      <c r="D14" s="114" t="n">
        <v>0</v>
      </c>
      <c r="E14" s="114" t="n">
        <v>0</v>
      </c>
      <c r="F14" s="114" t="n">
        <v>0</v>
      </c>
      <c r="G14" s="114" t="n">
        <v>0</v>
      </c>
      <c r="H14" s="95" t="n">
        <f aca="false">SUM(C14:G14)</f>
        <v>0</v>
      </c>
      <c r="I14" s="95" t="n">
        <v>0</v>
      </c>
      <c r="J14" s="114" t="n">
        <v>0</v>
      </c>
      <c r="K14" s="260" t="n">
        <f aca="false">SUM(H14:J14)</f>
        <v>0</v>
      </c>
    </row>
    <row r="15" customFormat="false" ht="12.75" hidden="false" customHeight="false" outlineLevel="0" collapsed="false">
      <c r="A15" s="46" t="s">
        <v>18</v>
      </c>
      <c r="B15" s="259"/>
      <c r="C15" s="95" t="n">
        <v>0</v>
      </c>
      <c r="D15" s="114" t="n">
        <v>0</v>
      </c>
      <c r="E15" s="114" t="n">
        <v>0</v>
      </c>
      <c r="F15" s="114" t="n">
        <v>0</v>
      </c>
      <c r="G15" s="114" t="n">
        <v>0</v>
      </c>
      <c r="H15" s="95" t="n">
        <f aca="false">SUM(C15:G15)</f>
        <v>0</v>
      </c>
      <c r="I15" s="95" t="n">
        <v>0</v>
      </c>
      <c r="J15" s="114" t="n">
        <v>0</v>
      </c>
      <c r="K15" s="260" t="n">
        <f aca="false">SUM(H15:J15)</f>
        <v>0</v>
      </c>
    </row>
    <row r="16" customFormat="false" ht="12.75" hidden="false" customHeight="false" outlineLevel="0" collapsed="false">
      <c r="A16" s="46" t="s">
        <v>19</v>
      </c>
      <c r="B16" s="259"/>
      <c r="C16" s="95" t="n">
        <v>0</v>
      </c>
      <c r="D16" s="114" t="n">
        <v>0</v>
      </c>
      <c r="E16" s="114" t="n">
        <v>0</v>
      </c>
      <c r="F16" s="114" t="n">
        <v>0</v>
      </c>
      <c r="G16" s="114" t="n">
        <v>0</v>
      </c>
      <c r="H16" s="95" t="n">
        <f aca="false">SUM(C16:G16)</f>
        <v>0</v>
      </c>
      <c r="I16" s="95" t="n">
        <v>0</v>
      </c>
      <c r="J16" s="114" t="n">
        <v>0</v>
      </c>
      <c r="K16" s="260" t="n">
        <f aca="false">SUM(H16:J16)</f>
        <v>0</v>
      </c>
    </row>
    <row r="17" customFormat="false" ht="12.75" hidden="false" customHeight="false" outlineLevel="0" collapsed="false">
      <c r="A17" s="46" t="s">
        <v>20</v>
      </c>
      <c r="B17" s="259"/>
      <c r="C17" s="95" t="n">
        <v>0</v>
      </c>
      <c r="D17" s="114" t="n">
        <v>0</v>
      </c>
      <c r="E17" s="114" t="n">
        <v>0</v>
      </c>
      <c r="F17" s="114" t="n">
        <v>0</v>
      </c>
      <c r="G17" s="114" t="n">
        <v>0</v>
      </c>
      <c r="H17" s="95" t="n">
        <v>0</v>
      </c>
      <c r="I17" s="95" t="n">
        <v>0</v>
      </c>
      <c r="J17" s="114" t="n">
        <v>0</v>
      </c>
      <c r="K17" s="260" t="n">
        <v>0</v>
      </c>
    </row>
    <row r="18" customFormat="false" ht="13.5" hidden="false" customHeight="false" outlineLevel="0" collapsed="false">
      <c r="A18" s="82" t="s">
        <v>21</v>
      </c>
      <c r="B18" s="261"/>
      <c r="C18" s="262" t="n">
        <f aca="false">SUM(C9:C17)</f>
        <v>0</v>
      </c>
      <c r="D18" s="263" t="n">
        <f aca="false">SUM(D9:D17)</f>
        <v>0</v>
      </c>
      <c r="E18" s="263" t="n">
        <f aca="false">SUM(E9:E17)</f>
        <v>0</v>
      </c>
      <c r="F18" s="263" t="n">
        <f aca="false">SUM(F9:F17)</f>
        <v>0</v>
      </c>
      <c r="G18" s="263" t="n">
        <f aca="false">SUM(G9:G17)</f>
        <v>0</v>
      </c>
      <c r="H18" s="264" t="n">
        <f aca="false">SUM(H9:H17)</f>
        <v>0</v>
      </c>
      <c r="I18" s="263" t="n">
        <f aca="false">SUM(I9:I17)</f>
        <v>0</v>
      </c>
      <c r="J18" s="263" t="n">
        <f aca="false">SUM(J9:J17)</f>
        <v>0</v>
      </c>
      <c r="K18" s="265" t="n">
        <f aca="false">SUM(K9:K17)</f>
        <v>0</v>
      </c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  <c r="IV18" s="94"/>
      <c r="IW18" s="94"/>
    </row>
    <row r="19" customFormat="false" ht="6" hidden="false" customHeight="true" outlineLevel="0" collapsed="false">
      <c r="A19" s="46"/>
      <c r="B19" s="259"/>
      <c r="C19" s="95"/>
      <c r="D19" s="114"/>
      <c r="E19" s="114"/>
      <c r="F19" s="114"/>
      <c r="G19" s="114"/>
      <c r="H19" s="95"/>
      <c r="I19" s="95"/>
      <c r="J19" s="114"/>
      <c r="K19" s="260"/>
    </row>
    <row r="20" customFormat="false" ht="12.75" hidden="false" customHeight="false" outlineLevel="0" collapsed="false">
      <c r="A20" s="46" t="s">
        <v>22</v>
      </c>
      <c r="B20" s="259"/>
      <c r="C20" s="95" t="n">
        <v>0</v>
      </c>
      <c r="D20" s="114" t="n">
        <v>0</v>
      </c>
      <c r="E20" s="114" t="n">
        <v>0</v>
      </c>
      <c r="F20" s="114" t="n">
        <v>0</v>
      </c>
      <c r="G20" s="114" t="n">
        <v>0</v>
      </c>
      <c r="H20" s="95" t="n">
        <f aca="false">SUM(C20:G20)</f>
        <v>0</v>
      </c>
      <c r="I20" s="95" t="n">
        <v>0</v>
      </c>
      <c r="J20" s="114" t="n">
        <v>0</v>
      </c>
      <c r="K20" s="260" t="n">
        <f aca="false">SUM(H20:J20)</f>
        <v>0</v>
      </c>
    </row>
    <row r="21" customFormat="false" ht="12.75" hidden="false" customHeight="false" outlineLevel="0" collapsed="false">
      <c r="A21" s="46" t="s">
        <v>23</v>
      </c>
      <c r="B21" s="259"/>
      <c r="C21" s="95" t="n">
        <v>0</v>
      </c>
      <c r="D21" s="114" t="n">
        <v>0</v>
      </c>
      <c r="E21" s="114" t="n">
        <v>0</v>
      </c>
      <c r="F21" s="114" t="n">
        <v>0</v>
      </c>
      <c r="G21" s="114" t="n">
        <v>0</v>
      </c>
      <c r="H21" s="95" t="n">
        <f aca="false">SUM(C21:G21)</f>
        <v>0</v>
      </c>
      <c r="I21" s="95" t="n">
        <v>0</v>
      </c>
      <c r="J21" s="114" t="n">
        <v>0</v>
      </c>
      <c r="K21" s="260" t="n">
        <f aca="false">SUM(H21:J21)</f>
        <v>0</v>
      </c>
    </row>
    <row r="22" customFormat="false" ht="12.75" hidden="false" customHeight="false" outlineLevel="0" collapsed="false">
      <c r="A22" s="46" t="s">
        <v>24</v>
      </c>
      <c r="B22" s="259"/>
      <c r="C22" s="95" t="n">
        <v>0</v>
      </c>
      <c r="D22" s="114" t="n">
        <v>0</v>
      </c>
      <c r="E22" s="114" t="n">
        <v>0</v>
      </c>
      <c r="F22" s="114" t="n">
        <v>0</v>
      </c>
      <c r="G22" s="114" t="n">
        <v>0</v>
      </c>
      <c r="H22" s="95" t="n">
        <f aca="false">SUM(C22:G22)</f>
        <v>0</v>
      </c>
      <c r="I22" s="95" t="n">
        <v>0</v>
      </c>
      <c r="J22" s="114" t="n">
        <v>0</v>
      </c>
      <c r="K22" s="260" t="n">
        <f aca="false">SUM(H22:J22)</f>
        <v>0</v>
      </c>
    </row>
    <row r="23" customFormat="false" ht="12.75" hidden="false" customHeight="false" outlineLevel="0" collapsed="false">
      <c r="A23" s="46" t="s">
        <v>25</v>
      </c>
      <c r="B23" s="259"/>
      <c r="C23" s="95" t="n">
        <v>0</v>
      </c>
      <c r="D23" s="114" t="n">
        <v>0</v>
      </c>
      <c r="E23" s="114" t="n">
        <v>0</v>
      </c>
      <c r="F23" s="114" t="n">
        <v>0</v>
      </c>
      <c r="G23" s="114" t="n">
        <v>0</v>
      </c>
      <c r="H23" s="95" t="n">
        <f aca="false">SUM(C23:G23)</f>
        <v>0</v>
      </c>
      <c r="I23" s="95" t="n">
        <v>0</v>
      </c>
      <c r="J23" s="114" t="n">
        <v>0</v>
      </c>
      <c r="K23" s="260" t="n">
        <f aca="false">SUM(H23:J23)</f>
        <v>0</v>
      </c>
    </row>
    <row r="24" customFormat="false" ht="12.75" hidden="false" customHeight="false" outlineLevel="0" collapsed="false">
      <c r="A24" s="46" t="s">
        <v>26</v>
      </c>
      <c r="B24" s="259"/>
      <c r="C24" s="95" t="n">
        <v>0</v>
      </c>
      <c r="D24" s="114" t="n">
        <v>0</v>
      </c>
      <c r="E24" s="114" t="n">
        <v>0</v>
      </c>
      <c r="F24" s="114" t="n">
        <v>0</v>
      </c>
      <c r="G24" s="114" t="n">
        <v>0</v>
      </c>
      <c r="H24" s="95" t="n">
        <f aca="false">SUM(C24:G24)</f>
        <v>0</v>
      </c>
      <c r="I24" s="95" t="n">
        <v>0</v>
      </c>
      <c r="J24" s="114" t="n">
        <v>0</v>
      </c>
      <c r="K24" s="260" t="n">
        <f aca="false">SUM(H24:J24)</f>
        <v>0</v>
      </c>
    </row>
    <row r="25" customFormat="false" ht="12.75" hidden="false" customHeight="false" outlineLevel="0" collapsed="false">
      <c r="A25" s="46" t="s">
        <v>27</v>
      </c>
      <c r="B25" s="259"/>
      <c r="C25" s="95" t="n">
        <v>0</v>
      </c>
      <c r="D25" s="114" t="n">
        <v>0</v>
      </c>
      <c r="E25" s="114" t="n">
        <v>0</v>
      </c>
      <c r="F25" s="114" t="n">
        <v>0</v>
      </c>
      <c r="G25" s="114" t="n">
        <v>0</v>
      </c>
      <c r="H25" s="95" t="n">
        <f aca="false">SUM(C25:G25)</f>
        <v>0</v>
      </c>
      <c r="I25" s="95" t="n">
        <v>0</v>
      </c>
      <c r="J25" s="114" t="n">
        <v>0</v>
      </c>
      <c r="K25" s="260" t="n">
        <f aca="false">SUM(H25:J25)</f>
        <v>0</v>
      </c>
    </row>
    <row r="26" customFormat="false" ht="14.25" hidden="false" customHeight="false" outlineLevel="0" collapsed="false">
      <c r="A26" s="82" t="s">
        <v>28</v>
      </c>
      <c r="B26" s="266"/>
      <c r="C26" s="262" t="n">
        <f aca="false">SUM(C20:C25)</f>
        <v>0</v>
      </c>
      <c r="D26" s="263" t="n">
        <f aca="false">SUM(D20:D25)</f>
        <v>0</v>
      </c>
      <c r="E26" s="263" t="n">
        <f aca="false">SUM(E20:E25)</f>
        <v>0</v>
      </c>
      <c r="F26" s="263" t="n">
        <f aca="false">SUM(F20:F25)</f>
        <v>0</v>
      </c>
      <c r="G26" s="263" t="n">
        <f aca="false">SUM(G20:G25)</f>
        <v>0</v>
      </c>
      <c r="H26" s="264" t="n">
        <f aca="false">SUM(H20:H25)</f>
        <v>0</v>
      </c>
      <c r="I26" s="263" t="n">
        <f aca="false">SUM(I20:I25)</f>
        <v>0</v>
      </c>
      <c r="J26" s="263" t="n">
        <f aca="false">SUM(J20:J25)</f>
        <v>0</v>
      </c>
      <c r="K26" s="265" t="n">
        <f aca="false">SUM(K20:K25)</f>
        <v>0</v>
      </c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  <c r="CO26" s="94"/>
      <c r="CP26" s="94"/>
      <c r="CQ26" s="94"/>
      <c r="CR26" s="94"/>
      <c r="CS26" s="94"/>
      <c r="CT26" s="94"/>
      <c r="CU26" s="94"/>
      <c r="CV26" s="94"/>
      <c r="CW26" s="94"/>
      <c r="CX26" s="94"/>
      <c r="CY26" s="94"/>
      <c r="CZ26" s="94"/>
      <c r="DA26" s="94"/>
      <c r="DB26" s="94"/>
      <c r="DC26" s="94"/>
      <c r="DD26" s="94"/>
      <c r="DE26" s="94"/>
      <c r="DF26" s="94"/>
      <c r="DG26" s="94"/>
      <c r="DH26" s="94"/>
      <c r="DI26" s="94"/>
      <c r="DJ26" s="94"/>
      <c r="DK26" s="94"/>
      <c r="DL26" s="94"/>
      <c r="DM26" s="94"/>
      <c r="DN26" s="94"/>
      <c r="DO26" s="94"/>
      <c r="DP26" s="94"/>
      <c r="DQ26" s="94"/>
      <c r="DR26" s="94"/>
      <c r="DS26" s="94"/>
      <c r="DT26" s="94"/>
      <c r="DU26" s="94"/>
      <c r="DV26" s="94"/>
      <c r="DW26" s="94"/>
      <c r="DX26" s="94"/>
      <c r="DY26" s="94"/>
      <c r="DZ26" s="94"/>
      <c r="EA26" s="94"/>
      <c r="EB26" s="94"/>
      <c r="EC26" s="94"/>
      <c r="ED26" s="94"/>
      <c r="EE26" s="94"/>
      <c r="EF26" s="94"/>
      <c r="EG26" s="94"/>
      <c r="EH26" s="94"/>
      <c r="EI26" s="94"/>
      <c r="EJ26" s="94"/>
      <c r="EK26" s="94"/>
      <c r="EL26" s="94"/>
      <c r="EM26" s="94"/>
      <c r="EN26" s="94"/>
      <c r="EO26" s="94"/>
      <c r="EP26" s="94"/>
      <c r="EQ26" s="94"/>
      <c r="ER26" s="94"/>
      <c r="ES26" s="94"/>
      <c r="ET26" s="94"/>
      <c r="EU26" s="94"/>
      <c r="EV26" s="94"/>
      <c r="EW26" s="94"/>
      <c r="EX26" s="94"/>
      <c r="EY26" s="94"/>
      <c r="EZ26" s="94"/>
      <c r="FA26" s="94"/>
      <c r="FB26" s="94"/>
      <c r="FC26" s="94"/>
      <c r="FD26" s="94"/>
      <c r="FE26" s="94"/>
      <c r="FF26" s="94"/>
      <c r="FG26" s="94"/>
      <c r="FH26" s="94"/>
      <c r="FI26" s="94"/>
      <c r="FJ26" s="94"/>
      <c r="FK26" s="94"/>
      <c r="FL26" s="94"/>
      <c r="FM26" s="94"/>
      <c r="FN26" s="94"/>
      <c r="FO26" s="94"/>
      <c r="FP26" s="94"/>
      <c r="FQ26" s="94"/>
      <c r="FR26" s="94"/>
      <c r="FS26" s="94"/>
      <c r="FT26" s="94"/>
      <c r="FU26" s="94"/>
      <c r="FV26" s="94"/>
      <c r="FW26" s="94"/>
      <c r="FX26" s="94"/>
      <c r="FY26" s="94"/>
      <c r="FZ26" s="94"/>
      <c r="GA26" s="94"/>
      <c r="GB26" s="94"/>
      <c r="GC26" s="94"/>
      <c r="GD26" s="94"/>
      <c r="GE26" s="94"/>
      <c r="GF26" s="94"/>
      <c r="GG26" s="94"/>
      <c r="GH26" s="94"/>
      <c r="GI26" s="94"/>
      <c r="GJ26" s="94"/>
      <c r="GK26" s="94"/>
      <c r="GL26" s="94"/>
      <c r="GM26" s="94"/>
      <c r="GN26" s="94"/>
      <c r="GO26" s="94"/>
      <c r="GP26" s="94"/>
      <c r="GQ26" s="94"/>
      <c r="GR26" s="94"/>
      <c r="GS26" s="94"/>
      <c r="GT26" s="94"/>
      <c r="GU26" s="94"/>
      <c r="GV26" s="94"/>
      <c r="GW26" s="94"/>
      <c r="GX26" s="94"/>
      <c r="GY26" s="94"/>
      <c r="GZ26" s="94"/>
      <c r="HA26" s="94"/>
      <c r="HB26" s="94"/>
      <c r="HC26" s="94"/>
      <c r="HD26" s="94"/>
      <c r="HE26" s="94"/>
      <c r="HF26" s="94"/>
      <c r="HG26" s="94"/>
      <c r="HH26" s="94"/>
      <c r="HI26" s="94"/>
      <c r="HJ26" s="94"/>
      <c r="HK26" s="94"/>
      <c r="HL26" s="94"/>
      <c r="HM26" s="94"/>
      <c r="HN26" s="94"/>
      <c r="HO26" s="94"/>
      <c r="HP26" s="94"/>
      <c r="HQ26" s="94"/>
      <c r="HR26" s="94"/>
      <c r="HS26" s="94"/>
      <c r="HT26" s="94"/>
      <c r="HU26" s="94"/>
      <c r="HV26" s="94"/>
      <c r="HW26" s="94"/>
      <c r="HX26" s="94"/>
      <c r="HY26" s="94"/>
      <c r="HZ26" s="94"/>
      <c r="IA26" s="94"/>
      <c r="IB26" s="94"/>
      <c r="IC26" s="94"/>
      <c r="ID26" s="94"/>
      <c r="IE26" s="94"/>
      <c r="IF26" s="94"/>
      <c r="IG26" s="94"/>
      <c r="IH26" s="94"/>
      <c r="II26" s="94"/>
      <c r="IJ26" s="94"/>
      <c r="IK26" s="94"/>
      <c r="IL26" s="94"/>
      <c r="IM26" s="94"/>
      <c r="IN26" s="94"/>
      <c r="IO26" s="94"/>
      <c r="IP26" s="94"/>
      <c r="IQ26" s="94"/>
      <c r="IR26" s="94"/>
      <c r="IS26" s="94"/>
      <c r="IT26" s="94"/>
      <c r="IU26" s="94"/>
      <c r="IV26" s="94"/>
      <c r="IW26" s="94"/>
    </row>
    <row r="27" customFormat="false" ht="9.75" hidden="false" customHeight="true" outlineLevel="0" collapsed="false">
      <c r="A27" s="46"/>
      <c r="B27" s="157"/>
      <c r="C27" s="114"/>
      <c r="D27" s="114"/>
      <c r="E27" s="114"/>
      <c r="F27" s="114"/>
      <c r="G27" s="114"/>
      <c r="H27" s="95"/>
      <c r="I27" s="95"/>
      <c r="J27" s="114"/>
      <c r="K27" s="260"/>
    </row>
    <row r="28" customFormat="false" ht="12.75" hidden="false" customHeight="false" outlineLevel="0" collapsed="false">
      <c r="A28" s="46" t="s">
        <v>29</v>
      </c>
      <c r="B28" s="47"/>
      <c r="C28" s="114" t="n">
        <v>0</v>
      </c>
      <c r="D28" s="114" t="n">
        <v>0</v>
      </c>
      <c r="E28" s="114" t="n">
        <v>0</v>
      </c>
      <c r="F28" s="114" t="n">
        <v>0</v>
      </c>
      <c r="G28" s="114" t="n">
        <v>0</v>
      </c>
      <c r="H28" s="179" t="n">
        <f aca="false">SUM(C28:G28)</f>
        <v>0</v>
      </c>
      <c r="I28" s="114" t="n">
        <v>0</v>
      </c>
      <c r="J28" s="114" t="n">
        <v>0</v>
      </c>
      <c r="K28" s="260" t="n">
        <f aca="false">SUM(H28:J28)</f>
        <v>0</v>
      </c>
    </row>
    <row r="29" customFormat="false" ht="12.75" hidden="false" customHeight="false" outlineLevel="0" collapsed="false">
      <c r="A29" s="46" t="s">
        <v>30</v>
      </c>
      <c r="B29" s="47"/>
      <c r="C29" s="114" t="n">
        <v>0</v>
      </c>
      <c r="D29" s="114" t="n">
        <v>0</v>
      </c>
      <c r="E29" s="114" t="n">
        <v>0</v>
      </c>
      <c r="F29" s="114" t="n">
        <v>0</v>
      </c>
      <c r="G29" s="114" t="n">
        <v>0</v>
      </c>
      <c r="H29" s="179" t="n">
        <f aca="false">SUM(C29:G29)</f>
        <v>0</v>
      </c>
      <c r="I29" s="114" t="n">
        <v>0</v>
      </c>
      <c r="J29" s="114" t="n">
        <v>0</v>
      </c>
      <c r="K29" s="260" t="n">
        <f aca="false">SUM(H29:J29)</f>
        <v>0</v>
      </c>
    </row>
    <row r="30" customFormat="false" ht="13.5" hidden="false" customHeight="false" outlineLevel="0" collapsed="false">
      <c r="A30" s="46" t="s">
        <v>31</v>
      </c>
      <c r="B30" s="267"/>
      <c r="C30" s="268" t="n">
        <v>0</v>
      </c>
      <c r="D30" s="268" t="n">
        <v>0</v>
      </c>
      <c r="E30" s="268" t="n">
        <v>0</v>
      </c>
      <c r="F30" s="268" t="n">
        <v>0</v>
      </c>
      <c r="G30" s="268" t="n">
        <v>0</v>
      </c>
      <c r="H30" s="179" t="n">
        <f aca="false">SUM(C30:G30)</f>
        <v>0</v>
      </c>
      <c r="I30" s="268" t="n">
        <v>0</v>
      </c>
      <c r="J30" s="268" t="n">
        <v>0</v>
      </c>
      <c r="K30" s="260" t="n">
        <f aca="false">SUM(H30:J30)</f>
        <v>0</v>
      </c>
    </row>
    <row r="31" customFormat="false" ht="12.75" hidden="false" customHeight="false" outlineLevel="0" collapsed="false">
      <c r="A31" s="46" t="s">
        <v>32</v>
      </c>
      <c r="B31" s="47"/>
      <c r="C31" s="114" t="n">
        <v>0</v>
      </c>
      <c r="D31" s="114" t="n">
        <v>0</v>
      </c>
      <c r="E31" s="114" t="n">
        <v>0</v>
      </c>
      <c r="F31" s="114" t="n">
        <v>0</v>
      </c>
      <c r="G31" s="114" t="n">
        <v>0</v>
      </c>
      <c r="H31" s="179" t="n">
        <f aca="false">SUM(C31:G31)</f>
        <v>0</v>
      </c>
      <c r="I31" s="114" t="n">
        <v>0</v>
      </c>
      <c r="J31" s="114" t="n">
        <v>0</v>
      </c>
      <c r="K31" s="260" t="n">
        <f aca="false">SUM(H31:J31)</f>
        <v>0</v>
      </c>
    </row>
    <row r="32" customFormat="false" ht="12.75" hidden="false" customHeight="false" outlineLevel="0" collapsed="false">
      <c r="A32" s="46" t="s">
        <v>33</v>
      </c>
      <c r="B32" s="47"/>
      <c r="C32" s="114" t="n">
        <v>0</v>
      </c>
      <c r="D32" s="114" t="n">
        <v>0</v>
      </c>
      <c r="E32" s="114" t="n">
        <v>0</v>
      </c>
      <c r="F32" s="114" t="n">
        <v>0</v>
      </c>
      <c r="G32" s="114" t="n">
        <v>0</v>
      </c>
      <c r="H32" s="179" t="n">
        <f aca="false">SUM(C32:G32)</f>
        <v>0</v>
      </c>
      <c r="I32" s="114" t="n">
        <v>0</v>
      </c>
      <c r="J32" s="114" t="n">
        <v>0</v>
      </c>
      <c r="K32" s="260" t="n">
        <f aca="false">SUM(H32:J32)</f>
        <v>0</v>
      </c>
    </row>
    <row r="33" customFormat="false" ht="12.75" hidden="false" customHeight="false" outlineLevel="0" collapsed="false">
      <c r="A33" s="46" t="s">
        <v>34</v>
      </c>
      <c r="B33" s="47"/>
      <c r="C33" s="114" t="n">
        <v>0</v>
      </c>
      <c r="D33" s="114" t="n">
        <v>0</v>
      </c>
      <c r="E33" s="114" t="n">
        <v>0</v>
      </c>
      <c r="F33" s="114" t="n">
        <v>0</v>
      </c>
      <c r="G33" s="114" t="n">
        <v>0</v>
      </c>
      <c r="H33" s="179" t="n">
        <f aca="false">SUM(C33:G33)</f>
        <v>0</v>
      </c>
      <c r="I33" s="114" t="n">
        <v>0</v>
      </c>
      <c r="J33" s="114" t="n">
        <v>0</v>
      </c>
      <c r="K33" s="260" t="n">
        <f aca="false">SUM(H33:J33)</f>
        <v>0</v>
      </c>
    </row>
    <row r="34" customFormat="false" ht="12.75" hidden="false" customHeight="false" outlineLevel="0" collapsed="false">
      <c r="A34" s="46" t="s">
        <v>35</v>
      </c>
      <c r="B34" s="47"/>
      <c r="C34" s="114" t="n">
        <v>0</v>
      </c>
      <c r="D34" s="114" t="n">
        <v>0</v>
      </c>
      <c r="E34" s="114" t="n">
        <v>0</v>
      </c>
      <c r="F34" s="114" t="n">
        <v>0</v>
      </c>
      <c r="G34" s="114" t="n">
        <v>0</v>
      </c>
      <c r="H34" s="179" t="n">
        <f aca="false">SUM(C34:G34)</f>
        <v>0</v>
      </c>
      <c r="I34" s="114" t="n">
        <v>0</v>
      </c>
      <c r="J34" s="114" t="n">
        <v>0</v>
      </c>
      <c r="K34" s="260" t="n">
        <f aca="false">SUM(H34:J34)</f>
        <v>0</v>
      </c>
    </row>
    <row r="35" customFormat="false" ht="12.75" hidden="false" customHeight="false" outlineLevel="0" collapsed="false">
      <c r="A35" s="46" t="s">
        <v>36</v>
      </c>
      <c r="B35" s="47"/>
      <c r="C35" s="114" t="n">
        <v>0</v>
      </c>
      <c r="D35" s="114" t="n">
        <v>0</v>
      </c>
      <c r="E35" s="114" t="n">
        <v>0</v>
      </c>
      <c r="F35" s="114" t="n">
        <v>0</v>
      </c>
      <c r="G35" s="114" t="n">
        <v>0</v>
      </c>
      <c r="H35" s="179" t="n">
        <f aca="false">SUM(C35:G35)</f>
        <v>0</v>
      </c>
      <c r="I35" s="114" t="n">
        <v>0</v>
      </c>
      <c r="J35" s="114" t="n">
        <v>0</v>
      </c>
      <c r="K35" s="260" t="n">
        <f aca="false">SUM(H35:J35)</f>
        <v>0</v>
      </c>
    </row>
    <row r="36" customFormat="false" ht="12.75" hidden="false" customHeight="false" outlineLevel="0" collapsed="false">
      <c r="A36" s="46" t="s">
        <v>37</v>
      </c>
      <c r="B36" s="47"/>
      <c r="C36" s="114" t="n">
        <v>0</v>
      </c>
      <c r="D36" s="114" t="n">
        <v>0</v>
      </c>
      <c r="E36" s="114" t="n">
        <v>0</v>
      </c>
      <c r="F36" s="114" t="n">
        <v>0</v>
      </c>
      <c r="G36" s="114" t="n">
        <v>0</v>
      </c>
      <c r="H36" s="269" t="n">
        <f aca="false">SUM(C36:G36)</f>
        <v>0</v>
      </c>
      <c r="I36" s="114" t="n">
        <v>0</v>
      </c>
      <c r="J36" s="114" t="n">
        <v>0</v>
      </c>
      <c r="K36" s="260" t="n">
        <f aca="false">SUM(H36:J36)</f>
        <v>0</v>
      </c>
    </row>
    <row r="37" customFormat="false" ht="13.5" hidden="false" customHeight="false" outlineLevel="0" collapsed="false">
      <c r="A37" s="82" t="s">
        <v>38</v>
      </c>
      <c r="B37" s="270"/>
      <c r="C37" s="271" t="n">
        <f aca="false">SUM(C28:C35)</f>
        <v>0</v>
      </c>
      <c r="D37" s="271" t="n">
        <f aca="false">SUM(D28:D35)</f>
        <v>0</v>
      </c>
      <c r="E37" s="271" t="n">
        <f aca="false">SUM(E28:E35)</f>
        <v>0</v>
      </c>
      <c r="F37" s="271" t="n">
        <f aca="false">SUM(F28:F35)</f>
        <v>0</v>
      </c>
      <c r="G37" s="271" t="n">
        <f aca="false">SUM(G28:G35)</f>
        <v>0</v>
      </c>
      <c r="H37" s="272" t="n">
        <f aca="false">SUM(H28:H35)</f>
        <v>0</v>
      </c>
      <c r="I37" s="271" t="n">
        <f aca="false">SUM(I28:I35)</f>
        <v>0</v>
      </c>
      <c r="J37" s="271" t="n">
        <f aca="false">SUM(J28:J35)</f>
        <v>0</v>
      </c>
      <c r="K37" s="273" t="n">
        <f aca="false">SUM(K28:K35)</f>
        <v>0</v>
      </c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  <c r="BY37" s="94"/>
      <c r="BZ37" s="94"/>
      <c r="CA37" s="94"/>
      <c r="CB37" s="94"/>
      <c r="CC37" s="94"/>
      <c r="CD37" s="94"/>
      <c r="CE37" s="94"/>
      <c r="CF37" s="94"/>
      <c r="CG37" s="94"/>
      <c r="CH37" s="94"/>
      <c r="CI37" s="94"/>
      <c r="CJ37" s="94"/>
      <c r="CK37" s="94"/>
      <c r="CL37" s="94"/>
      <c r="CM37" s="94"/>
      <c r="CN37" s="94"/>
      <c r="CO37" s="94"/>
      <c r="CP37" s="94"/>
      <c r="CQ37" s="94"/>
      <c r="CR37" s="94"/>
      <c r="CS37" s="94"/>
      <c r="CT37" s="94"/>
      <c r="CU37" s="94"/>
      <c r="CV37" s="94"/>
      <c r="CW37" s="94"/>
      <c r="CX37" s="94"/>
      <c r="CY37" s="94"/>
      <c r="CZ37" s="94"/>
      <c r="DA37" s="94"/>
      <c r="DB37" s="94"/>
      <c r="DC37" s="94"/>
      <c r="DD37" s="94"/>
      <c r="DE37" s="94"/>
      <c r="DF37" s="94"/>
      <c r="DG37" s="94"/>
      <c r="DH37" s="94"/>
      <c r="DI37" s="94"/>
      <c r="DJ37" s="94"/>
      <c r="DK37" s="94"/>
      <c r="DL37" s="94"/>
      <c r="DM37" s="94"/>
      <c r="DN37" s="94"/>
      <c r="DO37" s="94"/>
      <c r="DP37" s="94"/>
      <c r="DQ37" s="94"/>
      <c r="DR37" s="94"/>
      <c r="DS37" s="94"/>
      <c r="DT37" s="94"/>
      <c r="DU37" s="94"/>
      <c r="DV37" s="94"/>
      <c r="DW37" s="94"/>
      <c r="DX37" s="94"/>
      <c r="DY37" s="94"/>
      <c r="DZ37" s="94"/>
      <c r="EA37" s="94"/>
      <c r="EB37" s="94"/>
      <c r="EC37" s="94"/>
      <c r="ED37" s="94"/>
      <c r="EE37" s="94"/>
      <c r="EF37" s="94"/>
      <c r="EG37" s="94"/>
      <c r="EH37" s="94"/>
      <c r="EI37" s="94"/>
      <c r="EJ37" s="94"/>
      <c r="EK37" s="94"/>
      <c r="EL37" s="94"/>
      <c r="EM37" s="94"/>
      <c r="EN37" s="94"/>
      <c r="EO37" s="94"/>
      <c r="EP37" s="94"/>
      <c r="EQ37" s="94"/>
      <c r="ER37" s="94"/>
      <c r="ES37" s="94"/>
      <c r="ET37" s="94"/>
      <c r="EU37" s="94"/>
      <c r="EV37" s="94"/>
      <c r="EW37" s="94"/>
      <c r="EX37" s="94"/>
      <c r="EY37" s="94"/>
      <c r="EZ37" s="94"/>
      <c r="FA37" s="94"/>
      <c r="FB37" s="94"/>
      <c r="FC37" s="94"/>
      <c r="FD37" s="94"/>
      <c r="FE37" s="94"/>
      <c r="FF37" s="94"/>
      <c r="FG37" s="94"/>
      <c r="FH37" s="94"/>
      <c r="FI37" s="94"/>
      <c r="FJ37" s="94"/>
      <c r="FK37" s="94"/>
      <c r="FL37" s="94"/>
      <c r="FM37" s="94"/>
      <c r="FN37" s="94"/>
      <c r="FO37" s="94"/>
      <c r="FP37" s="94"/>
      <c r="FQ37" s="94"/>
      <c r="FR37" s="94"/>
      <c r="FS37" s="94"/>
      <c r="FT37" s="94"/>
      <c r="FU37" s="94"/>
      <c r="FV37" s="94"/>
      <c r="FW37" s="94"/>
      <c r="FX37" s="94"/>
      <c r="FY37" s="94"/>
      <c r="FZ37" s="94"/>
      <c r="GA37" s="94"/>
      <c r="GB37" s="94"/>
      <c r="GC37" s="94"/>
      <c r="GD37" s="94"/>
      <c r="GE37" s="94"/>
      <c r="GF37" s="94"/>
      <c r="GG37" s="94"/>
      <c r="GH37" s="94"/>
      <c r="GI37" s="94"/>
      <c r="GJ37" s="94"/>
      <c r="GK37" s="94"/>
      <c r="GL37" s="94"/>
      <c r="GM37" s="94"/>
      <c r="GN37" s="94"/>
      <c r="GO37" s="94"/>
      <c r="GP37" s="94"/>
      <c r="GQ37" s="94"/>
      <c r="GR37" s="94"/>
      <c r="GS37" s="94"/>
      <c r="GT37" s="94"/>
      <c r="GU37" s="94"/>
      <c r="GV37" s="94"/>
      <c r="GW37" s="94"/>
      <c r="GX37" s="94"/>
      <c r="GY37" s="94"/>
      <c r="GZ37" s="94"/>
      <c r="HA37" s="94"/>
      <c r="HB37" s="94"/>
      <c r="HC37" s="94"/>
      <c r="HD37" s="94"/>
      <c r="HE37" s="94"/>
      <c r="HF37" s="94"/>
      <c r="HG37" s="94"/>
      <c r="HH37" s="94"/>
      <c r="HI37" s="94"/>
      <c r="HJ37" s="94"/>
      <c r="HK37" s="94"/>
      <c r="HL37" s="94"/>
      <c r="HM37" s="94"/>
      <c r="HN37" s="94"/>
      <c r="HO37" s="94"/>
      <c r="HP37" s="94"/>
      <c r="HQ37" s="94"/>
      <c r="HR37" s="94"/>
      <c r="HS37" s="94"/>
      <c r="HT37" s="94"/>
      <c r="HU37" s="94"/>
      <c r="HV37" s="94"/>
      <c r="HW37" s="94"/>
      <c r="HX37" s="94"/>
      <c r="HY37" s="94"/>
      <c r="HZ37" s="94"/>
      <c r="IA37" s="94"/>
      <c r="IB37" s="94"/>
      <c r="IC37" s="94"/>
      <c r="ID37" s="94"/>
      <c r="IE37" s="94"/>
      <c r="IF37" s="94"/>
      <c r="IG37" s="94"/>
      <c r="IH37" s="94"/>
      <c r="II37" s="94"/>
      <c r="IJ37" s="94"/>
      <c r="IK37" s="94"/>
      <c r="IL37" s="94"/>
      <c r="IM37" s="94"/>
      <c r="IN37" s="94"/>
      <c r="IO37" s="94"/>
      <c r="IP37" s="94"/>
      <c r="IQ37" s="94"/>
      <c r="IR37" s="94"/>
      <c r="IS37" s="94"/>
      <c r="IT37" s="94"/>
      <c r="IU37" s="94"/>
      <c r="IV37" s="94"/>
      <c r="IW37" s="94"/>
    </row>
    <row r="38" customFormat="false" ht="12.75" hidden="false" customHeight="false" outlineLevel="0" collapsed="false">
      <c r="A38" s="46"/>
      <c r="B38" s="259"/>
      <c r="C38" s="95"/>
      <c r="D38" s="114"/>
      <c r="E38" s="114"/>
      <c r="F38" s="114"/>
      <c r="G38" s="114"/>
      <c r="H38" s="179"/>
      <c r="I38" s="95"/>
      <c r="J38" s="114"/>
      <c r="K38" s="260"/>
    </row>
    <row r="39" customFormat="false" ht="12.75" hidden="false" customHeight="false" outlineLevel="0" collapsed="false">
      <c r="A39" s="46" t="s">
        <v>39</v>
      </c>
      <c r="B39" s="274"/>
      <c r="C39" s="95" t="n">
        <v>0</v>
      </c>
      <c r="D39" s="114" t="n">
        <v>0</v>
      </c>
      <c r="E39" s="114" t="n">
        <v>0</v>
      </c>
      <c r="F39" s="114" t="n">
        <v>0</v>
      </c>
      <c r="G39" s="114" t="n">
        <v>0</v>
      </c>
      <c r="H39" s="179" t="n">
        <f aca="false">SUM(C39:G39)</f>
        <v>0</v>
      </c>
      <c r="I39" s="114" t="n">
        <v>0</v>
      </c>
      <c r="J39" s="114" t="n">
        <v>0</v>
      </c>
      <c r="K39" s="260" t="n">
        <f aca="false">SUM(H39:J39)</f>
        <v>0</v>
      </c>
    </row>
    <row r="40" customFormat="false" ht="12.75" hidden="false" customHeight="false" outlineLevel="0" collapsed="false">
      <c r="A40" s="46" t="s">
        <v>40</v>
      </c>
      <c r="B40" s="259"/>
      <c r="C40" s="256" t="n">
        <v>0</v>
      </c>
      <c r="D40" s="257" t="n">
        <v>0</v>
      </c>
      <c r="E40" s="257" t="n">
        <v>0</v>
      </c>
      <c r="F40" s="257" t="n">
        <v>0</v>
      </c>
      <c r="G40" s="257" t="n">
        <v>0</v>
      </c>
      <c r="H40" s="179" t="n">
        <f aca="false">SUM(C40:G40)</f>
        <v>0</v>
      </c>
      <c r="I40" s="257" t="n">
        <v>0</v>
      </c>
      <c r="J40" s="257" t="n">
        <v>0</v>
      </c>
      <c r="K40" s="260" t="n">
        <f aca="false">SUM(H40:J40)</f>
        <v>0</v>
      </c>
    </row>
    <row r="41" customFormat="false" ht="13.5" hidden="false" customHeight="false" outlineLevel="0" collapsed="false">
      <c r="A41" s="46" t="s">
        <v>41</v>
      </c>
      <c r="B41" s="275"/>
      <c r="C41" s="276" t="n">
        <v>0</v>
      </c>
      <c r="D41" s="268" t="n">
        <v>0</v>
      </c>
      <c r="E41" s="268" t="n">
        <v>0</v>
      </c>
      <c r="F41" s="268" t="n">
        <v>0</v>
      </c>
      <c r="G41" s="268" t="n">
        <v>0</v>
      </c>
      <c r="H41" s="179" t="n">
        <f aca="false">SUM(C41:G41)</f>
        <v>0</v>
      </c>
      <c r="I41" s="268" t="n">
        <v>0</v>
      </c>
      <c r="J41" s="268" t="n">
        <v>0</v>
      </c>
      <c r="K41" s="260" t="n">
        <f aca="false">SUM(H41:J41)</f>
        <v>0</v>
      </c>
      <c r="L41" s="277"/>
      <c r="M41" s="277"/>
      <c r="N41" s="277"/>
      <c r="O41" s="277"/>
      <c r="P41" s="277"/>
      <c r="Q41" s="277"/>
      <c r="R41" s="277"/>
      <c r="S41" s="277"/>
      <c r="T41" s="277"/>
      <c r="U41" s="277"/>
      <c r="V41" s="277"/>
      <c r="W41" s="277"/>
      <c r="X41" s="277"/>
      <c r="Y41" s="277"/>
      <c r="Z41" s="277"/>
      <c r="AA41" s="277"/>
      <c r="AB41" s="277"/>
      <c r="AC41" s="277"/>
      <c r="AD41" s="277"/>
      <c r="AE41" s="277"/>
      <c r="AF41" s="277"/>
      <c r="AG41" s="277"/>
      <c r="AH41" s="277"/>
      <c r="AI41" s="277"/>
      <c r="AJ41" s="277"/>
      <c r="AK41" s="277"/>
      <c r="AL41" s="277"/>
      <c r="AM41" s="277"/>
      <c r="AN41" s="277"/>
      <c r="AO41" s="277"/>
      <c r="AP41" s="277"/>
      <c r="AQ41" s="277"/>
      <c r="AR41" s="277"/>
      <c r="AS41" s="277"/>
      <c r="AT41" s="277"/>
      <c r="AU41" s="277"/>
      <c r="AV41" s="277"/>
      <c r="AW41" s="277"/>
      <c r="AX41" s="277"/>
      <c r="AY41" s="277"/>
      <c r="AZ41" s="277"/>
      <c r="BA41" s="277"/>
      <c r="BB41" s="277"/>
      <c r="BC41" s="277"/>
      <c r="BD41" s="277"/>
      <c r="BE41" s="277"/>
      <c r="BF41" s="277"/>
      <c r="BG41" s="277"/>
      <c r="BH41" s="277"/>
      <c r="BI41" s="277"/>
      <c r="BJ41" s="277"/>
      <c r="BK41" s="277"/>
      <c r="BL41" s="277"/>
      <c r="BM41" s="277"/>
      <c r="BN41" s="277"/>
      <c r="BO41" s="277"/>
      <c r="BP41" s="277"/>
      <c r="BQ41" s="277"/>
      <c r="BR41" s="277"/>
      <c r="BS41" s="277"/>
      <c r="BT41" s="277"/>
      <c r="BU41" s="277"/>
      <c r="BV41" s="277"/>
      <c r="BW41" s="277"/>
      <c r="BX41" s="277"/>
      <c r="BY41" s="277"/>
      <c r="BZ41" s="277"/>
      <c r="CA41" s="277"/>
      <c r="CB41" s="277"/>
      <c r="CC41" s="277"/>
      <c r="CD41" s="277"/>
      <c r="CE41" s="277"/>
      <c r="CF41" s="277"/>
      <c r="CG41" s="277"/>
      <c r="CH41" s="277"/>
      <c r="CI41" s="277"/>
      <c r="CJ41" s="277"/>
      <c r="CK41" s="277"/>
      <c r="CL41" s="277"/>
      <c r="CM41" s="277"/>
      <c r="CN41" s="277"/>
      <c r="CO41" s="277"/>
      <c r="CP41" s="277"/>
      <c r="CQ41" s="277"/>
      <c r="CR41" s="277"/>
      <c r="CS41" s="277"/>
      <c r="CT41" s="277"/>
      <c r="CU41" s="277"/>
      <c r="CV41" s="277"/>
      <c r="CW41" s="277"/>
      <c r="CX41" s="277"/>
      <c r="CY41" s="277"/>
      <c r="CZ41" s="277"/>
      <c r="DA41" s="277"/>
      <c r="DB41" s="277"/>
      <c r="DC41" s="277"/>
      <c r="DD41" s="277"/>
      <c r="DE41" s="277"/>
      <c r="DF41" s="277"/>
      <c r="DG41" s="277"/>
      <c r="DH41" s="277"/>
      <c r="DI41" s="277"/>
      <c r="DJ41" s="277"/>
      <c r="DK41" s="277"/>
      <c r="DL41" s="277"/>
      <c r="DM41" s="277"/>
      <c r="DN41" s="277"/>
      <c r="DO41" s="277"/>
      <c r="DP41" s="277"/>
      <c r="DQ41" s="277"/>
      <c r="DR41" s="277"/>
      <c r="DS41" s="277"/>
      <c r="DT41" s="277"/>
      <c r="DU41" s="277"/>
      <c r="DV41" s="277"/>
      <c r="DW41" s="277"/>
      <c r="DX41" s="277"/>
      <c r="DY41" s="277"/>
      <c r="DZ41" s="277"/>
      <c r="EA41" s="277"/>
      <c r="EB41" s="277"/>
      <c r="EC41" s="277"/>
      <c r="ED41" s="277"/>
      <c r="EE41" s="277"/>
      <c r="EF41" s="277"/>
      <c r="EG41" s="277"/>
      <c r="EH41" s="277"/>
      <c r="EI41" s="277"/>
      <c r="EJ41" s="277"/>
      <c r="EK41" s="277"/>
      <c r="EL41" s="277"/>
      <c r="EM41" s="277"/>
      <c r="EN41" s="277"/>
      <c r="EO41" s="277"/>
      <c r="EP41" s="277"/>
      <c r="EQ41" s="277"/>
      <c r="ER41" s="277"/>
      <c r="ES41" s="277"/>
      <c r="ET41" s="277"/>
      <c r="EU41" s="277"/>
      <c r="EV41" s="277"/>
      <c r="EW41" s="277"/>
      <c r="EX41" s="277"/>
      <c r="EY41" s="277"/>
      <c r="EZ41" s="277"/>
      <c r="FA41" s="277"/>
      <c r="FB41" s="277"/>
      <c r="FC41" s="277"/>
      <c r="FD41" s="277"/>
      <c r="FE41" s="277"/>
      <c r="FF41" s="277"/>
      <c r="FG41" s="277"/>
      <c r="FH41" s="277"/>
      <c r="FI41" s="277"/>
      <c r="FJ41" s="277"/>
      <c r="FK41" s="277"/>
      <c r="FL41" s="277"/>
      <c r="FM41" s="277"/>
      <c r="FN41" s="277"/>
      <c r="FO41" s="277"/>
      <c r="FP41" s="277"/>
      <c r="FQ41" s="277"/>
      <c r="FR41" s="277"/>
      <c r="FS41" s="277"/>
      <c r="FT41" s="277"/>
      <c r="FU41" s="277"/>
      <c r="FV41" s="277"/>
      <c r="FW41" s="277"/>
      <c r="FX41" s="277"/>
      <c r="FY41" s="277"/>
      <c r="FZ41" s="277"/>
      <c r="GA41" s="277"/>
      <c r="GB41" s="277"/>
      <c r="GC41" s="277"/>
      <c r="GD41" s="277"/>
      <c r="GE41" s="277"/>
      <c r="GF41" s="277"/>
      <c r="GG41" s="277"/>
      <c r="GH41" s="277"/>
      <c r="GI41" s="277"/>
      <c r="GJ41" s="277"/>
      <c r="GK41" s="277"/>
      <c r="GL41" s="277"/>
      <c r="GM41" s="277"/>
      <c r="GN41" s="277"/>
      <c r="GO41" s="277"/>
      <c r="GP41" s="277"/>
      <c r="GQ41" s="277"/>
      <c r="GR41" s="277"/>
      <c r="GS41" s="277"/>
      <c r="GT41" s="277"/>
      <c r="GU41" s="277"/>
      <c r="GV41" s="277"/>
      <c r="GW41" s="277"/>
      <c r="GX41" s="277"/>
      <c r="GY41" s="277"/>
      <c r="GZ41" s="277"/>
      <c r="HA41" s="277"/>
      <c r="HB41" s="277"/>
      <c r="HC41" s="277"/>
      <c r="HD41" s="277"/>
      <c r="HE41" s="277"/>
      <c r="HF41" s="277"/>
      <c r="HG41" s="277"/>
      <c r="HH41" s="277"/>
      <c r="HI41" s="277"/>
      <c r="HJ41" s="277"/>
      <c r="HK41" s="277"/>
      <c r="HL41" s="277"/>
      <c r="HM41" s="277"/>
      <c r="HN41" s="277"/>
      <c r="HO41" s="277"/>
      <c r="HP41" s="277"/>
      <c r="HQ41" s="277"/>
      <c r="HR41" s="277"/>
      <c r="HS41" s="277"/>
      <c r="HT41" s="277"/>
      <c r="HU41" s="277"/>
      <c r="HV41" s="277"/>
      <c r="HW41" s="277"/>
      <c r="HX41" s="277"/>
      <c r="HY41" s="277"/>
      <c r="HZ41" s="277"/>
      <c r="IA41" s="277"/>
      <c r="IB41" s="277"/>
      <c r="IC41" s="277"/>
      <c r="ID41" s="277"/>
      <c r="IE41" s="277"/>
      <c r="IF41" s="277"/>
      <c r="IG41" s="277"/>
      <c r="IH41" s="277"/>
      <c r="II41" s="277"/>
      <c r="IJ41" s="277"/>
      <c r="IK41" s="277"/>
      <c r="IL41" s="277"/>
      <c r="IM41" s="277"/>
      <c r="IN41" s="277"/>
      <c r="IO41" s="277"/>
      <c r="IP41" s="277"/>
      <c r="IQ41" s="277"/>
      <c r="IR41" s="277"/>
      <c r="IS41" s="277"/>
      <c r="IT41" s="277"/>
      <c r="IU41" s="277"/>
      <c r="IV41" s="277"/>
      <c r="IW41" s="277"/>
    </row>
    <row r="42" customFormat="false" ht="12.75" hidden="false" customHeight="false" outlineLevel="0" collapsed="false">
      <c r="A42" s="46" t="s">
        <v>42</v>
      </c>
      <c r="B42" s="259"/>
      <c r="C42" s="95" t="n">
        <v>0</v>
      </c>
      <c r="D42" s="114" t="n">
        <v>0</v>
      </c>
      <c r="E42" s="114" t="n">
        <v>0</v>
      </c>
      <c r="F42" s="114" t="n">
        <v>0</v>
      </c>
      <c r="G42" s="114" t="n">
        <v>0</v>
      </c>
      <c r="H42" s="179" t="n">
        <f aca="false">SUM(C42:G42)</f>
        <v>0</v>
      </c>
      <c r="I42" s="114" t="n">
        <v>0</v>
      </c>
      <c r="J42" s="114" t="n">
        <v>0</v>
      </c>
      <c r="K42" s="260" t="n">
        <f aca="false">SUM(H42:J42)</f>
        <v>0</v>
      </c>
    </row>
    <row r="43" customFormat="false" ht="12.75" hidden="false" customHeight="false" outlineLevel="0" collapsed="false">
      <c r="A43" s="46" t="s">
        <v>43</v>
      </c>
      <c r="B43" s="259"/>
      <c r="C43" s="95" t="n">
        <v>0</v>
      </c>
      <c r="D43" s="114" t="n">
        <v>0</v>
      </c>
      <c r="E43" s="114" t="n">
        <v>0</v>
      </c>
      <c r="F43" s="114" t="n">
        <v>0</v>
      </c>
      <c r="G43" s="114" t="n">
        <v>0</v>
      </c>
      <c r="H43" s="179" t="n">
        <f aca="false">SUM(C43:G43)</f>
        <v>0</v>
      </c>
      <c r="I43" s="114" t="n">
        <v>0</v>
      </c>
      <c r="J43" s="114" t="n">
        <v>0</v>
      </c>
      <c r="K43" s="260" t="n">
        <f aca="false">SUM(H43:J43)</f>
        <v>0</v>
      </c>
    </row>
    <row r="44" customFormat="false" ht="12.75" hidden="false" customHeight="false" outlineLevel="0" collapsed="false">
      <c r="A44" s="46" t="s">
        <v>44</v>
      </c>
      <c r="B44" s="259"/>
      <c r="C44" s="95" t="n">
        <v>0</v>
      </c>
      <c r="D44" s="114" t="n">
        <v>0</v>
      </c>
      <c r="E44" s="114" t="n">
        <v>0</v>
      </c>
      <c r="F44" s="114" t="n">
        <v>0</v>
      </c>
      <c r="G44" s="114" t="n">
        <v>0</v>
      </c>
      <c r="H44" s="179" t="n">
        <f aca="false">SUM(C44:G44)</f>
        <v>0</v>
      </c>
      <c r="I44" s="114" t="n">
        <v>0</v>
      </c>
      <c r="J44" s="114" t="n">
        <v>0</v>
      </c>
      <c r="K44" s="278" t="n">
        <f aca="false">SUM(H44:J44)</f>
        <v>0</v>
      </c>
    </row>
    <row r="45" customFormat="false" ht="13.5" hidden="false" customHeight="false" outlineLevel="0" collapsed="false">
      <c r="A45" s="82" t="s">
        <v>45</v>
      </c>
      <c r="B45" s="266"/>
      <c r="C45" s="279" t="n">
        <f aca="false">SUM(C39:C44)</f>
        <v>0</v>
      </c>
      <c r="D45" s="271" t="n">
        <f aca="false">SUM(D39:D44)</f>
        <v>0</v>
      </c>
      <c r="E45" s="271" t="n">
        <f aca="false">SUM(E39:E44)</f>
        <v>0</v>
      </c>
      <c r="F45" s="271" t="n">
        <f aca="false">SUM(F39:F44)</f>
        <v>0</v>
      </c>
      <c r="G45" s="271" t="n">
        <f aca="false">SUM(G39:G44)</f>
        <v>0</v>
      </c>
      <c r="H45" s="272" t="n">
        <f aca="false">SUM(H37:H44)</f>
        <v>0</v>
      </c>
      <c r="I45" s="271" t="n">
        <f aca="false">SUM(I39:I44)</f>
        <v>0</v>
      </c>
      <c r="J45" s="271" t="n">
        <f aca="false">SUM(J39:J44)</f>
        <v>0</v>
      </c>
      <c r="K45" s="273" t="n">
        <f aca="false">SUM(K37:K44)</f>
        <v>0</v>
      </c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94"/>
      <c r="CD45" s="94"/>
      <c r="CE45" s="94"/>
      <c r="CF45" s="94"/>
      <c r="CG45" s="94"/>
      <c r="CH45" s="94"/>
      <c r="CI45" s="94"/>
      <c r="CJ45" s="94"/>
      <c r="CK45" s="94"/>
      <c r="CL45" s="94"/>
      <c r="CM45" s="94"/>
      <c r="CN45" s="94"/>
      <c r="CO45" s="94"/>
      <c r="CP45" s="94"/>
      <c r="CQ45" s="94"/>
      <c r="CR45" s="94"/>
      <c r="CS45" s="94"/>
      <c r="CT45" s="94"/>
      <c r="CU45" s="94"/>
      <c r="CV45" s="94"/>
      <c r="CW45" s="94"/>
      <c r="CX45" s="94"/>
      <c r="CY45" s="94"/>
      <c r="CZ45" s="94"/>
      <c r="DA45" s="94"/>
      <c r="DB45" s="94"/>
      <c r="DC45" s="94"/>
      <c r="DD45" s="94"/>
      <c r="DE45" s="94"/>
      <c r="DF45" s="94"/>
      <c r="DG45" s="94"/>
      <c r="DH45" s="94"/>
      <c r="DI45" s="94"/>
      <c r="DJ45" s="94"/>
      <c r="DK45" s="94"/>
      <c r="DL45" s="94"/>
      <c r="DM45" s="94"/>
      <c r="DN45" s="94"/>
      <c r="DO45" s="94"/>
      <c r="DP45" s="94"/>
      <c r="DQ45" s="94"/>
      <c r="DR45" s="94"/>
      <c r="DS45" s="94"/>
      <c r="DT45" s="94"/>
      <c r="DU45" s="94"/>
      <c r="DV45" s="94"/>
      <c r="DW45" s="94"/>
      <c r="DX45" s="94"/>
      <c r="DY45" s="94"/>
      <c r="DZ45" s="94"/>
      <c r="EA45" s="94"/>
      <c r="EB45" s="94"/>
      <c r="EC45" s="94"/>
      <c r="ED45" s="94"/>
      <c r="EE45" s="94"/>
      <c r="EF45" s="94"/>
      <c r="EG45" s="94"/>
      <c r="EH45" s="94"/>
      <c r="EI45" s="94"/>
      <c r="EJ45" s="94"/>
      <c r="EK45" s="94"/>
      <c r="EL45" s="94"/>
      <c r="EM45" s="94"/>
      <c r="EN45" s="94"/>
      <c r="EO45" s="94"/>
      <c r="EP45" s="94"/>
      <c r="EQ45" s="94"/>
      <c r="ER45" s="94"/>
      <c r="ES45" s="94"/>
      <c r="ET45" s="94"/>
      <c r="EU45" s="94"/>
      <c r="EV45" s="94"/>
      <c r="EW45" s="94"/>
      <c r="EX45" s="94"/>
      <c r="EY45" s="94"/>
      <c r="EZ45" s="94"/>
      <c r="FA45" s="94"/>
      <c r="FB45" s="94"/>
      <c r="FC45" s="94"/>
      <c r="FD45" s="94"/>
      <c r="FE45" s="94"/>
      <c r="FF45" s="94"/>
      <c r="FG45" s="94"/>
      <c r="FH45" s="94"/>
      <c r="FI45" s="94"/>
      <c r="FJ45" s="94"/>
      <c r="FK45" s="94"/>
      <c r="FL45" s="94"/>
      <c r="FM45" s="94"/>
      <c r="FN45" s="94"/>
      <c r="FO45" s="94"/>
      <c r="FP45" s="94"/>
      <c r="FQ45" s="94"/>
      <c r="FR45" s="94"/>
      <c r="FS45" s="94"/>
      <c r="FT45" s="94"/>
      <c r="FU45" s="94"/>
      <c r="FV45" s="94"/>
      <c r="FW45" s="94"/>
      <c r="FX45" s="94"/>
      <c r="FY45" s="94"/>
      <c r="FZ45" s="94"/>
      <c r="GA45" s="94"/>
      <c r="GB45" s="94"/>
      <c r="GC45" s="94"/>
      <c r="GD45" s="94"/>
      <c r="GE45" s="94"/>
      <c r="GF45" s="94"/>
      <c r="GG45" s="94"/>
      <c r="GH45" s="94"/>
      <c r="GI45" s="94"/>
      <c r="GJ45" s="94"/>
      <c r="GK45" s="94"/>
      <c r="GL45" s="94"/>
      <c r="GM45" s="94"/>
      <c r="GN45" s="94"/>
      <c r="GO45" s="94"/>
      <c r="GP45" s="94"/>
      <c r="GQ45" s="94"/>
      <c r="GR45" s="94"/>
      <c r="GS45" s="94"/>
      <c r="GT45" s="94"/>
      <c r="GU45" s="94"/>
      <c r="GV45" s="94"/>
      <c r="GW45" s="94"/>
      <c r="GX45" s="94"/>
      <c r="GY45" s="94"/>
      <c r="GZ45" s="94"/>
      <c r="HA45" s="94"/>
      <c r="HB45" s="94"/>
      <c r="HC45" s="94"/>
      <c r="HD45" s="94"/>
      <c r="HE45" s="94"/>
      <c r="HF45" s="94"/>
      <c r="HG45" s="94"/>
      <c r="HH45" s="94"/>
      <c r="HI45" s="94"/>
      <c r="HJ45" s="94"/>
      <c r="HK45" s="94"/>
      <c r="HL45" s="94"/>
      <c r="HM45" s="94"/>
      <c r="HN45" s="94"/>
      <c r="HO45" s="94"/>
      <c r="HP45" s="94"/>
      <c r="HQ45" s="94"/>
      <c r="HR45" s="94"/>
      <c r="HS45" s="94"/>
      <c r="HT45" s="94"/>
      <c r="HU45" s="94"/>
      <c r="HV45" s="94"/>
      <c r="HW45" s="94"/>
      <c r="HX45" s="94"/>
      <c r="HY45" s="94"/>
      <c r="HZ45" s="94"/>
      <c r="IA45" s="94"/>
      <c r="IB45" s="94"/>
      <c r="IC45" s="94"/>
      <c r="ID45" s="94"/>
      <c r="IE45" s="94"/>
      <c r="IF45" s="94"/>
      <c r="IG45" s="94"/>
      <c r="IH45" s="94"/>
      <c r="II45" s="94"/>
      <c r="IJ45" s="94"/>
      <c r="IK45" s="94"/>
      <c r="IL45" s="94"/>
      <c r="IM45" s="94"/>
      <c r="IN45" s="94"/>
      <c r="IO45" s="94"/>
      <c r="IP45" s="94"/>
      <c r="IQ45" s="94"/>
      <c r="IR45" s="94"/>
      <c r="IS45" s="94"/>
      <c r="IT45" s="94"/>
      <c r="IU45" s="94"/>
      <c r="IV45" s="94"/>
      <c r="IW45" s="94"/>
    </row>
    <row r="46" customFormat="false" ht="12.75" hidden="false" customHeight="false" outlineLevel="0" collapsed="false">
      <c r="A46" s="46"/>
      <c r="B46" s="259"/>
      <c r="C46" s="95"/>
      <c r="D46" s="114"/>
      <c r="E46" s="114"/>
      <c r="F46" s="114"/>
      <c r="G46" s="114"/>
      <c r="H46" s="95"/>
      <c r="I46" s="95"/>
      <c r="J46" s="114"/>
      <c r="K46" s="260"/>
    </row>
    <row r="47" customFormat="false" ht="12.75" hidden="false" customHeight="false" outlineLevel="0" collapsed="false">
      <c r="A47" s="46" t="s">
        <v>46</v>
      </c>
      <c r="B47" s="259"/>
      <c r="C47" s="95" t="n">
        <v>0</v>
      </c>
      <c r="D47" s="114" t="n">
        <v>0</v>
      </c>
      <c r="E47" s="114" t="n">
        <v>0</v>
      </c>
      <c r="F47" s="114" t="n">
        <v>0</v>
      </c>
      <c r="G47" s="114" t="n">
        <v>0</v>
      </c>
      <c r="H47" s="179" t="n">
        <f aca="false">SUM(C47:G47)</f>
        <v>0</v>
      </c>
      <c r="I47" s="114" t="n">
        <v>0</v>
      </c>
      <c r="J47" s="114" t="n">
        <v>0</v>
      </c>
      <c r="K47" s="260" t="n">
        <f aca="false">SUM(H47:J47)</f>
        <v>0</v>
      </c>
    </row>
    <row r="48" customFormat="false" ht="12.75" hidden="false" customHeight="false" outlineLevel="0" collapsed="false">
      <c r="A48" s="46" t="s">
        <v>47</v>
      </c>
      <c r="B48" s="259"/>
      <c r="C48" s="256" t="n">
        <v>0</v>
      </c>
      <c r="D48" s="257" t="n">
        <v>0</v>
      </c>
      <c r="E48" s="257" t="n">
        <v>0</v>
      </c>
      <c r="F48" s="257" t="n">
        <v>0</v>
      </c>
      <c r="G48" s="257" t="n">
        <v>0</v>
      </c>
      <c r="H48" s="179" t="n">
        <f aca="false">SUM(C48:G48)</f>
        <v>0</v>
      </c>
      <c r="I48" s="257" t="n">
        <v>0</v>
      </c>
      <c r="J48" s="257" t="n">
        <v>0</v>
      </c>
      <c r="K48" s="260" t="n">
        <f aca="false">SUM(H48:J48)</f>
        <v>0</v>
      </c>
    </row>
    <row r="49" customFormat="false" ht="13.5" hidden="false" customHeight="false" outlineLevel="0" collapsed="false">
      <c r="A49" s="46" t="s">
        <v>48</v>
      </c>
      <c r="B49" s="259"/>
      <c r="C49" s="280" t="n">
        <v>0</v>
      </c>
      <c r="D49" s="281" t="n">
        <v>0</v>
      </c>
      <c r="E49" s="281" t="n">
        <v>0</v>
      </c>
      <c r="F49" s="281" t="n">
        <v>0</v>
      </c>
      <c r="G49" s="281" t="n">
        <v>0</v>
      </c>
      <c r="H49" s="179" t="n">
        <f aca="false">SUM(C49:G49)</f>
        <v>0</v>
      </c>
      <c r="I49" s="281" t="n">
        <v>0</v>
      </c>
      <c r="J49" s="281" t="n">
        <v>0</v>
      </c>
      <c r="K49" s="260" t="n">
        <f aca="false">SUM(H49:J49)</f>
        <v>0</v>
      </c>
    </row>
    <row r="50" customFormat="false" ht="12.75" hidden="false" customHeight="false" outlineLevel="0" collapsed="false">
      <c r="A50" s="46" t="s">
        <v>49</v>
      </c>
      <c r="B50" s="259"/>
      <c r="C50" s="114" t="n">
        <v>0</v>
      </c>
      <c r="D50" s="114" t="n">
        <v>0</v>
      </c>
      <c r="E50" s="114" t="n">
        <v>0</v>
      </c>
      <c r="F50" s="114" t="n">
        <v>0</v>
      </c>
      <c r="G50" s="114" t="n">
        <v>0</v>
      </c>
      <c r="H50" s="179" t="n">
        <f aca="false">SUM(C50:G50)</f>
        <v>0</v>
      </c>
      <c r="I50" s="114" t="n">
        <v>0</v>
      </c>
      <c r="J50" s="114" t="n">
        <v>0</v>
      </c>
      <c r="K50" s="260" t="n">
        <f aca="false">SUM(H50:J50)</f>
        <v>0</v>
      </c>
    </row>
    <row r="51" customFormat="false" ht="12.75" hidden="false" customHeight="false" outlineLevel="0" collapsed="false">
      <c r="A51" s="46" t="s">
        <v>50</v>
      </c>
      <c r="B51" s="259"/>
      <c r="C51" s="114" t="n">
        <v>0</v>
      </c>
      <c r="D51" s="114" t="n">
        <v>0</v>
      </c>
      <c r="E51" s="114" t="n">
        <v>0</v>
      </c>
      <c r="F51" s="114" t="n">
        <v>0</v>
      </c>
      <c r="G51" s="114" t="n">
        <v>0</v>
      </c>
      <c r="H51" s="179" t="n">
        <f aca="false">SUM(C51:G51)</f>
        <v>0</v>
      </c>
      <c r="I51" s="114" t="n">
        <v>0</v>
      </c>
      <c r="J51" s="114" t="n">
        <v>0</v>
      </c>
      <c r="K51" s="260" t="n">
        <f aca="false">SUM(H51:J51)</f>
        <v>0</v>
      </c>
    </row>
    <row r="52" customFormat="false" ht="12.75" hidden="false" customHeight="false" outlineLevel="0" collapsed="false">
      <c r="A52" s="46" t="s">
        <v>51</v>
      </c>
      <c r="B52" s="259"/>
      <c r="C52" s="114" t="n">
        <v>0</v>
      </c>
      <c r="D52" s="114" t="n">
        <v>0</v>
      </c>
      <c r="E52" s="114" t="n">
        <v>0</v>
      </c>
      <c r="F52" s="114" t="n">
        <v>0</v>
      </c>
      <c r="G52" s="114" t="n">
        <v>0</v>
      </c>
      <c r="H52" s="179" t="n">
        <f aca="false">SUM(C52:G52)</f>
        <v>0</v>
      </c>
      <c r="I52" s="114" t="n">
        <v>0</v>
      </c>
      <c r="J52" s="114" t="n">
        <v>0</v>
      </c>
      <c r="K52" s="260" t="n">
        <f aca="false">SUM(H52:J52)</f>
        <v>0</v>
      </c>
      <c r="L52" s="115"/>
      <c r="M52" s="282"/>
      <c r="N52" s="115"/>
    </row>
    <row r="53" customFormat="false" ht="12.75" hidden="false" customHeight="false" outlineLevel="0" collapsed="false">
      <c r="A53" s="46" t="s">
        <v>52</v>
      </c>
      <c r="B53" s="259"/>
      <c r="C53" s="114" t="n">
        <v>0</v>
      </c>
      <c r="D53" s="114" t="n">
        <v>0</v>
      </c>
      <c r="E53" s="114" t="n">
        <v>0</v>
      </c>
      <c r="F53" s="114" t="n">
        <v>0</v>
      </c>
      <c r="G53" s="114" t="n">
        <v>0</v>
      </c>
      <c r="H53" s="179" t="n">
        <f aca="false">SUM(C53:G53)</f>
        <v>0</v>
      </c>
      <c r="I53" s="114" t="n">
        <v>0</v>
      </c>
      <c r="J53" s="114" t="n">
        <v>0</v>
      </c>
      <c r="K53" s="260" t="n">
        <f aca="false">SUM(H53:J53)</f>
        <v>0</v>
      </c>
      <c r="L53" s="115"/>
      <c r="M53" s="282"/>
      <c r="N53" s="115"/>
    </row>
    <row r="54" customFormat="false" ht="12.75" hidden="false" customHeight="false" outlineLevel="0" collapsed="false">
      <c r="A54" s="46" t="s">
        <v>53</v>
      </c>
      <c r="B54" s="259"/>
      <c r="C54" s="114" t="n">
        <v>0</v>
      </c>
      <c r="D54" s="114" t="n">
        <v>0</v>
      </c>
      <c r="E54" s="114" t="n">
        <v>0</v>
      </c>
      <c r="F54" s="114" t="n">
        <v>0</v>
      </c>
      <c r="G54" s="114" t="n">
        <v>0</v>
      </c>
      <c r="H54" s="179" t="n">
        <f aca="false">SUM(C54:G54)</f>
        <v>0</v>
      </c>
      <c r="I54" s="114" t="n">
        <v>0</v>
      </c>
      <c r="J54" s="114" t="n">
        <v>0</v>
      </c>
      <c r="K54" s="260" t="n">
        <f aca="false">SUM(H54:J54)</f>
        <v>0</v>
      </c>
      <c r="L54" s="115"/>
      <c r="M54" s="282"/>
      <c r="N54" s="115"/>
    </row>
    <row r="55" customFormat="false" ht="12.75" hidden="false" customHeight="false" outlineLevel="0" collapsed="false">
      <c r="A55" s="46" t="s">
        <v>54</v>
      </c>
      <c r="B55" s="259"/>
      <c r="C55" s="234" t="n">
        <v>0</v>
      </c>
      <c r="D55" s="234" t="n">
        <v>0</v>
      </c>
      <c r="E55" s="234" t="n">
        <v>0</v>
      </c>
      <c r="F55" s="234" t="n">
        <v>0</v>
      </c>
      <c r="G55" s="234" t="n">
        <v>0</v>
      </c>
      <c r="H55" s="179" t="n">
        <f aca="false">SUM(C55:G55)</f>
        <v>0</v>
      </c>
      <c r="I55" s="234" t="n">
        <v>0</v>
      </c>
      <c r="J55" s="234" t="n">
        <v>0</v>
      </c>
      <c r="K55" s="260" t="n">
        <f aca="false">SUM(H55:J55)</f>
        <v>0</v>
      </c>
      <c r="L55" s="115"/>
      <c r="M55" s="282"/>
      <c r="N55" s="115"/>
    </row>
    <row r="56" customFormat="false" ht="12.75" hidden="false" customHeight="false" outlineLevel="0" collapsed="false">
      <c r="A56" s="46" t="s">
        <v>55</v>
      </c>
      <c r="B56" s="259"/>
      <c r="C56" s="234" t="n">
        <v>0</v>
      </c>
      <c r="D56" s="234" t="n">
        <v>0</v>
      </c>
      <c r="E56" s="234" t="n">
        <v>0</v>
      </c>
      <c r="F56" s="234" t="n">
        <v>0</v>
      </c>
      <c r="G56" s="234" t="n">
        <v>0</v>
      </c>
      <c r="H56" s="179" t="n">
        <f aca="false">SUM(C56:G56)</f>
        <v>0</v>
      </c>
      <c r="I56" s="234" t="n">
        <v>0</v>
      </c>
      <c r="J56" s="234" t="n">
        <v>0</v>
      </c>
      <c r="K56" s="260" t="n">
        <f aca="false">SUM(H56:J56)</f>
        <v>0</v>
      </c>
      <c r="L56" s="115"/>
      <c r="M56" s="282"/>
      <c r="N56" s="115"/>
    </row>
    <row r="57" customFormat="false" ht="12.75" hidden="false" customHeight="false" outlineLevel="0" collapsed="false">
      <c r="A57" s="46" t="s">
        <v>56</v>
      </c>
      <c r="B57" s="259"/>
      <c r="C57" s="234" t="n">
        <v>0</v>
      </c>
      <c r="D57" s="234" t="n">
        <v>0</v>
      </c>
      <c r="E57" s="234" t="n">
        <v>0</v>
      </c>
      <c r="F57" s="234" t="n">
        <v>0</v>
      </c>
      <c r="G57" s="234" t="n">
        <v>0</v>
      </c>
      <c r="H57" s="179" t="n">
        <f aca="false">SUM(C57:G57)</f>
        <v>0</v>
      </c>
      <c r="I57" s="234" t="n">
        <v>0</v>
      </c>
      <c r="J57" s="234" t="n">
        <v>0</v>
      </c>
      <c r="K57" s="260" t="n">
        <f aca="false">SUM(H57:J57)</f>
        <v>0</v>
      </c>
      <c r="L57" s="115"/>
      <c r="M57" s="115" t="s">
        <v>102</v>
      </c>
      <c r="N57" s="115"/>
    </row>
    <row r="58" customFormat="false" ht="12.75" hidden="false" customHeight="false" outlineLevel="0" collapsed="false">
      <c r="A58" s="46" t="s">
        <v>57</v>
      </c>
      <c r="B58" s="259"/>
      <c r="C58" s="234" t="n">
        <v>0</v>
      </c>
      <c r="D58" s="234" t="n">
        <v>0</v>
      </c>
      <c r="E58" s="234" t="n">
        <v>0</v>
      </c>
      <c r="F58" s="234" t="n">
        <v>0</v>
      </c>
      <c r="G58" s="234" t="n">
        <v>0</v>
      </c>
      <c r="H58" s="179" t="n">
        <f aca="false">SUM(C58:G58)</f>
        <v>0</v>
      </c>
      <c r="I58" s="234" t="n">
        <v>0</v>
      </c>
      <c r="J58" s="234" t="n">
        <v>0</v>
      </c>
      <c r="K58" s="260" t="n">
        <f aca="false">SUM(H58:J58)</f>
        <v>0</v>
      </c>
    </row>
    <row r="59" customFormat="false" ht="12.75" hidden="false" customHeight="false" outlineLevel="0" collapsed="false">
      <c r="A59" s="46" t="s">
        <v>58</v>
      </c>
      <c r="B59" s="259"/>
      <c r="C59" s="234" t="n">
        <v>0</v>
      </c>
      <c r="D59" s="234" t="n">
        <v>0</v>
      </c>
      <c r="E59" s="234" t="n">
        <v>0</v>
      </c>
      <c r="F59" s="234" t="n">
        <v>0</v>
      </c>
      <c r="G59" s="234" t="n">
        <v>0</v>
      </c>
      <c r="H59" s="179" t="n">
        <f aca="false">SUM(C59:G59)</f>
        <v>0</v>
      </c>
      <c r="I59" s="234" t="n">
        <v>0</v>
      </c>
      <c r="J59" s="234" t="n">
        <v>0</v>
      </c>
      <c r="K59" s="260" t="n">
        <f aca="false">SUM(H59:J59)</f>
        <v>0</v>
      </c>
    </row>
    <row r="60" customFormat="false" ht="12.75" hidden="false" customHeight="false" outlineLevel="0" collapsed="false">
      <c r="A60" s="46" t="s">
        <v>59</v>
      </c>
      <c r="B60" s="259"/>
      <c r="C60" s="234" t="n">
        <v>0</v>
      </c>
      <c r="D60" s="234" t="n">
        <v>0</v>
      </c>
      <c r="E60" s="234" t="n">
        <v>0</v>
      </c>
      <c r="F60" s="234" t="n">
        <v>0</v>
      </c>
      <c r="G60" s="234" t="n">
        <v>0</v>
      </c>
      <c r="H60" s="179" t="n">
        <f aca="false">SUM(C60:G60)</f>
        <v>0</v>
      </c>
      <c r="I60" s="234" t="n">
        <v>0</v>
      </c>
      <c r="J60" s="234" t="n">
        <v>0</v>
      </c>
      <c r="K60" s="260" t="n">
        <f aca="false">SUM(H60:J60)</f>
        <v>0</v>
      </c>
    </row>
    <row r="61" customFormat="false" ht="12.75" hidden="false" customHeight="false" outlineLevel="0" collapsed="false">
      <c r="A61" s="46" t="s">
        <v>60</v>
      </c>
      <c r="B61" s="259"/>
      <c r="C61" s="234" t="n">
        <v>0</v>
      </c>
      <c r="D61" s="234" t="n">
        <v>0</v>
      </c>
      <c r="E61" s="234" t="n">
        <v>0</v>
      </c>
      <c r="F61" s="234" t="n">
        <v>0</v>
      </c>
      <c r="G61" s="234" t="n">
        <v>0</v>
      </c>
      <c r="H61" s="179" t="n">
        <f aca="false">SUM(C61:G61)</f>
        <v>0</v>
      </c>
      <c r="I61" s="234" t="n">
        <v>0</v>
      </c>
      <c r="J61" s="234" t="n">
        <v>0</v>
      </c>
      <c r="K61" s="260" t="n">
        <f aca="false">SUM(H61:J61)</f>
        <v>0</v>
      </c>
    </row>
    <row r="62" customFormat="false" ht="12.75" hidden="false" customHeight="false" outlineLevel="0" collapsed="false">
      <c r="A62" s="46" t="s">
        <v>61</v>
      </c>
      <c r="B62" s="259"/>
      <c r="C62" s="234" t="n">
        <v>0</v>
      </c>
      <c r="D62" s="234" t="n">
        <v>0</v>
      </c>
      <c r="E62" s="234" t="n">
        <v>0</v>
      </c>
      <c r="F62" s="234" t="n">
        <v>0</v>
      </c>
      <c r="G62" s="234" t="n">
        <v>0</v>
      </c>
      <c r="H62" s="179" t="n">
        <f aca="false">SUM(C62:G62)</f>
        <v>0</v>
      </c>
      <c r="I62" s="234" t="n">
        <v>0</v>
      </c>
      <c r="J62" s="234" t="n">
        <v>0</v>
      </c>
      <c r="K62" s="260" t="n">
        <f aca="false">SUM(H62:J62)</f>
        <v>0</v>
      </c>
    </row>
    <row r="63" customFormat="false" ht="12.75" hidden="false" customHeight="false" outlineLevel="0" collapsed="false">
      <c r="A63" s="46" t="s">
        <v>62</v>
      </c>
      <c r="B63" s="259"/>
      <c r="C63" s="234" t="n">
        <v>0</v>
      </c>
      <c r="D63" s="234" t="n">
        <v>0</v>
      </c>
      <c r="E63" s="234" t="n">
        <v>0</v>
      </c>
      <c r="F63" s="234" t="n">
        <v>0</v>
      </c>
      <c r="G63" s="234" t="n">
        <v>0</v>
      </c>
      <c r="H63" s="179" t="n">
        <f aca="false">SUM(C63:G63)</f>
        <v>0</v>
      </c>
      <c r="I63" s="234" t="n">
        <v>0</v>
      </c>
      <c r="J63" s="234" t="n">
        <v>0</v>
      </c>
      <c r="K63" s="260" t="n">
        <f aca="false">SUM(H63:J63)</f>
        <v>0</v>
      </c>
    </row>
    <row r="64" customFormat="false" ht="12.75" hidden="false" customHeight="false" outlineLevel="0" collapsed="false">
      <c r="A64" s="97" t="s">
        <v>63</v>
      </c>
      <c r="B64" s="259"/>
      <c r="C64" s="234" t="n">
        <v>0</v>
      </c>
      <c r="D64" s="234" t="n">
        <v>0</v>
      </c>
      <c r="E64" s="234" t="n">
        <v>0</v>
      </c>
      <c r="F64" s="234" t="n">
        <v>0</v>
      </c>
      <c r="G64" s="234" t="n">
        <v>0</v>
      </c>
      <c r="H64" s="179" t="n">
        <f aca="false">SUM(C64:G64)</f>
        <v>0</v>
      </c>
      <c r="I64" s="234" t="n">
        <v>0</v>
      </c>
      <c r="J64" s="234" t="n">
        <v>0</v>
      </c>
      <c r="K64" s="260" t="n">
        <f aca="false">SUM(H64:J64)</f>
        <v>0</v>
      </c>
    </row>
    <row r="65" customFormat="false" ht="12.75" hidden="false" customHeight="false" outlineLevel="0" collapsed="false">
      <c r="A65" s="97" t="s">
        <v>65</v>
      </c>
      <c r="B65" s="259"/>
      <c r="C65" s="234" t="n">
        <v>0</v>
      </c>
      <c r="D65" s="234" t="n">
        <v>0</v>
      </c>
      <c r="E65" s="234" t="n">
        <v>0</v>
      </c>
      <c r="F65" s="234" t="n">
        <v>0</v>
      </c>
      <c r="G65" s="234" t="n">
        <v>0</v>
      </c>
      <c r="H65" s="179" t="n">
        <f aca="false">SUM(C65:G65)</f>
        <v>0</v>
      </c>
      <c r="I65" s="234" t="n">
        <v>0</v>
      </c>
      <c r="J65" s="234" t="n">
        <v>0</v>
      </c>
      <c r="K65" s="260" t="n">
        <f aca="false">SUM(H65:J65)</f>
        <v>0</v>
      </c>
    </row>
    <row r="66" customFormat="false" ht="13.5" hidden="false" customHeight="false" outlineLevel="0" collapsed="false">
      <c r="A66" s="82" t="s">
        <v>66</v>
      </c>
      <c r="B66" s="266"/>
      <c r="C66" s="283" t="n">
        <f aca="false">SUM(C47:C65)+C45+C37+C26+C18</f>
        <v>0</v>
      </c>
      <c r="D66" s="284" t="n">
        <f aca="false">SUM(D47:D65)+D45+D37+D26+D18</f>
        <v>0</v>
      </c>
      <c r="E66" s="284" t="n">
        <f aca="false">SUM(E47:E65)+E45+E37+E26+E18</f>
        <v>0</v>
      </c>
      <c r="F66" s="284" t="n">
        <f aca="false">SUM(F47:F65)+F45+F37+F26+F18</f>
        <v>0</v>
      </c>
      <c r="G66" s="284" t="n">
        <f aca="false">SUM(G47:G65)+G45+G37+G26+G18</f>
        <v>0</v>
      </c>
      <c r="H66" s="285" t="n">
        <f aca="false">SUM(H47:H65)+H45+H37+H26+H18</f>
        <v>0</v>
      </c>
      <c r="I66" s="284" t="n">
        <f aca="false">SUM(I47:I65)+I45+I37+I26+I18</f>
        <v>0</v>
      </c>
      <c r="J66" s="284" t="n">
        <f aca="false">SUM(J47:J65)+J45+J37+J26+J18</f>
        <v>0</v>
      </c>
      <c r="K66" s="286" t="n">
        <f aca="false">SUM(K47:K65)+K45+K37+K26+K18</f>
        <v>0</v>
      </c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M66" s="94"/>
      <c r="BN66" s="94"/>
      <c r="BO66" s="94"/>
      <c r="BP66" s="94"/>
      <c r="BQ66" s="94"/>
      <c r="BR66" s="94"/>
      <c r="BS66" s="94"/>
      <c r="BT66" s="94"/>
      <c r="BU66" s="94"/>
      <c r="BV66" s="94"/>
      <c r="BW66" s="94"/>
      <c r="BX66" s="94"/>
      <c r="BY66" s="94"/>
      <c r="BZ66" s="94"/>
      <c r="CA66" s="94"/>
      <c r="CB66" s="94"/>
      <c r="CC66" s="94"/>
      <c r="CD66" s="94"/>
      <c r="CE66" s="94"/>
      <c r="CF66" s="94"/>
      <c r="CG66" s="94"/>
      <c r="CH66" s="94"/>
      <c r="CI66" s="94"/>
      <c r="CJ66" s="94"/>
      <c r="CK66" s="94"/>
      <c r="CL66" s="94"/>
      <c r="CM66" s="94"/>
      <c r="CN66" s="94"/>
      <c r="CO66" s="94"/>
      <c r="CP66" s="94"/>
      <c r="CQ66" s="94"/>
      <c r="CR66" s="94"/>
      <c r="CS66" s="94"/>
      <c r="CT66" s="94"/>
      <c r="CU66" s="94"/>
      <c r="CV66" s="94"/>
      <c r="CW66" s="94"/>
      <c r="CX66" s="94"/>
      <c r="CY66" s="94"/>
      <c r="CZ66" s="94"/>
      <c r="DA66" s="94"/>
      <c r="DB66" s="94"/>
      <c r="DC66" s="94"/>
      <c r="DD66" s="94"/>
      <c r="DE66" s="94"/>
      <c r="DF66" s="94"/>
      <c r="DG66" s="94"/>
      <c r="DH66" s="94"/>
      <c r="DI66" s="94"/>
      <c r="DJ66" s="94"/>
      <c r="DK66" s="94"/>
      <c r="DL66" s="94"/>
      <c r="DM66" s="94"/>
      <c r="DN66" s="94"/>
      <c r="DO66" s="94"/>
      <c r="DP66" s="94"/>
      <c r="DQ66" s="94"/>
      <c r="DR66" s="94"/>
      <c r="DS66" s="94"/>
      <c r="DT66" s="94"/>
      <c r="DU66" s="94"/>
      <c r="DV66" s="94"/>
      <c r="DW66" s="94"/>
      <c r="DX66" s="94"/>
      <c r="DY66" s="94"/>
      <c r="DZ66" s="94"/>
      <c r="EA66" s="94"/>
      <c r="EB66" s="94"/>
      <c r="EC66" s="94"/>
      <c r="ED66" s="94"/>
      <c r="EE66" s="94"/>
      <c r="EF66" s="94"/>
      <c r="EG66" s="94"/>
      <c r="EH66" s="94"/>
      <c r="EI66" s="94"/>
      <c r="EJ66" s="94"/>
      <c r="EK66" s="94"/>
      <c r="EL66" s="94"/>
      <c r="EM66" s="94"/>
      <c r="EN66" s="94"/>
      <c r="EO66" s="94"/>
      <c r="EP66" s="94"/>
      <c r="EQ66" s="94"/>
      <c r="ER66" s="94"/>
      <c r="ES66" s="94"/>
      <c r="ET66" s="94"/>
      <c r="EU66" s="94"/>
      <c r="EV66" s="94"/>
      <c r="EW66" s="94"/>
      <c r="EX66" s="94"/>
      <c r="EY66" s="94"/>
      <c r="EZ66" s="94"/>
      <c r="FA66" s="94"/>
      <c r="FB66" s="94"/>
      <c r="FC66" s="94"/>
      <c r="FD66" s="94"/>
      <c r="FE66" s="94"/>
      <c r="FF66" s="94"/>
      <c r="FG66" s="94"/>
      <c r="FH66" s="94"/>
      <c r="FI66" s="94"/>
      <c r="FJ66" s="94"/>
      <c r="FK66" s="94"/>
      <c r="FL66" s="94"/>
      <c r="FM66" s="94"/>
      <c r="FN66" s="94"/>
      <c r="FO66" s="94"/>
      <c r="FP66" s="94"/>
      <c r="FQ66" s="94"/>
      <c r="FR66" s="94"/>
      <c r="FS66" s="94"/>
      <c r="FT66" s="94"/>
      <c r="FU66" s="94"/>
      <c r="FV66" s="94"/>
      <c r="FW66" s="94"/>
      <c r="FX66" s="94"/>
      <c r="FY66" s="94"/>
      <c r="FZ66" s="94"/>
      <c r="GA66" s="94"/>
      <c r="GB66" s="94"/>
      <c r="GC66" s="94"/>
      <c r="GD66" s="94"/>
      <c r="GE66" s="94"/>
      <c r="GF66" s="94"/>
      <c r="GG66" s="94"/>
      <c r="GH66" s="94"/>
      <c r="GI66" s="94"/>
      <c r="GJ66" s="94"/>
      <c r="GK66" s="94"/>
      <c r="GL66" s="94"/>
      <c r="GM66" s="94"/>
      <c r="GN66" s="94"/>
      <c r="GO66" s="94"/>
      <c r="GP66" s="94"/>
      <c r="GQ66" s="94"/>
      <c r="GR66" s="94"/>
      <c r="GS66" s="94"/>
      <c r="GT66" s="94"/>
      <c r="GU66" s="94"/>
      <c r="GV66" s="94"/>
      <c r="GW66" s="94"/>
      <c r="GX66" s="94"/>
      <c r="GY66" s="94"/>
      <c r="GZ66" s="94"/>
      <c r="HA66" s="94"/>
      <c r="HB66" s="94"/>
      <c r="HC66" s="94"/>
      <c r="HD66" s="94"/>
      <c r="HE66" s="94"/>
      <c r="HF66" s="94"/>
      <c r="HG66" s="94"/>
      <c r="HH66" s="94"/>
      <c r="HI66" s="94"/>
      <c r="HJ66" s="94"/>
      <c r="HK66" s="94"/>
      <c r="HL66" s="94"/>
      <c r="HM66" s="94"/>
      <c r="HN66" s="94"/>
      <c r="HO66" s="94"/>
      <c r="HP66" s="94"/>
      <c r="HQ66" s="94"/>
      <c r="HR66" s="94"/>
      <c r="HS66" s="94"/>
      <c r="HT66" s="94"/>
      <c r="HU66" s="94"/>
      <c r="HV66" s="94"/>
      <c r="HW66" s="94"/>
      <c r="HX66" s="94"/>
      <c r="HY66" s="94"/>
      <c r="HZ66" s="94"/>
      <c r="IA66" s="94"/>
      <c r="IB66" s="94"/>
      <c r="IC66" s="94"/>
      <c r="ID66" s="94"/>
      <c r="IE66" s="94"/>
      <c r="IF66" s="94"/>
      <c r="IG66" s="94"/>
      <c r="IH66" s="94"/>
      <c r="II66" s="94"/>
      <c r="IJ66" s="94"/>
      <c r="IK66" s="94"/>
      <c r="IL66" s="94"/>
      <c r="IM66" s="94"/>
      <c r="IN66" s="94"/>
      <c r="IO66" s="94"/>
      <c r="IP66" s="94"/>
      <c r="IQ66" s="94"/>
      <c r="IR66" s="94"/>
      <c r="IS66" s="94"/>
      <c r="IT66" s="94"/>
      <c r="IU66" s="94"/>
      <c r="IV66" s="94"/>
      <c r="IW66" s="94"/>
    </row>
    <row r="67" customFormat="false" ht="12.75" hidden="false" customHeight="false" outlineLevel="0" collapsed="false">
      <c r="A67" s="1" t="s">
        <v>184</v>
      </c>
      <c r="C67" s="234"/>
      <c r="D67" s="234"/>
      <c r="E67" s="234"/>
      <c r="F67" s="234"/>
      <c r="G67" s="234"/>
      <c r="H67" s="234"/>
      <c r="I67" s="234"/>
      <c r="J67" s="234"/>
      <c r="K67" s="234"/>
    </row>
    <row r="68" customFormat="false" ht="12.75" hidden="false" customHeight="false" outlineLevel="0" collapsed="false">
      <c r="C68" s="234"/>
      <c r="D68" s="234"/>
      <c r="E68" s="234"/>
      <c r="F68" s="234"/>
      <c r="G68" s="234"/>
      <c r="H68" s="234"/>
      <c r="I68" s="234"/>
      <c r="J68" s="234"/>
      <c r="K68" s="234"/>
    </row>
    <row r="69" customFormat="false" ht="12.75" hidden="false" customHeight="false" outlineLevel="0" collapsed="false">
      <c r="C69" s="234"/>
      <c r="D69" s="234"/>
      <c r="E69" s="234"/>
      <c r="F69" s="234"/>
      <c r="G69" s="234"/>
      <c r="H69" s="234"/>
      <c r="I69" s="234"/>
      <c r="J69" s="234"/>
      <c r="K69" s="234"/>
    </row>
    <row r="70" customFormat="false" ht="12.75" hidden="false" customHeight="false" outlineLevel="0" collapsed="false">
      <c r="C70" s="287"/>
      <c r="D70" s="114"/>
      <c r="E70" s="282"/>
      <c r="F70" s="287"/>
      <c r="G70" s="114"/>
      <c r="H70" s="114"/>
      <c r="I70" s="114"/>
      <c r="J70" s="234"/>
      <c r="K70" s="234"/>
    </row>
    <row r="71" customFormat="false" ht="12.75" hidden="false" customHeight="false" outlineLevel="0" collapsed="false">
      <c r="C71" s="287"/>
      <c r="D71" s="114"/>
      <c r="E71" s="282"/>
      <c r="F71" s="287"/>
      <c r="G71" s="114"/>
      <c r="H71" s="287"/>
      <c r="I71" s="114"/>
      <c r="J71" s="234"/>
      <c r="K71" s="234"/>
    </row>
    <row r="72" customFormat="false" ht="12.75" hidden="false" customHeight="false" outlineLevel="0" collapsed="false">
      <c r="C72" s="287"/>
      <c r="D72" s="114"/>
      <c r="E72" s="282"/>
      <c r="F72" s="114"/>
      <c r="G72" s="114"/>
      <c r="H72" s="287"/>
      <c r="I72" s="114"/>
      <c r="J72" s="234"/>
      <c r="K72" s="234"/>
    </row>
    <row r="73" customFormat="false" ht="12.75" hidden="false" customHeight="false" outlineLevel="0" collapsed="false">
      <c r="C73" s="287"/>
      <c r="D73" s="287"/>
      <c r="E73" s="282"/>
      <c r="F73" s="287"/>
      <c r="G73" s="287"/>
      <c r="H73" s="287"/>
      <c r="I73" s="114"/>
      <c r="J73" s="234"/>
      <c r="K73" s="234"/>
    </row>
    <row r="74" customFormat="false" ht="12.75" hidden="false" customHeight="false" outlineLevel="0" collapsed="false">
      <c r="C74" s="287"/>
      <c r="D74" s="287"/>
      <c r="E74" s="287"/>
      <c r="F74" s="287"/>
      <c r="G74" s="287"/>
      <c r="H74" s="287"/>
      <c r="I74" s="114"/>
      <c r="J74" s="234"/>
      <c r="K74" s="234"/>
    </row>
    <row r="75" customFormat="false" ht="12.75" hidden="false" customHeight="false" outlineLevel="0" collapsed="false">
      <c r="C75" s="287"/>
      <c r="D75" s="287"/>
      <c r="E75" s="287"/>
      <c r="F75" s="287"/>
      <c r="G75" s="287"/>
      <c r="H75" s="287"/>
      <c r="I75" s="288"/>
      <c r="J75" s="234"/>
      <c r="K75" s="234"/>
    </row>
    <row r="76" customFormat="false" ht="12.75" hidden="false" customHeight="false" outlineLevel="0" collapsed="false">
      <c r="C76" s="287"/>
      <c r="D76" s="287"/>
      <c r="E76" s="287"/>
      <c r="F76" s="287"/>
      <c r="G76" s="287"/>
      <c r="H76" s="287"/>
      <c r="I76" s="287"/>
      <c r="J76" s="234"/>
      <c r="K76" s="234"/>
    </row>
    <row r="77" customFormat="false" ht="12.75" hidden="false" customHeight="false" outlineLevel="0" collapsed="false">
      <c r="C77" s="234"/>
      <c r="D77" s="234"/>
      <c r="E77" s="234"/>
      <c r="F77" s="234"/>
      <c r="G77" s="234"/>
      <c r="H77" s="234"/>
      <c r="I77" s="234"/>
      <c r="J77" s="234"/>
      <c r="K77" s="234"/>
    </row>
    <row r="78" customFormat="false" ht="12.75" hidden="false" customHeight="false" outlineLevel="0" collapsed="false">
      <c r="C78" s="234"/>
      <c r="D78" s="234"/>
      <c r="E78" s="234"/>
      <c r="F78" s="234"/>
      <c r="G78" s="234"/>
      <c r="H78" s="234"/>
      <c r="I78" s="234"/>
      <c r="J78" s="234"/>
      <c r="K78" s="234"/>
    </row>
    <row r="79" customFormat="false" ht="12.75" hidden="false" customHeight="false" outlineLevel="0" collapsed="false">
      <c r="C79" s="234"/>
      <c r="D79" s="234"/>
      <c r="E79" s="234"/>
      <c r="F79" s="234"/>
      <c r="G79" s="234"/>
      <c r="H79" s="234"/>
      <c r="I79" s="234"/>
      <c r="J79" s="234"/>
      <c r="K79" s="234"/>
    </row>
    <row r="80" customFormat="false" ht="12.75" hidden="false" customHeight="false" outlineLevel="0" collapsed="false">
      <c r="C80" s="234"/>
      <c r="D80" s="234"/>
      <c r="E80" s="234"/>
      <c r="F80" s="234"/>
      <c r="G80" s="234"/>
      <c r="H80" s="234"/>
      <c r="I80" s="234"/>
      <c r="J80" s="234"/>
      <c r="K80" s="234"/>
    </row>
    <row r="81" customFormat="false" ht="12.75" hidden="false" customHeight="false" outlineLevel="0" collapsed="false">
      <c r="C81" s="234"/>
      <c r="D81" s="234"/>
      <c r="E81" s="234"/>
      <c r="F81" s="234"/>
      <c r="G81" s="234"/>
      <c r="H81" s="234"/>
      <c r="I81" s="234"/>
      <c r="J81" s="234"/>
      <c r="K81" s="234"/>
    </row>
    <row r="82" customFormat="false" ht="12.75" hidden="false" customHeight="false" outlineLevel="0" collapsed="false">
      <c r="C82" s="234"/>
      <c r="D82" s="234"/>
      <c r="E82" s="234"/>
      <c r="F82" s="234"/>
      <c r="G82" s="234"/>
      <c r="H82" s="234"/>
      <c r="I82" s="234"/>
      <c r="J82" s="234"/>
      <c r="K82" s="234"/>
    </row>
    <row r="83" customFormat="false" ht="12.75" hidden="false" customHeight="false" outlineLevel="0" collapsed="false">
      <c r="C83" s="234"/>
      <c r="D83" s="234"/>
      <c r="E83" s="234"/>
      <c r="F83" s="234"/>
      <c r="G83" s="234"/>
      <c r="H83" s="234"/>
      <c r="I83" s="234"/>
      <c r="J83" s="234"/>
      <c r="K83" s="234"/>
    </row>
    <row r="84" customFormat="false" ht="12.75" hidden="false" customHeight="false" outlineLevel="0" collapsed="false">
      <c r="C84" s="234"/>
      <c r="D84" s="234"/>
      <c r="E84" s="234"/>
      <c r="F84" s="234"/>
      <c r="G84" s="234"/>
      <c r="H84" s="234"/>
      <c r="I84" s="234"/>
      <c r="J84" s="234"/>
      <c r="K84" s="234"/>
    </row>
    <row r="85" customFormat="false" ht="12.75" hidden="false" customHeight="false" outlineLevel="0" collapsed="false">
      <c r="C85" s="234"/>
      <c r="D85" s="234"/>
      <c r="E85" s="234"/>
      <c r="F85" s="234"/>
      <c r="G85" s="234"/>
      <c r="H85" s="234"/>
      <c r="I85" s="234"/>
      <c r="J85" s="234"/>
      <c r="K85" s="234"/>
    </row>
    <row r="86" customFormat="false" ht="12.75" hidden="false" customHeight="false" outlineLevel="0" collapsed="false">
      <c r="C86" s="234"/>
      <c r="D86" s="234"/>
      <c r="E86" s="234"/>
      <c r="F86" s="234"/>
      <c r="G86" s="234"/>
      <c r="H86" s="234"/>
      <c r="I86" s="234"/>
      <c r="J86" s="234"/>
      <c r="K86" s="234"/>
    </row>
    <row r="87" customFormat="false" ht="12.75" hidden="false" customHeight="false" outlineLevel="0" collapsed="false">
      <c r="C87" s="234"/>
      <c r="D87" s="234"/>
      <c r="E87" s="234"/>
      <c r="F87" s="234"/>
      <c r="G87" s="234"/>
      <c r="H87" s="234"/>
      <c r="I87" s="234"/>
      <c r="J87" s="234"/>
      <c r="K87" s="234"/>
    </row>
    <row r="88" customFormat="false" ht="12.75" hidden="false" customHeight="false" outlineLevel="0" collapsed="false">
      <c r="C88" s="234"/>
      <c r="D88" s="234"/>
      <c r="E88" s="234"/>
      <c r="F88" s="234"/>
      <c r="G88" s="234"/>
      <c r="H88" s="234"/>
      <c r="I88" s="234"/>
      <c r="J88" s="234"/>
      <c r="K88" s="234"/>
    </row>
    <row r="89" customFormat="false" ht="12.75" hidden="false" customHeight="false" outlineLevel="0" collapsed="false">
      <c r="C89" s="234"/>
      <c r="D89" s="234"/>
      <c r="E89" s="234"/>
      <c r="F89" s="234"/>
      <c r="G89" s="234"/>
      <c r="H89" s="234"/>
      <c r="I89" s="234"/>
      <c r="J89" s="234"/>
      <c r="K89" s="234"/>
    </row>
    <row r="90" customFormat="false" ht="12.75" hidden="false" customHeight="false" outlineLevel="0" collapsed="false">
      <c r="C90" s="234"/>
      <c r="D90" s="234"/>
      <c r="E90" s="234"/>
      <c r="F90" s="234"/>
      <c r="G90" s="234"/>
      <c r="H90" s="234"/>
      <c r="I90" s="234"/>
      <c r="J90" s="234"/>
      <c r="K90" s="234"/>
    </row>
    <row r="91" customFormat="false" ht="12.75" hidden="false" customHeight="false" outlineLevel="0" collapsed="false">
      <c r="C91" s="234"/>
      <c r="D91" s="234"/>
      <c r="E91" s="234"/>
      <c r="F91" s="234"/>
      <c r="G91" s="234"/>
      <c r="H91" s="234"/>
      <c r="I91" s="234"/>
      <c r="J91" s="234"/>
      <c r="K91" s="234"/>
    </row>
    <row r="92" customFormat="false" ht="12.75" hidden="false" customHeight="false" outlineLevel="0" collapsed="false">
      <c r="C92" s="234"/>
      <c r="D92" s="234"/>
      <c r="E92" s="234"/>
      <c r="F92" s="234"/>
      <c r="G92" s="234"/>
      <c r="H92" s="234"/>
      <c r="I92" s="234"/>
      <c r="J92" s="234"/>
      <c r="K92" s="234"/>
    </row>
    <row r="93" customFormat="false" ht="12.75" hidden="false" customHeight="false" outlineLevel="0" collapsed="false">
      <c r="C93" s="234"/>
      <c r="D93" s="234"/>
      <c r="E93" s="234"/>
      <c r="F93" s="234"/>
      <c r="G93" s="234"/>
      <c r="H93" s="234"/>
      <c r="I93" s="234"/>
      <c r="J93" s="234"/>
      <c r="K93" s="234"/>
    </row>
    <row r="94" customFormat="false" ht="12.75" hidden="false" customHeight="false" outlineLevel="0" collapsed="false">
      <c r="C94" s="234"/>
      <c r="D94" s="234"/>
      <c r="E94" s="234"/>
      <c r="F94" s="234"/>
      <c r="G94" s="234"/>
      <c r="H94" s="234"/>
      <c r="I94" s="234"/>
      <c r="J94" s="234"/>
      <c r="K94" s="234"/>
    </row>
    <row r="95" customFormat="false" ht="12.75" hidden="false" customHeight="false" outlineLevel="0" collapsed="false">
      <c r="C95" s="234"/>
      <c r="D95" s="234"/>
      <c r="E95" s="234"/>
      <c r="F95" s="234"/>
      <c r="G95" s="234"/>
      <c r="H95" s="234"/>
      <c r="I95" s="234"/>
      <c r="J95" s="234"/>
      <c r="K95" s="234"/>
    </row>
    <row r="96" customFormat="false" ht="12.75" hidden="false" customHeight="false" outlineLevel="0" collapsed="false">
      <c r="C96" s="234"/>
      <c r="D96" s="234"/>
      <c r="E96" s="234"/>
      <c r="F96" s="234"/>
      <c r="G96" s="234"/>
      <c r="H96" s="234"/>
      <c r="I96" s="234"/>
      <c r="J96" s="234"/>
      <c r="K96" s="234"/>
    </row>
    <row r="97" customFormat="false" ht="12.75" hidden="false" customHeight="false" outlineLevel="0" collapsed="false">
      <c r="C97" s="234"/>
      <c r="D97" s="234"/>
      <c r="E97" s="234"/>
      <c r="F97" s="234"/>
      <c r="G97" s="234"/>
      <c r="H97" s="234"/>
      <c r="I97" s="234"/>
      <c r="J97" s="234"/>
      <c r="K97" s="234"/>
    </row>
    <row r="98" customFormat="false" ht="12.75" hidden="false" customHeight="false" outlineLevel="0" collapsed="false">
      <c r="C98" s="234"/>
      <c r="D98" s="234"/>
      <c r="E98" s="234"/>
      <c r="F98" s="234"/>
      <c r="G98" s="234"/>
      <c r="H98" s="234"/>
      <c r="I98" s="234"/>
      <c r="J98" s="234"/>
      <c r="K98" s="234"/>
    </row>
    <row r="99" customFormat="false" ht="12.75" hidden="false" customHeight="false" outlineLevel="0" collapsed="false">
      <c r="C99" s="234"/>
      <c r="D99" s="234"/>
      <c r="E99" s="234"/>
      <c r="F99" s="234"/>
      <c r="G99" s="234"/>
      <c r="H99" s="234"/>
      <c r="I99" s="234"/>
      <c r="J99" s="234"/>
      <c r="K99" s="234"/>
    </row>
    <row r="100" customFormat="false" ht="12.75" hidden="false" customHeight="false" outlineLevel="0" collapsed="false">
      <c r="C100" s="234"/>
      <c r="D100" s="234"/>
      <c r="E100" s="234"/>
      <c r="F100" s="234"/>
      <c r="G100" s="234"/>
      <c r="H100" s="234"/>
      <c r="I100" s="234"/>
      <c r="J100" s="234"/>
      <c r="K100" s="234"/>
    </row>
    <row r="101" customFormat="false" ht="12.75" hidden="false" customHeight="false" outlineLevel="0" collapsed="false">
      <c r="C101" s="234"/>
      <c r="D101" s="234"/>
      <c r="E101" s="234"/>
      <c r="F101" s="234"/>
      <c r="G101" s="234"/>
      <c r="H101" s="234"/>
      <c r="I101" s="234"/>
      <c r="J101" s="234"/>
      <c r="K101" s="234"/>
    </row>
    <row r="102" customFormat="false" ht="12.75" hidden="false" customHeight="false" outlineLevel="0" collapsed="false">
      <c r="C102" s="234"/>
      <c r="D102" s="234"/>
      <c r="E102" s="234"/>
      <c r="F102" s="234"/>
      <c r="G102" s="234"/>
      <c r="H102" s="234"/>
      <c r="I102" s="234"/>
      <c r="J102" s="234"/>
      <c r="K102" s="234"/>
    </row>
    <row r="103" customFormat="false" ht="12.75" hidden="false" customHeight="false" outlineLevel="0" collapsed="false">
      <c r="C103" s="234"/>
      <c r="D103" s="234"/>
      <c r="E103" s="234"/>
      <c r="F103" s="234"/>
      <c r="G103" s="234"/>
      <c r="H103" s="234"/>
      <c r="I103" s="234"/>
      <c r="J103" s="234"/>
      <c r="K103" s="234"/>
    </row>
    <row r="104" customFormat="false" ht="12.75" hidden="false" customHeight="false" outlineLevel="0" collapsed="false">
      <c r="C104" s="234"/>
      <c r="D104" s="234"/>
      <c r="E104" s="234"/>
      <c r="F104" s="234"/>
      <c r="G104" s="234"/>
      <c r="H104" s="234"/>
      <c r="I104" s="234"/>
      <c r="J104" s="234"/>
      <c r="K104" s="234"/>
    </row>
    <row r="105" customFormat="false" ht="12.75" hidden="false" customHeight="false" outlineLevel="0" collapsed="false">
      <c r="C105" s="234"/>
      <c r="D105" s="234"/>
      <c r="E105" s="234"/>
      <c r="F105" s="234"/>
      <c r="G105" s="234"/>
      <c r="H105" s="234"/>
      <c r="I105" s="234"/>
      <c r="J105" s="234"/>
      <c r="K105" s="234"/>
    </row>
    <row r="106" customFormat="false" ht="12.75" hidden="false" customHeight="false" outlineLevel="0" collapsed="false">
      <c r="C106" s="234"/>
      <c r="D106" s="234"/>
      <c r="E106" s="234"/>
      <c r="F106" s="234"/>
      <c r="G106" s="234"/>
      <c r="H106" s="234"/>
      <c r="I106" s="234"/>
      <c r="J106" s="234"/>
      <c r="K106" s="234"/>
    </row>
    <row r="107" customFormat="false" ht="12.75" hidden="false" customHeight="false" outlineLevel="0" collapsed="false">
      <c r="C107" s="234"/>
      <c r="D107" s="234"/>
      <c r="E107" s="234"/>
      <c r="F107" s="234"/>
      <c r="G107" s="234"/>
      <c r="H107" s="234"/>
      <c r="I107" s="234"/>
      <c r="J107" s="234"/>
      <c r="K107" s="234"/>
    </row>
    <row r="108" customFormat="false" ht="12.75" hidden="false" customHeight="false" outlineLevel="0" collapsed="false">
      <c r="C108" s="234"/>
      <c r="D108" s="234"/>
      <c r="E108" s="234"/>
      <c r="F108" s="234"/>
      <c r="G108" s="234"/>
      <c r="H108" s="234"/>
      <c r="I108" s="234"/>
      <c r="J108" s="234"/>
      <c r="K108" s="234"/>
    </row>
    <row r="109" customFormat="false" ht="12.75" hidden="false" customHeight="false" outlineLevel="0" collapsed="false">
      <c r="C109" s="234"/>
      <c r="D109" s="234"/>
      <c r="E109" s="234"/>
      <c r="F109" s="234"/>
      <c r="G109" s="234"/>
      <c r="H109" s="234"/>
      <c r="I109" s="234"/>
      <c r="J109" s="234"/>
      <c r="K109" s="234"/>
    </row>
    <row r="110" customFormat="false" ht="12.75" hidden="false" customHeight="false" outlineLevel="0" collapsed="false">
      <c r="C110" s="234"/>
      <c r="D110" s="234"/>
      <c r="E110" s="234"/>
      <c r="F110" s="234"/>
      <c r="G110" s="234"/>
      <c r="H110" s="234"/>
      <c r="I110" s="234"/>
      <c r="J110" s="234"/>
      <c r="K110" s="234"/>
    </row>
    <row r="111" customFormat="false" ht="12.75" hidden="false" customHeight="false" outlineLevel="0" collapsed="false">
      <c r="C111" s="234"/>
      <c r="D111" s="234"/>
      <c r="E111" s="234"/>
      <c r="F111" s="234"/>
      <c r="G111" s="234"/>
      <c r="H111" s="234"/>
      <c r="I111" s="234"/>
      <c r="J111" s="234"/>
      <c r="K111" s="234"/>
    </row>
    <row r="112" customFormat="false" ht="12.75" hidden="false" customHeight="false" outlineLevel="0" collapsed="false">
      <c r="C112" s="234"/>
      <c r="D112" s="234"/>
      <c r="E112" s="234"/>
      <c r="F112" s="234"/>
      <c r="G112" s="234"/>
      <c r="H112" s="234"/>
      <c r="I112" s="234"/>
      <c r="J112" s="234"/>
      <c r="K112" s="234"/>
    </row>
    <row r="113" customFormat="false" ht="12.75" hidden="false" customHeight="false" outlineLevel="0" collapsed="false">
      <c r="C113" s="234"/>
      <c r="D113" s="234"/>
      <c r="E113" s="234"/>
      <c r="F113" s="234"/>
      <c r="G113" s="234"/>
      <c r="H113" s="234"/>
      <c r="I113" s="234"/>
      <c r="J113" s="234"/>
      <c r="K113" s="234"/>
    </row>
    <row r="114" customFormat="false" ht="12.75" hidden="false" customHeight="false" outlineLevel="0" collapsed="false">
      <c r="C114" s="234"/>
      <c r="D114" s="234"/>
      <c r="E114" s="234"/>
      <c r="F114" s="234"/>
      <c r="G114" s="234"/>
      <c r="H114" s="234"/>
      <c r="I114" s="234"/>
      <c r="J114" s="234"/>
      <c r="K114" s="234"/>
    </row>
    <row r="115" customFormat="false" ht="12.75" hidden="false" customHeight="false" outlineLevel="0" collapsed="false">
      <c r="C115" s="234"/>
      <c r="D115" s="234"/>
      <c r="E115" s="234"/>
      <c r="F115" s="234"/>
      <c r="G115" s="234"/>
      <c r="H115" s="234"/>
      <c r="I115" s="234"/>
      <c r="J115" s="234"/>
      <c r="K115" s="234"/>
    </row>
    <row r="116" customFormat="false" ht="12.75" hidden="false" customHeight="false" outlineLevel="0" collapsed="false">
      <c r="C116" s="234"/>
      <c r="D116" s="234"/>
      <c r="E116" s="234"/>
      <c r="F116" s="234"/>
      <c r="G116" s="234"/>
      <c r="H116" s="234"/>
      <c r="I116" s="234"/>
      <c r="J116" s="234"/>
      <c r="K116" s="234"/>
    </row>
    <row r="117" customFormat="false" ht="12.75" hidden="false" customHeight="false" outlineLevel="0" collapsed="false">
      <c r="C117" s="234"/>
      <c r="D117" s="234"/>
      <c r="E117" s="234"/>
      <c r="F117" s="234"/>
      <c r="G117" s="234"/>
      <c r="H117" s="234"/>
      <c r="I117" s="234"/>
      <c r="J117" s="234"/>
      <c r="K117" s="234"/>
    </row>
    <row r="118" customFormat="false" ht="12.75" hidden="false" customHeight="false" outlineLevel="0" collapsed="false">
      <c r="C118" s="234"/>
      <c r="D118" s="234"/>
      <c r="E118" s="234"/>
      <c r="F118" s="234"/>
      <c r="G118" s="234"/>
      <c r="H118" s="234"/>
      <c r="I118" s="234"/>
      <c r="J118" s="234"/>
      <c r="K118" s="234"/>
    </row>
    <row r="119" customFormat="false" ht="12.75" hidden="false" customHeight="false" outlineLevel="0" collapsed="false">
      <c r="C119" s="234"/>
      <c r="D119" s="234"/>
      <c r="E119" s="234"/>
      <c r="F119" s="234"/>
      <c r="G119" s="234"/>
      <c r="H119" s="234"/>
      <c r="I119" s="234"/>
      <c r="J119" s="234"/>
      <c r="K119" s="234"/>
    </row>
    <row r="120" customFormat="false" ht="12.75" hidden="false" customHeight="false" outlineLevel="0" collapsed="false">
      <c r="C120" s="234"/>
      <c r="D120" s="234"/>
      <c r="E120" s="234"/>
      <c r="F120" s="234"/>
      <c r="G120" s="234"/>
      <c r="H120" s="234"/>
      <c r="I120" s="234"/>
      <c r="J120" s="234"/>
      <c r="K120" s="234"/>
    </row>
    <row r="121" customFormat="false" ht="12.75" hidden="false" customHeight="false" outlineLevel="0" collapsed="false">
      <c r="C121" s="234"/>
      <c r="D121" s="234"/>
      <c r="E121" s="234"/>
      <c r="F121" s="234"/>
      <c r="G121" s="234"/>
      <c r="H121" s="234"/>
      <c r="I121" s="234"/>
      <c r="J121" s="234"/>
      <c r="K121" s="234"/>
    </row>
    <row r="122" customFormat="false" ht="12.75" hidden="false" customHeight="false" outlineLevel="0" collapsed="false">
      <c r="C122" s="234"/>
      <c r="D122" s="234"/>
      <c r="E122" s="234"/>
      <c r="F122" s="234"/>
      <c r="G122" s="234"/>
      <c r="H122" s="234"/>
      <c r="I122" s="234"/>
      <c r="J122" s="234"/>
      <c r="K122" s="234"/>
    </row>
    <row r="123" customFormat="false" ht="12.75" hidden="false" customHeight="false" outlineLevel="0" collapsed="false">
      <c r="C123" s="234"/>
      <c r="D123" s="234"/>
      <c r="E123" s="234"/>
      <c r="F123" s="234"/>
      <c r="G123" s="234"/>
      <c r="H123" s="234"/>
      <c r="I123" s="234"/>
      <c r="J123" s="234"/>
      <c r="K123" s="234"/>
    </row>
    <row r="124" customFormat="false" ht="12.75" hidden="false" customHeight="false" outlineLevel="0" collapsed="false">
      <c r="C124" s="234"/>
      <c r="D124" s="234"/>
      <c r="E124" s="234"/>
      <c r="F124" s="234"/>
      <c r="G124" s="234"/>
      <c r="H124" s="234"/>
      <c r="I124" s="234"/>
      <c r="J124" s="234"/>
      <c r="K124" s="234"/>
    </row>
    <row r="125" customFormat="false" ht="12.75" hidden="false" customHeight="false" outlineLevel="0" collapsed="false">
      <c r="C125" s="234"/>
      <c r="D125" s="234"/>
      <c r="E125" s="234"/>
      <c r="F125" s="234"/>
      <c r="G125" s="234"/>
      <c r="H125" s="234"/>
      <c r="I125" s="234"/>
      <c r="J125" s="234"/>
      <c r="K125" s="234"/>
    </row>
    <row r="126" customFormat="false" ht="12.75" hidden="false" customHeight="false" outlineLevel="0" collapsed="false">
      <c r="C126" s="234"/>
      <c r="D126" s="234"/>
      <c r="E126" s="234"/>
      <c r="F126" s="234"/>
      <c r="G126" s="234"/>
      <c r="H126" s="234"/>
      <c r="I126" s="234"/>
      <c r="J126" s="234"/>
      <c r="K126" s="234"/>
    </row>
    <row r="127" customFormat="false" ht="12.75" hidden="false" customHeight="false" outlineLevel="0" collapsed="false">
      <c r="C127" s="234"/>
      <c r="D127" s="234"/>
      <c r="E127" s="234"/>
      <c r="F127" s="234"/>
      <c r="G127" s="234"/>
      <c r="H127" s="234"/>
      <c r="I127" s="234"/>
      <c r="J127" s="234"/>
      <c r="K127" s="234"/>
    </row>
    <row r="128" customFormat="false" ht="12.75" hidden="false" customHeight="false" outlineLevel="0" collapsed="false">
      <c r="C128" s="234"/>
      <c r="D128" s="234"/>
      <c r="E128" s="234"/>
      <c r="F128" s="234"/>
      <c r="G128" s="234"/>
      <c r="H128" s="234"/>
      <c r="I128" s="234"/>
      <c r="J128" s="234"/>
      <c r="K128" s="234"/>
    </row>
    <row r="129" customFormat="false" ht="12.75" hidden="false" customHeight="false" outlineLevel="0" collapsed="false">
      <c r="C129" s="234"/>
      <c r="D129" s="234"/>
      <c r="E129" s="234"/>
      <c r="F129" s="234"/>
      <c r="G129" s="234"/>
      <c r="H129" s="234"/>
      <c r="I129" s="234"/>
      <c r="J129" s="234"/>
      <c r="K129" s="234"/>
    </row>
    <row r="130" customFormat="false" ht="12.75" hidden="false" customHeight="false" outlineLevel="0" collapsed="false">
      <c r="C130" s="234"/>
      <c r="D130" s="234"/>
      <c r="E130" s="234"/>
      <c r="F130" s="234"/>
      <c r="G130" s="234"/>
      <c r="H130" s="234"/>
      <c r="I130" s="234"/>
      <c r="J130" s="234"/>
      <c r="K130" s="234"/>
    </row>
    <row r="131" customFormat="false" ht="12.75" hidden="false" customHeight="false" outlineLevel="0" collapsed="false">
      <c r="C131" s="234"/>
      <c r="D131" s="234"/>
      <c r="E131" s="234"/>
      <c r="F131" s="234"/>
      <c r="G131" s="234"/>
      <c r="H131" s="234"/>
      <c r="I131" s="234"/>
      <c r="J131" s="234"/>
      <c r="K131" s="234"/>
    </row>
    <row r="132" customFormat="false" ht="12.75" hidden="false" customHeight="false" outlineLevel="0" collapsed="false">
      <c r="C132" s="234"/>
      <c r="D132" s="234"/>
      <c r="E132" s="234"/>
      <c r="F132" s="234"/>
      <c r="G132" s="234"/>
      <c r="H132" s="234"/>
      <c r="I132" s="234"/>
      <c r="J132" s="234"/>
      <c r="K132" s="234"/>
    </row>
    <row r="133" customFormat="false" ht="12.75" hidden="false" customHeight="false" outlineLevel="0" collapsed="false">
      <c r="C133" s="234"/>
      <c r="D133" s="234"/>
      <c r="E133" s="234"/>
      <c r="F133" s="234"/>
      <c r="G133" s="234"/>
      <c r="H133" s="234"/>
      <c r="I133" s="234"/>
      <c r="J133" s="234"/>
      <c r="K133" s="234"/>
    </row>
    <row r="134" customFormat="false" ht="12.75" hidden="false" customHeight="false" outlineLevel="0" collapsed="false">
      <c r="C134" s="234"/>
      <c r="D134" s="234"/>
      <c r="E134" s="234"/>
      <c r="F134" s="234"/>
      <c r="G134" s="234"/>
      <c r="H134" s="234"/>
      <c r="I134" s="234"/>
      <c r="J134" s="234"/>
      <c r="K134" s="234"/>
    </row>
    <row r="135" customFormat="false" ht="12.75" hidden="false" customHeight="false" outlineLevel="0" collapsed="false">
      <c r="C135" s="234"/>
      <c r="D135" s="234"/>
      <c r="E135" s="234"/>
      <c r="F135" s="234"/>
      <c r="G135" s="234"/>
      <c r="H135" s="234"/>
      <c r="I135" s="234"/>
      <c r="J135" s="234"/>
      <c r="K135" s="234"/>
    </row>
    <row r="136" customFormat="false" ht="12.75" hidden="false" customHeight="false" outlineLevel="0" collapsed="false">
      <c r="C136" s="234"/>
      <c r="D136" s="234"/>
      <c r="E136" s="234"/>
      <c r="F136" s="234"/>
      <c r="G136" s="234"/>
      <c r="H136" s="234"/>
      <c r="I136" s="234"/>
      <c r="J136" s="234"/>
      <c r="K136" s="234"/>
    </row>
    <row r="137" customFormat="false" ht="12.75" hidden="false" customHeight="false" outlineLevel="0" collapsed="false">
      <c r="C137" s="234"/>
      <c r="D137" s="234"/>
      <c r="E137" s="234"/>
      <c r="F137" s="234"/>
      <c r="G137" s="234"/>
      <c r="H137" s="234"/>
      <c r="I137" s="234"/>
      <c r="J137" s="234"/>
      <c r="K137" s="234"/>
    </row>
    <row r="138" customFormat="false" ht="12.75" hidden="false" customHeight="false" outlineLevel="0" collapsed="false">
      <c r="C138" s="234"/>
      <c r="D138" s="234"/>
      <c r="E138" s="234"/>
      <c r="F138" s="234"/>
      <c r="G138" s="234"/>
      <c r="H138" s="234"/>
      <c r="I138" s="234"/>
      <c r="J138" s="234"/>
      <c r="K138" s="234"/>
    </row>
    <row r="139" customFormat="false" ht="12.75" hidden="false" customHeight="false" outlineLevel="0" collapsed="false">
      <c r="C139" s="234"/>
      <c r="D139" s="234"/>
      <c r="E139" s="234"/>
      <c r="F139" s="234"/>
      <c r="G139" s="234"/>
      <c r="H139" s="234"/>
      <c r="I139" s="234"/>
      <c r="J139" s="234"/>
      <c r="K139" s="234"/>
    </row>
    <row r="140" customFormat="false" ht="12.75" hidden="false" customHeight="false" outlineLevel="0" collapsed="false">
      <c r="C140" s="234"/>
      <c r="D140" s="234"/>
      <c r="E140" s="234"/>
      <c r="F140" s="234"/>
      <c r="G140" s="234"/>
      <c r="H140" s="234"/>
      <c r="I140" s="234"/>
      <c r="J140" s="234"/>
      <c r="K140" s="234"/>
    </row>
    <row r="141" customFormat="false" ht="12.75" hidden="false" customHeight="false" outlineLevel="0" collapsed="false">
      <c r="C141" s="234"/>
      <c r="D141" s="234"/>
      <c r="E141" s="234"/>
      <c r="F141" s="234"/>
      <c r="G141" s="234"/>
      <c r="H141" s="234"/>
      <c r="I141" s="234"/>
      <c r="J141" s="234"/>
      <c r="K141" s="234"/>
    </row>
    <row r="142" customFormat="false" ht="12.75" hidden="false" customHeight="false" outlineLevel="0" collapsed="false">
      <c r="C142" s="234"/>
      <c r="D142" s="234"/>
      <c r="E142" s="234"/>
      <c r="F142" s="234"/>
      <c r="G142" s="234"/>
      <c r="H142" s="234"/>
      <c r="I142" s="234"/>
      <c r="J142" s="234"/>
      <c r="K142" s="234"/>
    </row>
    <row r="143" customFormat="false" ht="12.75" hidden="false" customHeight="false" outlineLevel="0" collapsed="false">
      <c r="C143" s="234"/>
      <c r="D143" s="234"/>
      <c r="E143" s="234"/>
      <c r="F143" s="234"/>
      <c r="G143" s="234"/>
      <c r="H143" s="234"/>
      <c r="I143" s="234"/>
      <c r="J143" s="234"/>
      <c r="K143" s="234"/>
    </row>
    <row r="144" customFormat="false" ht="12.75" hidden="false" customHeight="false" outlineLevel="0" collapsed="false">
      <c r="C144" s="234"/>
      <c r="D144" s="234"/>
      <c r="E144" s="234"/>
      <c r="F144" s="234"/>
      <c r="G144" s="234"/>
      <c r="H144" s="234"/>
      <c r="I144" s="234"/>
      <c r="J144" s="234"/>
      <c r="K144" s="234"/>
    </row>
    <row r="145" customFormat="false" ht="12.75" hidden="false" customHeight="false" outlineLevel="0" collapsed="false">
      <c r="C145" s="234"/>
      <c r="D145" s="234"/>
      <c r="E145" s="234"/>
      <c r="F145" s="234"/>
      <c r="G145" s="234"/>
      <c r="H145" s="234"/>
      <c r="I145" s="234"/>
      <c r="J145" s="234"/>
      <c r="K145" s="234"/>
    </row>
    <row r="146" customFormat="false" ht="12.75" hidden="false" customHeight="false" outlineLevel="0" collapsed="false">
      <c r="C146" s="234"/>
      <c r="D146" s="234"/>
      <c r="E146" s="234"/>
      <c r="F146" s="234"/>
      <c r="G146" s="234"/>
      <c r="H146" s="234"/>
      <c r="I146" s="234"/>
      <c r="J146" s="234"/>
      <c r="K146" s="234"/>
    </row>
    <row r="147" customFormat="false" ht="12.75" hidden="false" customHeight="false" outlineLevel="0" collapsed="false">
      <c r="C147" s="234"/>
      <c r="D147" s="234"/>
      <c r="E147" s="234"/>
      <c r="F147" s="234"/>
      <c r="G147" s="234"/>
      <c r="H147" s="234"/>
      <c r="I147" s="234"/>
      <c r="J147" s="234"/>
      <c r="K147" s="234"/>
    </row>
    <row r="148" customFormat="false" ht="12.75" hidden="false" customHeight="false" outlineLevel="0" collapsed="false">
      <c r="C148" s="234"/>
      <c r="D148" s="234"/>
      <c r="E148" s="234"/>
      <c r="F148" s="234"/>
      <c r="G148" s="234"/>
      <c r="H148" s="234"/>
      <c r="I148" s="234"/>
      <c r="J148" s="234"/>
      <c r="K148" s="234"/>
    </row>
    <row r="149" customFormat="false" ht="12.75" hidden="false" customHeight="false" outlineLevel="0" collapsed="false">
      <c r="C149" s="234"/>
      <c r="D149" s="234"/>
      <c r="E149" s="234"/>
      <c r="F149" s="234"/>
      <c r="G149" s="234"/>
      <c r="H149" s="234"/>
      <c r="I149" s="234"/>
      <c r="J149" s="234"/>
      <c r="K149" s="234"/>
    </row>
    <row r="150" customFormat="false" ht="12.75" hidden="false" customHeight="false" outlineLevel="0" collapsed="false">
      <c r="C150" s="234"/>
      <c r="D150" s="234"/>
      <c r="E150" s="234"/>
      <c r="F150" s="234"/>
      <c r="G150" s="234"/>
      <c r="H150" s="234"/>
      <c r="I150" s="234"/>
      <c r="J150" s="234"/>
      <c r="K150" s="234"/>
    </row>
    <row r="151" customFormat="false" ht="12.75" hidden="false" customHeight="false" outlineLevel="0" collapsed="false">
      <c r="C151" s="234"/>
      <c r="D151" s="234"/>
      <c r="E151" s="234"/>
      <c r="F151" s="234"/>
      <c r="G151" s="234"/>
      <c r="H151" s="234"/>
      <c r="I151" s="234"/>
      <c r="J151" s="234"/>
      <c r="K151" s="234"/>
    </row>
    <row r="152" customFormat="false" ht="12.75" hidden="false" customHeight="false" outlineLevel="0" collapsed="false">
      <c r="C152" s="234"/>
      <c r="D152" s="234"/>
      <c r="E152" s="234"/>
      <c r="F152" s="234"/>
      <c r="G152" s="234"/>
      <c r="H152" s="234"/>
      <c r="I152" s="234"/>
      <c r="J152" s="234"/>
      <c r="K152" s="234"/>
    </row>
    <row r="153" customFormat="false" ht="12.75" hidden="false" customHeight="false" outlineLevel="0" collapsed="false">
      <c r="C153" s="234"/>
      <c r="D153" s="234"/>
      <c r="E153" s="234"/>
      <c r="F153" s="234"/>
      <c r="G153" s="234"/>
      <c r="H153" s="234"/>
      <c r="I153" s="234"/>
      <c r="J153" s="234"/>
      <c r="K153" s="234"/>
    </row>
    <row r="154" customFormat="false" ht="12.75" hidden="false" customHeight="false" outlineLevel="0" collapsed="false">
      <c r="C154" s="234"/>
      <c r="D154" s="234"/>
      <c r="E154" s="234"/>
      <c r="F154" s="234"/>
      <c r="G154" s="234"/>
      <c r="H154" s="234"/>
      <c r="I154" s="234"/>
      <c r="J154" s="234"/>
      <c r="K154" s="234"/>
    </row>
    <row r="155" customFormat="false" ht="12.75" hidden="false" customHeight="false" outlineLevel="0" collapsed="false">
      <c r="C155" s="234"/>
      <c r="D155" s="234"/>
      <c r="E155" s="234"/>
      <c r="F155" s="234"/>
      <c r="G155" s="234"/>
      <c r="H155" s="234"/>
      <c r="I155" s="234"/>
      <c r="J155" s="234"/>
      <c r="K155" s="234"/>
    </row>
    <row r="156" customFormat="false" ht="12.75" hidden="false" customHeight="false" outlineLevel="0" collapsed="false">
      <c r="C156" s="234"/>
      <c r="D156" s="234"/>
      <c r="E156" s="234"/>
      <c r="F156" s="234"/>
      <c r="G156" s="234"/>
      <c r="H156" s="234"/>
      <c r="I156" s="234"/>
      <c r="J156" s="234"/>
      <c r="K156" s="234"/>
    </row>
    <row r="157" customFormat="false" ht="12.75" hidden="false" customHeight="false" outlineLevel="0" collapsed="false">
      <c r="C157" s="234"/>
      <c r="D157" s="234"/>
      <c r="E157" s="234"/>
      <c r="F157" s="234"/>
      <c r="G157" s="234"/>
      <c r="H157" s="234"/>
      <c r="I157" s="234"/>
      <c r="J157" s="234"/>
      <c r="K157" s="234"/>
    </row>
    <row r="158" customFormat="false" ht="12.75" hidden="false" customHeight="false" outlineLevel="0" collapsed="false">
      <c r="C158" s="234"/>
      <c r="D158" s="234"/>
      <c r="E158" s="234"/>
      <c r="F158" s="234"/>
      <c r="G158" s="234"/>
      <c r="H158" s="234"/>
      <c r="I158" s="234"/>
      <c r="J158" s="234"/>
      <c r="K158" s="234"/>
    </row>
    <row r="159" customFormat="false" ht="12.75" hidden="false" customHeight="false" outlineLevel="0" collapsed="false">
      <c r="C159" s="234"/>
      <c r="D159" s="234"/>
      <c r="E159" s="234"/>
      <c r="F159" s="234"/>
      <c r="G159" s="234"/>
      <c r="H159" s="234"/>
      <c r="I159" s="234"/>
      <c r="J159" s="234"/>
      <c r="K159" s="234"/>
    </row>
    <row r="160" customFormat="false" ht="12.75" hidden="false" customHeight="false" outlineLevel="0" collapsed="false">
      <c r="C160" s="234"/>
      <c r="D160" s="234"/>
      <c r="E160" s="234"/>
      <c r="F160" s="234"/>
      <c r="G160" s="234"/>
      <c r="H160" s="234"/>
      <c r="I160" s="234"/>
      <c r="J160" s="234"/>
      <c r="K160" s="234"/>
    </row>
    <row r="161" customFormat="false" ht="12.75" hidden="false" customHeight="false" outlineLevel="0" collapsed="false">
      <c r="C161" s="234"/>
      <c r="D161" s="234"/>
      <c r="E161" s="234"/>
      <c r="F161" s="234"/>
      <c r="G161" s="234"/>
      <c r="H161" s="234"/>
      <c r="I161" s="234"/>
      <c r="J161" s="234"/>
      <c r="K161" s="234"/>
    </row>
    <row r="162" customFormat="false" ht="12.75" hidden="false" customHeight="false" outlineLevel="0" collapsed="false">
      <c r="C162" s="234"/>
      <c r="D162" s="234"/>
      <c r="E162" s="234"/>
      <c r="F162" s="234"/>
      <c r="G162" s="234"/>
      <c r="H162" s="234"/>
      <c r="I162" s="234"/>
      <c r="J162" s="234"/>
      <c r="K162" s="234"/>
    </row>
    <row r="163" customFormat="false" ht="12.75" hidden="false" customHeight="false" outlineLevel="0" collapsed="false">
      <c r="C163" s="234"/>
      <c r="D163" s="234"/>
      <c r="E163" s="234"/>
      <c r="F163" s="234"/>
      <c r="G163" s="234"/>
      <c r="H163" s="234"/>
      <c r="I163" s="234"/>
      <c r="J163" s="234"/>
      <c r="K163" s="234"/>
    </row>
    <row r="164" customFormat="false" ht="12.75" hidden="false" customHeight="false" outlineLevel="0" collapsed="false">
      <c r="C164" s="234"/>
      <c r="D164" s="234"/>
      <c r="E164" s="234"/>
      <c r="F164" s="234"/>
      <c r="G164" s="234"/>
      <c r="H164" s="234"/>
      <c r="I164" s="234"/>
      <c r="J164" s="234"/>
      <c r="K164" s="234"/>
    </row>
    <row r="165" customFormat="false" ht="12.75" hidden="false" customHeight="false" outlineLevel="0" collapsed="false">
      <c r="C165" s="234"/>
      <c r="D165" s="234"/>
      <c r="E165" s="234"/>
      <c r="F165" s="234"/>
      <c r="G165" s="234"/>
      <c r="H165" s="234"/>
      <c r="I165" s="234"/>
      <c r="J165" s="234"/>
      <c r="K165" s="234"/>
    </row>
    <row r="166" customFormat="false" ht="12.75" hidden="false" customHeight="false" outlineLevel="0" collapsed="false">
      <c r="C166" s="234"/>
      <c r="D166" s="234"/>
      <c r="E166" s="234"/>
      <c r="F166" s="234"/>
      <c r="G166" s="234"/>
      <c r="H166" s="234"/>
      <c r="I166" s="234"/>
      <c r="J166" s="234"/>
      <c r="K166" s="234"/>
    </row>
    <row r="167" customFormat="false" ht="12.75" hidden="false" customHeight="false" outlineLevel="0" collapsed="false">
      <c r="C167" s="234"/>
      <c r="D167" s="234"/>
      <c r="E167" s="234"/>
      <c r="F167" s="234"/>
      <c r="G167" s="234"/>
      <c r="H167" s="234"/>
      <c r="I167" s="234"/>
      <c r="J167" s="234"/>
      <c r="K167" s="234"/>
    </row>
    <row r="168" customFormat="false" ht="12.75" hidden="false" customHeight="false" outlineLevel="0" collapsed="false">
      <c r="C168" s="234"/>
      <c r="D168" s="234"/>
      <c r="E168" s="234"/>
      <c r="F168" s="234"/>
      <c r="G168" s="234"/>
      <c r="H168" s="234"/>
      <c r="I168" s="234"/>
      <c r="J168" s="234"/>
      <c r="K168" s="234"/>
    </row>
    <row r="169" customFormat="false" ht="12.75" hidden="false" customHeight="false" outlineLevel="0" collapsed="false">
      <c r="C169" s="234"/>
      <c r="D169" s="234"/>
      <c r="E169" s="234"/>
      <c r="F169" s="234"/>
      <c r="G169" s="234"/>
      <c r="H169" s="234"/>
      <c r="I169" s="234"/>
      <c r="J169" s="234"/>
      <c r="K169" s="234"/>
    </row>
    <row r="170" customFormat="false" ht="12.75" hidden="false" customHeight="false" outlineLevel="0" collapsed="false">
      <c r="C170" s="234"/>
      <c r="D170" s="234"/>
      <c r="E170" s="234"/>
      <c r="F170" s="234"/>
      <c r="G170" s="234"/>
      <c r="H170" s="234"/>
      <c r="I170" s="234"/>
      <c r="J170" s="234"/>
      <c r="K170" s="234"/>
    </row>
    <row r="171" customFormat="false" ht="12.75" hidden="false" customHeight="false" outlineLevel="0" collapsed="false">
      <c r="C171" s="234"/>
      <c r="D171" s="234"/>
      <c r="E171" s="234"/>
      <c r="F171" s="234"/>
      <c r="G171" s="234"/>
      <c r="H171" s="234"/>
      <c r="I171" s="234"/>
      <c r="J171" s="234"/>
      <c r="K171" s="234"/>
    </row>
    <row r="172" customFormat="false" ht="12.75" hidden="false" customHeight="false" outlineLevel="0" collapsed="false">
      <c r="C172" s="234"/>
      <c r="D172" s="234"/>
      <c r="E172" s="234"/>
      <c r="F172" s="234"/>
      <c r="G172" s="234"/>
      <c r="H172" s="234"/>
      <c r="I172" s="234"/>
      <c r="J172" s="234"/>
      <c r="K172" s="234"/>
    </row>
    <row r="173" customFormat="false" ht="12.75" hidden="false" customHeight="false" outlineLevel="0" collapsed="false">
      <c r="C173" s="234"/>
      <c r="D173" s="234"/>
      <c r="E173" s="234"/>
      <c r="F173" s="234"/>
      <c r="G173" s="234"/>
      <c r="H173" s="234"/>
      <c r="I173" s="234"/>
      <c r="J173" s="234"/>
      <c r="K173" s="234"/>
    </row>
    <row r="174" customFormat="false" ht="12.75" hidden="false" customHeight="false" outlineLevel="0" collapsed="false">
      <c r="C174" s="234"/>
      <c r="D174" s="234"/>
      <c r="E174" s="234"/>
      <c r="F174" s="234"/>
      <c r="G174" s="234"/>
      <c r="H174" s="234"/>
      <c r="I174" s="234"/>
      <c r="J174" s="234"/>
      <c r="K174" s="234"/>
    </row>
    <row r="175" customFormat="false" ht="12.75" hidden="false" customHeight="false" outlineLevel="0" collapsed="false">
      <c r="C175" s="234"/>
      <c r="D175" s="234"/>
      <c r="E175" s="234"/>
      <c r="F175" s="234"/>
      <c r="G175" s="234"/>
      <c r="H175" s="234"/>
      <c r="I175" s="234"/>
      <c r="J175" s="234"/>
      <c r="K175" s="234"/>
    </row>
    <row r="176" customFormat="false" ht="12.75" hidden="false" customHeight="false" outlineLevel="0" collapsed="false">
      <c r="C176" s="234"/>
      <c r="D176" s="234"/>
      <c r="E176" s="234"/>
      <c r="F176" s="234"/>
      <c r="G176" s="234"/>
      <c r="H176" s="234"/>
      <c r="I176" s="234"/>
      <c r="J176" s="234"/>
      <c r="K176" s="234"/>
    </row>
    <row r="177" customFormat="false" ht="12.75" hidden="false" customHeight="false" outlineLevel="0" collapsed="false">
      <c r="C177" s="234"/>
      <c r="D177" s="234"/>
      <c r="E177" s="234"/>
      <c r="F177" s="234"/>
      <c r="G177" s="234"/>
      <c r="H177" s="234"/>
      <c r="I177" s="234"/>
      <c r="J177" s="234"/>
      <c r="K177" s="234"/>
    </row>
    <row r="178" customFormat="false" ht="12.75" hidden="false" customHeight="false" outlineLevel="0" collapsed="false">
      <c r="C178" s="234"/>
      <c r="D178" s="234"/>
      <c r="E178" s="234"/>
      <c r="F178" s="234"/>
      <c r="G178" s="234"/>
      <c r="H178" s="234"/>
      <c r="I178" s="234"/>
      <c r="J178" s="234"/>
      <c r="K178" s="234"/>
    </row>
    <row r="179" customFormat="false" ht="12.75" hidden="false" customHeight="false" outlineLevel="0" collapsed="false">
      <c r="C179" s="234"/>
      <c r="D179" s="234"/>
      <c r="E179" s="234"/>
      <c r="F179" s="234"/>
      <c r="G179" s="234"/>
      <c r="H179" s="234"/>
      <c r="I179" s="234"/>
      <c r="J179" s="234"/>
      <c r="K179" s="234"/>
    </row>
    <row r="180" customFormat="false" ht="12.75" hidden="false" customHeight="false" outlineLevel="0" collapsed="false">
      <c r="C180" s="234"/>
      <c r="D180" s="234"/>
      <c r="E180" s="234"/>
      <c r="F180" s="234"/>
      <c r="G180" s="234"/>
      <c r="H180" s="234"/>
      <c r="I180" s="234"/>
      <c r="J180" s="234"/>
      <c r="K180" s="234"/>
    </row>
    <row r="181" customFormat="false" ht="12.75" hidden="false" customHeight="false" outlineLevel="0" collapsed="false">
      <c r="C181" s="234"/>
      <c r="D181" s="234"/>
      <c r="E181" s="234"/>
      <c r="F181" s="234"/>
      <c r="G181" s="234"/>
      <c r="H181" s="234"/>
      <c r="I181" s="234"/>
      <c r="J181" s="234"/>
      <c r="K181" s="234"/>
    </row>
    <row r="182" customFormat="false" ht="12.75" hidden="false" customHeight="false" outlineLevel="0" collapsed="false">
      <c r="C182" s="234"/>
      <c r="D182" s="234"/>
      <c r="E182" s="234"/>
      <c r="F182" s="234"/>
      <c r="G182" s="234"/>
      <c r="H182" s="234"/>
      <c r="I182" s="234"/>
      <c r="J182" s="234"/>
      <c r="K182" s="234"/>
    </row>
    <row r="183" customFormat="false" ht="12.75" hidden="false" customHeight="false" outlineLevel="0" collapsed="false">
      <c r="C183" s="234"/>
      <c r="D183" s="234"/>
      <c r="E183" s="234"/>
      <c r="F183" s="234"/>
      <c r="G183" s="234"/>
      <c r="H183" s="234"/>
      <c r="I183" s="234"/>
      <c r="J183" s="234"/>
      <c r="K183" s="234"/>
    </row>
    <row r="184" customFormat="false" ht="12.75" hidden="false" customHeight="false" outlineLevel="0" collapsed="false">
      <c r="C184" s="234"/>
      <c r="D184" s="234"/>
      <c r="E184" s="234"/>
      <c r="F184" s="234"/>
      <c r="G184" s="234"/>
      <c r="H184" s="234"/>
      <c r="I184" s="234"/>
      <c r="J184" s="234"/>
      <c r="K184" s="234"/>
    </row>
    <row r="185" customFormat="false" ht="12.75" hidden="false" customHeight="false" outlineLevel="0" collapsed="false">
      <c r="C185" s="234"/>
      <c r="D185" s="234"/>
      <c r="E185" s="234"/>
      <c r="F185" s="234"/>
      <c r="G185" s="234"/>
      <c r="H185" s="234"/>
      <c r="I185" s="234"/>
      <c r="J185" s="234"/>
      <c r="K185" s="234"/>
    </row>
    <row r="186" customFormat="false" ht="12.75" hidden="false" customHeight="false" outlineLevel="0" collapsed="false">
      <c r="C186" s="234"/>
      <c r="D186" s="234"/>
      <c r="E186" s="234"/>
      <c r="F186" s="234"/>
      <c r="G186" s="234"/>
      <c r="H186" s="234"/>
      <c r="I186" s="234"/>
      <c r="J186" s="234"/>
      <c r="K186" s="234"/>
    </row>
    <row r="187" customFormat="false" ht="12.75" hidden="false" customHeight="false" outlineLevel="0" collapsed="false">
      <c r="C187" s="234"/>
      <c r="D187" s="234"/>
      <c r="E187" s="234"/>
      <c r="F187" s="234"/>
      <c r="G187" s="234"/>
      <c r="H187" s="234"/>
      <c r="I187" s="234"/>
      <c r="J187" s="234"/>
      <c r="K187" s="234"/>
    </row>
    <row r="188" customFormat="false" ht="12.75" hidden="false" customHeight="false" outlineLevel="0" collapsed="false">
      <c r="C188" s="234"/>
      <c r="D188" s="234"/>
      <c r="E188" s="234"/>
      <c r="F188" s="234"/>
      <c r="G188" s="234"/>
      <c r="H188" s="234"/>
      <c r="I188" s="234"/>
      <c r="J188" s="234"/>
      <c r="K188" s="234"/>
    </row>
    <row r="189" customFormat="false" ht="12.75" hidden="false" customHeight="false" outlineLevel="0" collapsed="false">
      <c r="C189" s="234"/>
      <c r="D189" s="234"/>
      <c r="E189" s="234"/>
      <c r="F189" s="234"/>
      <c r="G189" s="234"/>
      <c r="H189" s="234"/>
      <c r="I189" s="234"/>
      <c r="J189" s="234"/>
      <c r="K189" s="234"/>
    </row>
    <row r="190" customFormat="false" ht="12.75" hidden="false" customHeight="false" outlineLevel="0" collapsed="false">
      <c r="C190" s="234"/>
      <c r="D190" s="234"/>
      <c r="E190" s="234"/>
      <c r="F190" s="234"/>
      <c r="G190" s="234"/>
      <c r="H190" s="234"/>
      <c r="I190" s="234"/>
      <c r="J190" s="234"/>
      <c r="K190" s="234"/>
    </row>
    <row r="191" customFormat="false" ht="12.75" hidden="false" customHeight="false" outlineLevel="0" collapsed="false">
      <c r="C191" s="234"/>
      <c r="D191" s="234"/>
      <c r="E191" s="234"/>
      <c r="F191" s="234"/>
      <c r="G191" s="234"/>
      <c r="H191" s="234"/>
      <c r="I191" s="234"/>
      <c r="J191" s="234"/>
      <c r="K191" s="234"/>
    </row>
    <row r="192" customFormat="false" ht="12.75" hidden="false" customHeight="false" outlineLevel="0" collapsed="false">
      <c r="C192" s="234"/>
      <c r="D192" s="234"/>
      <c r="E192" s="234"/>
      <c r="F192" s="234"/>
      <c r="G192" s="234"/>
      <c r="H192" s="234"/>
      <c r="I192" s="234"/>
      <c r="J192" s="234"/>
      <c r="K192" s="234"/>
    </row>
    <row r="193" customFormat="false" ht="12.75" hidden="false" customHeight="false" outlineLevel="0" collapsed="false">
      <c r="C193" s="234"/>
      <c r="D193" s="234"/>
      <c r="E193" s="234"/>
      <c r="F193" s="234"/>
      <c r="G193" s="234"/>
      <c r="H193" s="234"/>
      <c r="I193" s="234"/>
      <c r="J193" s="234"/>
      <c r="K193" s="234"/>
    </row>
    <row r="194" customFormat="false" ht="12.75" hidden="false" customHeight="false" outlineLevel="0" collapsed="false">
      <c r="C194" s="234"/>
      <c r="D194" s="234"/>
      <c r="E194" s="234"/>
      <c r="F194" s="234"/>
      <c r="G194" s="234"/>
      <c r="H194" s="234"/>
      <c r="I194" s="234"/>
      <c r="J194" s="234"/>
      <c r="K194" s="234"/>
    </row>
    <row r="195" customFormat="false" ht="12.75" hidden="false" customHeight="false" outlineLevel="0" collapsed="false">
      <c r="C195" s="234"/>
      <c r="D195" s="234"/>
      <c r="E195" s="234"/>
      <c r="F195" s="234"/>
      <c r="G195" s="234"/>
      <c r="H195" s="234"/>
      <c r="I195" s="234"/>
      <c r="J195" s="234"/>
      <c r="K195" s="234"/>
    </row>
    <row r="196" customFormat="false" ht="12.75" hidden="false" customHeight="false" outlineLevel="0" collapsed="false">
      <c r="C196" s="234"/>
      <c r="D196" s="234"/>
      <c r="E196" s="234"/>
      <c r="F196" s="234"/>
      <c r="G196" s="234"/>
      <c r="H196" s="234"/>
      <c r="I196" s="234"/>
      <c r="J196" s="234"/>
      <c r="K196" s="234"/>
    </row>
    <row r="197" customFormat="false" ht="12.75" hidden="false" customHeight="false" outlineLevel="0" collapsed="false">
      <c r="C197" s="234"/>
      <c r="D197" s="234"/>
      <c r="E197" s="234"/>
      <c r="F197" s="234"/>
      <c r="G197" s="234"/>
      <c r="H197" s="234"/>
      <c r="I197" s="234"/>
      <c r="J197" s="234"/>
      <c r="K197" s="234"/>
    </row>
    <row r="198" customFormat="false" ht="12.75" hidden="false" customHeight="false" outlineLevel="0" collapsed="false">
      <c r="C198" s="234"/>
      <c r="D198" s="234"/>
      <c r="E198" s="234"/>
      <c r="F198" s="234"/>
      <c r="G198" s="234"/>
      <c r="H198" s="234"/>
      <c r="I198" s="234"/>
      <c r="J198" s="234"/>
      <c r="K198" s="234"/>
    </row>
    <row r="199" customFormat="false" ht="12.75" hidden="false" customHeight="false" outlineLevel="0" collapsed="false">
      <c r="C199" s="234"/>
      <c r="D199" s="234"/>
      <c r="E199" s="234"/>
      <c r="F199" s="234"/>
      <c r="G199" s="234"/>
      <c r="H199" s="234"/>
      <c r="I199" s="234"/>
      <c r="J199" s="234"/>
      <c r="K199" s="234"/>
    </row>
    <row r="200" customFormat="false" ht="12.75" hidden="false" customHeight="false" outlineLevel="0" collapsed="false">
      <c r="C200" s="234"/>
      <c r="D200" s="234"/>
      <c r="E200" s="234"/>
      <c r="F200" s="234"/>
      <c r="G200" s="234"/>
      <c r="H200" s="234"/>
      <c r="I200" s="234"/>
      <c r="J200" s="234"/>
      <c r="K200" s="234"/>
    </row>
    <row r="201" customFormat="false" ht="12.75" hidden="false" customHeight="false" outlineLevel="0" collapsed="false">
      <c r="C201" s="234"/>
      <c r="D201" s="234"/>
      <c r="E201" s="234"/>
      <c r="F201" s="234"/>
      <c r="G201" s="234"/>
      <c r="H201" s="234"/>
      <c r="I201" s="234"/>
      <c r="J201" s="234"/>
      <c r="K201" s="234"/>
    </row>
    <row r="202" customFormat="false" ht="12.75" hidden="false" customHeight="false" outlineLevel="0" collapsed="false">
      <c r="C202" s="234"/>
      <c r="D202" s="234"/>
      <c r="E202" s="234"/>
      <c r="F202" s="234"/>
      <c r="G202" s="234"/>
      <c r="H202" s="234"/>
      <c r="I202" s="234"/>
      <c r="J202" s="234"/>
      <c r="K202" s="234"/>
    </row>
    <row r="203" customFormat="false" ht="12.75" hidden="false" customHeight="false" outlineLevel="0" collapsed="false">
      <c r="C203" s="234"/>
      <c r="D203" s="234"/>
      <c r="E203" s="234"/>
      <c r="F203" s="234"/>
      <c r="G203" s="234"/>
      <c r="H203" s="234"/>
      <c r="I203" s="234"/>
      <c r="J203" s="234"/>
      <c r="K203" s="234"/>
    </row>
    <row r="204" customFormat="false" ht="12.75" hidden="false" customHeight="false" outlineLevel="0" collapsed="false">
      <c r="C204" s="234"/>
      <c r="D204" s="234"/>
      <c r="E204" s="234"/>
      <c r="F204" s="234"/>
      <c r="G204" s="234"/>
      <c r="H204" s="234"/>
      <c r="I204" s="234"/>
      <c r="J204" s="234"/>
      <c r="K204" s="234"/>
    </row>
    <row r="205" customFormat="false" ht="12.75" hidden="false" customHeight="false" outlineLevel="0" collapsed="false">
      <c r="C205" s="234"/>
      <c r="D205" s="234"/>
      <c r="E205" s="234"/>
      <c r="F205" s="234"/>
      <c r="G205" s="234"/>
      <c r="H205" s="234"/>
      <c r="I205" s="234"/>
      <c r="J205" s="234"/>
      <c r="K205" s="234"/>
    </row>
    <row r="206" customFormat="false" ht="12.75" hidden="false" customHeight="false" outlineLevel="0" collapsed="false">
      <c r="C206" s="234"/>
      <c r="D206" s="234"/>
      <c r="E206" s="234"/>
      <c r="F206" s="234"/>
      <c r="G206" s="234"/>
      <c r="H206" s="234"/>
      <c r="I206" s="234"/>
      <c r="J206" s="234"/>
      <c r="K206" s="234"/>
    </row>
    <row r="207" customFormat="false" ht="12.75" hidden="false" customHeight="false" outlineLevel="0" collapsed="false">
      <c r="C207" s="234"/>
      <c r="D207" s="234"/>
      <c r="E207" s="234"/>
      <c r="F207" s="234"/>
      <c r="G207" s="234"/>
      <c r="H207" s="234"/>
      <c r="I207" s="234"/>
      <c r="J207" s="234"/>
      <c r="K207" s="234"/>
    </row>
    <row r="208" customFormat="false" ht="12.75" hidden="false" customHeight="false" outlineLevel="0" collapsed="false">
      <c r="C208" s="234"/>
      <c r="D208" s="234"/>
      <c r="E208" s="234"/>
      <c r="F208" s="234"/>
      <c r="G208" s="234"/>
      <c r="H208" s="234"/>
      <c r="I208" s="234"/>
      <c r="J208" s="234"/>
      <c r="K208" s="234"/>
    </row>
    <row r="209" customFormat="false" ht="12.75" hidden="false" customHeight="false" outlineLevel="0" collapsed="false">
      <c r="C209" s="234"/>
      <c r="D209" s="234"/>
      <c r="E209" s="234"/>
      <c r="F209" s="234"/>
      <c r="G209" s="234"/>
      <c r="H209" s="234"/>
      <c r="I209" s="234"/>
      <c r="J209" s="234"/>
      <c r="K209" s="234"/>
    </row>
    <row r="210" customFormat="false" ht="12.75" hidden="false" customHeight="false" outlineLevel="0" collapsed="false">
      <c r="C210" s="234"/>
      <c r="D210" s="234"/>
      <c r="E210" s="234"/>
      <c r="F210" s="234"/>
      <c r="G210" s="234"/>
      <c r="H210" s="234"/>
      <c r="I210" s="234"/>
      <c r="J210" s="234"/>
      <c r="K210" s="234"/>
    </row>
    <row r="211" customFormat="false" ht="12.75" hidden="false" customHeight="false" outlineLevel="0" collapsed="false">
      <c r="C211" s="234"/>
      <c r="D211" s="234"/>
      <c r="E211" s="234"/>
      <c r="F211" s="234"/>
      <c r="G211" s="234"/>
      <c r="H211" s="234"/>
      <c r="I211" s="234"/>
      <c r="J211" s="234"/>
      <c r="K211" s="234"/>
    </row>
    <row r="212" customFormat="false" ht="12.75" hidden="false" customHeight="false" outlineLevel="0" collapsed="false">
      <c r="C212" s="234"/>
      <c r="D212" s="234"/>
      <c r="E212" s="234"/>
      <c r="F212" s="234"/>
      <c r="G212" s="234"/>
      <c r="H212" s="234"/>
      <c r="I212" s="234"/>
      <c r="J212" s="234"/>
      <c r="K212" s="234"/>
    </row>
    <row r="213" customFormat="false" ht="12.75" hidden="false" customHeight="false" outlineLevel="0" collapsed="false">
      <c r="C213" s="234"/>
      <c r="D213" s="234"/>
      <c r="E213" s="234"/>
      <c r="F213" s="234"/>
      <c r="G213" s="234"/>
      <c r="H213" s="234"/>
      <c r="I213" s="234"/>
      <c r="J213" s="234"/>
      <c r="K213" s="234"/>
    </row>
    <row r="214" customFormat="false" ht="12.75" hidden="false" customHeight="false" outlineLevel="0" collapsed="false">
      <c r="C214" s="234"/>
      <c r="D214" s="234"/>
      <c r="E214" s="234"/>
      <c r="F214" s="234"/>
      <c r="G214" s="234"/>
      <c r="H214" s="234"/>
      <c r="I214" s="234"/>
      <c r="J214" s="234"/>
      <c r="K214" s="234"/>
    </row>
    <row r="215" customFormat="false" ht="12.75" hidden="false" customHeight="false" outlineLevel="0" collapsed="false">
      <c r="C215" s="234"/>
      <c r="D215" s="234"/>
      <c r="E215" s="234"/>
      <c r="F215" s="234"/>
      <c r="G215" s="234"/>
      <c r="H215" s="234"/>
      <c r="I215" s="234"/>
      <c r="J215" s="234"/>
      <c r="K215" s="234"/>
    </row>
    <row r="216" customFormat="false" ht="12.75" hidden="false" customHeight="false" outlineLevel="0" collapsed="false">
      <c r="C216" s="234"/>
      <c r="D216" s="234"/>
      <c r="E216" s="234"/>
      <c r="F216" s="234"/>
      <c r="G216" s="234"/>
      <c r="H216" s="234"/>
      <c r="I216" s="234"/>
      <c r="J216" s="234"/>
      <c r="K216" s="234"/>
    </row>
    <row r="217" customFormat="false" ht="12.75" hidden="false" customHeight="false" outlineLevel="0" collapsed="false">
      <c r="C217" s="234"/>
      <c r="D217" s="234"/>
      <c r="E217" s="234"/>
      <c r="F217" s="234"/>
      <c r="G217" s="234"/>
      <c r="H217" s="234"/>
      <c r="I217" s="234"/>
      <c r="J217" s="234"/>
      <c r="K217" s="234"/>
    </row>
    <row r="218" customFormat="false" ht="12.75" hidden="false" customHeight="false" outlineLevel="0" collapsed="false">
      <c r="C218" s="234"/>
      <c r="D218" s="234"/>
      <c r="E218" s="234"/>
      <c r="F218" s="234"/>
      <c r="G218" s="234"/>
      <c r="H218" s="234"/>
      <c r="I218" s="234"/>
      <c r="J218" s="234"/>
      <c r="K218" s="234"/>
    </row>
    <row r="219" customFormat="false" ht="12.75" hidden="false" customHeight="false" outlineLevel="0" collapsed="false">
      <c r="C219" s="234"/>
      <c r="D219" s="234"/>
      <c r="E219" s="234"/>
      <c r="F219" s="234"/>
      <c r="G219" s="234"/>
      <c r="H219" s="234"/>
      <c r="I219" s="234"/>
      <c r="J219" s="234"/>
      <c r="K219" s="234"/>
    </row>
    <row r="220" customFormat="false" ht="12.75" hidden="false" customHeight="false" outlineLevel="0" collapsed="false">
      <c r="C220" s="234"/>
      <c r="D220" s="234"/>
      <c r="E220" s="234"/>
      <c r="F220" s="234"/>
      <c r="G220" s="234"/>
      <c r="H220" s="234"/>
      <c r="I220" s="234"/>
      <c r="J220" s="234"/>
      <c r="K220" s="234"/>
    </row>
    <row r="221" customFormat="false" ht="12.75" hidden="false" customHeight="false" outlineLevel="0" collapsed="false">
      <c r="C221" s="234"/>
      <c r="D221" s="234"/>
      <c r="E221" s="234"/>
      <c r="F221" s="234"/>
      <c r="G221" s="234"/>
      <c r="H221" s="234"/>
      <c r="I221" s="234"/>
      <c r="J221" s="234"/>
      <c r="K221" s="234"/>
    </row>
    <row r="222" customFormat="false" ht="12.75" hidden="false" customHeight="false" outlineLevel="0" collapsed="false">
      <c r="C222" s="234"/>
      <c r="D222" s="234"/>
      <c r="E222" s="234"/>
      <c r="F222" s="234"/>
      <c r="G222" s="234"/>
      <c r="H222" s="234"/>
      <c r="I222" s="234"/>
      <c r="J222" s="234"/>
      <c r="K222" s="234"/>
    </row>
    <row r="223" customFormat="false" ht="12.75" hidden="false" customHeight="false" outlineLevel="0" collapsed="false">
      <c r="C223" s="234"/>
      <c r="D223" s="234"/>
      <c r="E223" s="234"/>
      <c r="F223" s="234"/>
      <c r="G223" s="234"/>
      <c r="H223" s="234"/>
      <c r="I223" s="234"/>
      <c r="J223" s="234"/>
      <c r="K223" s="234"/>
    </row>
    <row r="224" customFormat="false" ht="12.75" hidden="false" customHeight="false" outlineLevel="0" collapsed="false">
      <c r="C224" s="234"/>
      <c r="D224" s="234"/>
      <c r="E224" s="234"/>
      <c r="F224" s="234"/>
      <c r="G224" s="234"/>
      <c r="H224" s="234"/>
      <c r="I224" s="234"/>
      <c r="J224" s="234"/>
      <c r="K224" s="234"/>
    </row>
    <row r="225" customFormat="false" ht="12.75" hidden="false" customHeight="false" outlineLevel="0" collapsed="false">
      <c r="C225" s="234"/>
      <c r="D225" s="234"/>
      <c r="E225" s="234"/>
      <c r="F225" s="234"/>
      <c r="G225" s="234"/>
      <c r="H225" s="234"/>
      <c r="I225" s="234"/>
      <c r="J225" s="234"/>
      <c r="K225" s="234"/>
    </row>
    <row r="226" customFormat="false" ht="12.75" hidden="false" customHeight="false" outlineLevel="0" collapsed="false">
      <c r="C226" s="234"/>
      <c r="D226" s="234"/>
      <c r="E226" s="234"/>
      <c r="F226" s="234"/>
      <c r="G226" s="234"/>
      <c r="H226" s="234"/>
      <c r="I226" s="234"/>
      <c r="J226" s="234"/>
      <c r="K226" s="234"/>
    </row>
    <row r="227" customFormat="false" ht="12.75" hidden="false" customHeight="false" outlineLevel="0" collapsed="false">
      <c r="C227" s="234"/>
      <c r="D227" s="234"/>
      <c r="E227" s="234"/>
      <c r="F227" s="234"/>
      <c r="G227" s="234"/>
      <c r="H227" s="234"/>
      <c r="I227" s="234"/>
      <c r="J227" s="234"/>
      <c r="K227" s="234"/>
    </row>
    <row r="228" customFormat="false" ht="12.75" hidden="false" customHeight="false" outlineLevel="0" collapsed="false">
      <c r="C228" s="234"/>
      <c r="D228" s="234"/>
      <c r="E228" s="234"/>
      <c r="F228" s="234"/>
      <c r="G228" s="234"/>
      <c r="H228" s="234"/>
      <c r="I228" s="234"/>
      <c r="J228" s="234"/>
      <c r="K228" s="234"/>
    </row>
    <row r="229" customFormat="false" ht="12.75" hidden="false" customHeight="false" outlineLevel="0" collapsed="false">
      <c r="C229" s="234"/>
      <c r="D229" s="234"/>
      <c r="E229" s="234"/>
      <c r="F229" s="234"/>
      <c r="G229" s="234"/>
      <c r="H229" s="234"/>
      <c r="I229" s="234"/>
      <c r="J229" s="234"/>
      <c r="K229" s="234"/>
    </row>
    <row r="230" customFormat="false" ht="12.75" hidden="false" customHeight="false" outlineLevel="0" collapsed="false">
      <c r="C230" s="234"/>
      <c r="D230" s="234"/>
      <c r="E230" s="234"/>
      <c r="F230" s="234"/>
      <c r="G230" s="234"/>
      <c r="H230" s="234"/>
      <c r="I230" s="234"/>
      <c r="J230" s="234"/>
      <c r="K230" s="234"/>
    </row>
    <row r="231" customFormat="false" ht="12.75" hidden="false" customHeight="false" outlineLevel="0" collapsed="false">
      <c r="C231" s="234"/>
      <c r="D231" s="234"/>
      <c r="E231" s="234"/>
      <c r="F231" s="234"/>
      <c r="G231" s="234"/>
      <c r="H231" s="234"/>
      <c r="I231" s="234"/>
      <c r="J231" s="234"/>
      <c r="K231" s="234"/>
    </row>
    <row r="232" customFormat="false" ht="12.75" hidden="false" customHeight="false" outlineLevel="0" collapsed="false">
      <c r="C232" s="234"/>
      <c r="D232" s="234"/>
      <c r="E232" s="234"/>
      <c r="F232" s="234"/>
      <c r="G232" s="234"/>
      <c r="H232" s="234"/>
      <c r="I232" s="234"/>
      <c r="J232" s="234"/>
      <c r="K232" s="234"/>
    </row>
    <row r="233" customFormat="false" ht="12.75" hidden="false" customHeight="false" outlineLevel="0" collapsed="false">
      <c r="C233" s="234"/>
      <c r="D233" s="234"/>
      <c r="E233" s="234"/>
      <c r="F233" s="234"/>
      <c r="G233" s="234"/>
      <c r="H233" s="234"/>
      <c r="I233" s="234"/>
      <c r="J233" s="234"/>
      <c r="K233" s="234"/>
    </row>
    <row r="234" customFormat="false" ht="12.75" hidden="false" customHeight="false" outlineLevel="0" collapsed="false">
      <c r="C234" s="234"/>
      <c r="D234" s="234"/>
      <c r="E234" s="234"/>
      <c r="F234" s="234"/>
      <c r="G234" s="234"/>
      <c r="H234" s="234"/>
      <c r="I234" s="234"/>
      <c r="J234" s="234"/>
      <c r="K234" s="234"/>
    </row>
    <row r="235" customFormat="false" ht="12.75" hidden="false" customHeight="false" outlineLevel="0" collapsed="false">
      <c r="C235" s="234"/>
      <c r="D235" s="234"/>
      <c r="E235" s="234"/>
      <c r="F235" s="234"/>
      <c r="G235" s="234"/>
      <c r="H235" s="234"/>
      <c r="I235" s="234"/>
      <c r="J235" s="234"/>
      <c r="K235" s="234"/>
    </row>
    <row r="236" customFormat="false" ht="12.75" hidden="false" customHeight="false" outlineLevel="0" collapsed="false">
      <c r="C236" s="234"/>
      <c r="D236" s="234"/>
      <c r="E236" s="234"/>
      <c r="F236" s="234"/>
      <c r="G236" s="234"/>
      <c r="H236" s="234"/>
      <c r="I236" s="234"/>
      <c r="J236" s="234"/>
      <c r="K236" s="234"/>
    </row>
    <row r="237" customFormat="false" ht="12.75" hidden="false" customHeight="false" outlineLevel="0" collapsed="false">
      <c r="C237" s="234"/>
      <c r="D237" s="234"/>
      <c r="E237" s="234"/>
      <c r="F237" s="234"/>
      <c r="G237" s="234"/>
      <c r="H237" s="234"/>
      <c r="I237" s="234"/>
      <c r="J237" s="234"/>
      <c r="K237" s="234"/>
    </row>
    <row r="238" customFormat="false" ht="12.75" hidden="false" customHeight="false" outlineLevel="0" collapsed="false">
      <c r="C238" s="234"/>
      <c r="D238" s="234"/>
      <c r="E238" s="234"/>
      <c r="F238" s="234"/>
      <c r="G238" s="234"/>
      <c r="H238" s="234"/>
      <c r="I238" s="234"/>
      <c r="J238" s="234"/>
      <c r="K238" s="234"/>
    </row>
    <row r="239" customFormat="false" ht="12.75" hidden="false" customHeight="false" outlineLevel="0" collapsed="false">
      <c r="C239" s="234"/>
      <c r="D239" s="234"/>
      <c r="E239" s="234"/>
      <c r="F239" s="234"/>
      <c r="G239" s="234"/>
      <c r="H239" s="234"/>
      <c r="I239" s="234"/>
      <c r="J239" s="234"/>
      <c r="K239" s="234"/>
    </row>
    <row r="240" customFormat="false" ht="12.75" hidden="false" customHeight="false" outlineLevel="0" collapsed="false">
      <c r="C240" s="234"/>
      <c r="D240" s="234"/>
      <c r="E240" s="234"/>
      <c r="F240" s="234"/>
      <c r="G240" s="234"/>
      <c r="H240" s="234"/>
      <c r="I240" s="234"/>
      <c r="J240" s="234"/>
      <c r="K240" s="234"/>
    </row>
    <row r="241" customFormat="false" ht="12.75" hidden="false" customHeight="false" outlineLevel="0" collapsed="false">
      <c r="C241" s="234"/>
      <c r="D241" s="234"/>
      <c r="E241" s="234"/>
      <c r="F241" s="234"/>
      <c r="G241" s="234"/>
      <c r="H241" s="234"/>
      <c r="I241" s="234"/>
      <c r="J241" s="234"/>
      <c r="K241" s="234"/>
    </row>
    <row r="242" customFormat="false" ht="12.75" hidden="false" customHeight="false" outlineLevel="0" collapsed="false">
      <c r="C242" s="234"/>
      <c r="D242" s="234"/>
      <c r="E242" s="234"/>
      <c r="F242" s="234"/>
      <c r="G242" s="234"/>
      <c r="H242" s="234"/>
      <c r="I242" s="234"/>
      <c r="J242" s="234"/>
      <c r="K242" s="234"/>
    </row>
    <row r="243" customFormat="false" ht="12.75" hidden="false" customHeight="false" outlineLevel="0" collapsed="false">
      <c r="C243" s="234"/>
      <c r="D243" s="234"/>
      <c r="E243" s="234"/>
      <c r="F243" s="234"/>
      <c r="G243" s="234"/>
      <c r="H243" s="234"/>
      <c r="I243" s="234"/>
      <c r="J243" s="234"/>
      <c r="K243" s="234"/>
    </row>
    <row r="244" customFormat="false" ht="12.75" hidden="false" customHeight="false" outlineLevel="0" collapsed="false">
      <c r="C244" s="234"/>
      <c r="D244" s="234"/>
      <c r="E244" s="234"/>
      <c r="F244" s="234"/>
      <c r="G244" s="234"/>
      <c r="H244" s="234"/>
      <c r="I244" s="234"/>
      <c r="J244" s="234"/>
      <c r="K244" s="234"/>
    </row>
    <row r="245" customFormat="false" ht="12.75" hidden="false" customHeight="false" outlineLevel="0" collapsed="false">
      <c r="C245" s="234"/>
      <c r="D245" s="234"/>
      <c r="E245" s="234"/>
      <c r="F245" s="234"/>
      <c r="G245" s="234"/>
      <c r="H245" s="234"/>
      <c r="I245" s="234"/>
      <c r="J245" s="234"/>
      <c r="K245" s="234"/>
    </row>
    <row r="246" customFormat="false" ht="12.75" hidden="false" customHeight="false" outlineLevel="0" collapsed="false">
      <c r="C246" s="234"/>
      <c r="D246" s="234"/>
      <c r="E246" s="234"/>
      <c r="F246" s="234"/>
      <c r="G246" s="234"/>
      <c r="H246" s="234"/>
      <c r="I246" s="234"/>
      <c r="J246" s="234"/>
      <c r="K246" s="234"/>
    </row>
    <row r="247" customFormat="false" ht="12.75" hidden="false" customHeight="false" outlineLevel="0" collapsed="false">
      <c r="C247" s="234"/>
      <c r="D247" s="234"/>
      <c r="E247" s="234"/>
      <c r="F247" s="234"/>
      <c r="G247" s="234"/>
      <c r="H247" s="234"/>
      <c r="I247" s="234"/>
      <c r="J247" s="234"/>
      <c r="K247" s="234"/>
    </row>
    <row r="248" customFormat="false" ht="12.75" hidden="false" customHeight="false" outlineLevel="0" collapsed="false">
      <c r="C248" s="234"/>
      <c r="D248" s="234"/>
      <c r="E248" s="234"/>
      <c r="F248" s="234"/>
      <c r="G248" s="234"/>
      <c r="H248" s="234"/>
      <c r="I248" s="234"/>
      <c r="J248" s="234"/>
      <c r="K248" s="234"/>
    </row>
    <row r="249" customFormat="false" ht="12.75" hidden="false" customHeight="false" outlineLevel="0" collapsed="false">
      <c r="C249" s="234"/>
      <c r="D249" s="234"/>
      <c r="E249" s="234"/>
      <c r="F249" s="234"/>
      <c r="G249" s="234"/>
      <c r="H249" s="234"/>
      <c r="I249" s="234"/>
      <c r="J249" s="234"/>
      <c r="K249" s="234"/>
    </row>
    <row r="250" customFormat="false" ht="12.75" hidden="false" customHeight="false" outlineLevel="0" collapsed="false">
      <c r="C250" s="234"/>
      <c r="D250" s="234"/>
      <c r="E250" s="234"/>
      <c r="F250" s="234"/>
      <c r="G250" s="234"/>
      <c r="H250" s="234"/>
      <c r="I250" s="234"/>
      <c r="J250" s="234"/>
      <c r="K250" s="234"/>
    </row>
    <row r="251" customFormat="false" ht="12.75" hidden="false" customHeight="false" outlineLevel="0" collapsed="false">
      <c r="C251" s="234"/>
      <c r="D251" s="234"/>
      <c r="E251" s="234"/>
      <c r="F251" s="234"/>
      <c r="G251" s="234"/>
      <c r="H251" s="234"/>
      <c r="I251" s="234"/>
      <c r="J251" s="234"/>
      <c r="K251" s="234"/>
    </row>
    <row r="252" customFormat="false" ht="12.75" hidden="false" customHeight="false" outlineLevel="0" collapsed="false">
      <c r="C252" s="234"/>
      <c r="D252" s="234"/>
      <c r="E252" s="234"/>
      <c r="F252" s="234"/>
      <c r="G252" s="234"/>
      <c r="H252" s="234"/>
      <c r="I252" s="234"/>
      <c r="J252" s="234"/>
      <c r="K252" s="234"/>
    </row>
    <row r="253" customFormat="false" ht="12.75" hidden="false" customHeight="false" outlineLevel="0" collapsed="false">
      <c r="C253" s="234"/>
      <c r="D253" s="234"/>
      <c r="E253" s="234"/>
      <c r="F253" s="234"/>
      <c r="G253" s="234"/>
      <c r="H253" s="234"/>
      <c r="I253" s="234"/>
      <c r="J253" s="234"/>
      <c r="K253" s="234"/>
    </row>
    <row r="254" customFormat="false" ht="12.75" hidden="false" customHeight="false" outlineLevel="0" collapsed="false">
      <c r="C254" s="234"/>
      <c r="D254" s="234"/>
      <c r="E254" s="234"/>
      <c r="F254" s="234"/>
      <c r="G254" s="234"/>
      <c r="H254" s="234"/>
      <c r="I254" s="234"/>
      <c r="J254" s="234"/>
      <c r="K254" s="234"/>
    </row>
    <row r="255" customFormat="false" ht="12.75" hidden="false" customHeight="false" outlineLevel="0" collapsed="false">
      <c r="C255" s="234"/>
      <c r="D255" s="234"/>
      <c r="E255" s="234"/>
      <c r="F255" s="234"/>
      <c r="G255" s="234"/>
      <c r="H255" s="234"/>
      <c r="I255" s="234"/>
      <c r="J255" s="234"/>
      <c r="K255" s="234"/>
    </row>
    <row r="256" customFormat="false" ht="12.75" hidden="false" customHeight="false" outlineLevel="0" collapsed="false">
      <c r="C256" s="234"/>
      <c r="D256" s="234"/>
      <c r="E256" s="234"/>
      <c r="F256" s="234"/>
      <c r="G256" s="234"/>
      <c r="H256" s="234"/>
      <c r="I256" s="234"/>
      <c r="J256" s="234"/>
      <c r="K256" s="234"/>
    </row>
    <row r="257" customFormat="false" ht="12.75" hidden="false" customHeight="false" outlineLevel="0" collapsed="false">
      <c r="C257" s="234"/>
      <c r="D257" s="234"/>
      <c r="E257" s="234"/>
      <c r="F257" s="234"/>
      <c r="G257" s="234"/>
      <c r="H257" s="234"/>
      <c r="I257" s="234"/>
      <c r="J257" s="234"/>
      <c r="K257" s="234"/>
    </row>
    <row r="258" customFormat="false" ht="12.75" hidden="false" customHeight="false" outlineLevel="0" collapsed="false">
      <c r="C258" s="234"/>
      <c r="D258" s="234"/>
      <c r="E258" s="234"/>
      <c r="F258" s="234"/>
      <c r="G258" s="234"/>
      <c r="H258" s="234"/>
      <c r="I258" s="234"/>
      <c r="J258" s="234"/>
      <c r="K258" s="234"/>
    </row>
    <row r="259" customFormat="false" ht="12.75" hidden="false" customHeight="false" outlineLevel="0" collapsed="false">
      <c r="C259" s="234"/>
      <c r="D259" s="234"/>
      <c r="E259" s="234"/>
      <c r="F259" s="234"/>
      <c r="G259" s="234"/>
      <c r="H259" s="234"/>
      <c r="I259" s="234"/>
      <c r="J259" s="234"/>
      <c r="K259" s="234"/>
    </row>
    <row r="260" customFormat="false" ht="12.75" hidden="false" customHeight="false" outlineLevel="0" collapsed="false">
      <c r="C260" s="234"/>
      <c r="D260" s="234"/>
      <c r="E260" s="234"/>
      <c r="F260" s="234"/>
      <c r="G260" s="234"/>
      <c r="H260" s="234"/>
      <c r="I260" s="234"/>
      <c r="J260" s="234"/>
      <c r="K260" s="234"/>
    </row>
    <row r="261" customFormat="false" ht="12.75" hidden="false" customHeight="false" outlineLevel="0" collapsed="false">
      <c r="C261" s="234"/>
      <c r="D261" s="234"/>
      <c r="E261" s="234"/>
      <c r="F261" s="234"/>
      <c r="G261" s="234"/>
      <c r="H261" s="234"/>
      <c r="I261" s="234"/>
      <c r="J261" s="234"/>
      <c r="K261" s="234"/>
    </row>
    <row r="262" customFormat="false" ht="12.75" hidden="false" customHeight="false" outlineLevel="0" collapsed="false">
      <c r="C262" s="234"/>
      <c r="D262" s="234"/>
      <c r="E262" s="234"/>
      <c r="F262" s="234"/>
      <c r="G262" s="234"/>
      <c r="H262" s="234"/>
      <c r="I262" s="234"/>
      <c r="J262" s="234"/>
      <c r="K262" s="234"/>
    </row>
    <row r="263" customFormat="false" ht="12.75" hidden="false" customHeight="false" outlineLevel="0" collapsed="false">
      <c r="C263" s="234"/>
      <c r="D263" s="234"/>
      <c r="E263" s="234"/>
      <c r="F263" s="234"/>
      <c r="G263" s="234"/>
      <c r="H263" s="234"/>
      <c r="I263" s="234"/>
      <c r="J263" s="234"/>
      <c r="K263" s="234"/>
    </row>
    <row r="264" customFormat="false" ht="12.75" hidden="false" customHeight="false" outlineLevel="0" collapsed="false">
      <c r="C264" s="234"/>
      <c r="D264" s="234"/>
      <c r="E264" s="234"/>
      <c r="F264" s="234"/>
      <c r="G264" s="234"/>
      <c r="H264" s="234"/>
      <c r="I264" s="234"/>
      <c r="J264" s="234"/>
      <c r="K264" s="234"/>
    </row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" right="0" top="0.25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8" topLeftCell="BM9" activePane="bottomLeft" state="frozen"/>
      <selection pane="topLeft" activeCell="A1" activeCellId="0" sqref="A1"/>
      <selection pane="bottomLeft" activeCell="A9" activeCellId="0" sqref="A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8.99"/>
    <col collapsed="false" customWidth="true" hidden="false" outlineLevel="0" max="2" min="2" style="1" width="0.85"/>
    <col collapsed="false" customWidth="true" hidden="false" outlineLevel="0" max="4" min="3" style="1" width="8.7"/>
    <col collapsed="false" customWidth="false" hidden="false" outlineLevel="0" max="5" min="5" style="1" width="9.14"/>
    <col collapsed="false" customWidth="true" hidden="false" outlineLevel="0" max="6" min="6" style="2" width="9.28"/>
    <col collapsed="false" customWidth="true" hidden="false" outlineLevel="0" max="7" min="7" style="2" width="8.99"/>
    <col collapsed="false" customWidth="true" hidden="false" outlineLevel="0" max="10" min="8" style="2" width="8.7"/>
    <col collapsed="false" customWidth="true" hidden="false" outlineLevel="0" max="11" min="11" style="2" width="8.85"/>
    <col collapsed="false" customWidth="true" hidden="false" outlineLevel="0" max="12" min="12" style="1" width="0.85"/>
    <col collapsed="false" customWidth="true" hidden="false" outlineLevel="0" max="13" min="13" style="1" width="8.7"/>
    <col collapsed="false" customWidth="true" hidden="false" outlineLevel="0" max="17" min="14" style="1" width="7.7"/>
    <col collapsed="false" customWidth="true" hidden="false" outlineLevel="0" max="19" min="18" style="1" width="8.7"/>
    <col collapsed="false" customWidth="true" hidden="false" outlineLevel="0" max="20" min="20" style="1" width="0.85"/>
    <col collapsed="false" customWidth="false" hidden="false" outlineLevel="0" max="257" min="21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3"/>
      <c r="G1" s="3"/>
      <c r="H1" s="3"/>
      <c r="I1" s="3"/>
      <c r="J1" s="3"/>
      <c r="K1" s="3"/>
      <c r="L1" s="0"/>
      <c r="M1" s="0"/>
      <c r="N1" s="0"/>
      <c r="O1" s="0"/>
      <c r="P1" s="0"/>
      <c r="Q1" s="0"/>
      <c r="R1" s="0"/>
      <c r="S1" s="0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29.25" hidden="false" customHeight="true" outlineLevel="0" collapsed="false">
      <c r="A2" s="289" t="s">
        <v>0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7"/>
      <c r="M2" s="7"/>
      <c r="N2" s="7"/>
      <c r="O2" s="7"/>
      <c r="P2" s="7"/>
      <c r="Q2" s="7"/>
      <c r="R2" s="7"/>
      <c r="S2" s="9"/>
      <c r="T2" s="10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15.75" hidden="false" customHeight="true" outlineLevel="0" collapsed="false">
      <c r="A3" s="290" t="s">
        <v>185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0"/>
      <c r="M3" s="0"/>
      <c r="N3" s="0"/>
      <c r="O3" s="0"/>
      <c r="P3" s="0"/>
      <c r="Q3" s="0"/>
      <c r="R3" s="0"/>
      <c r="S3" s="5"/>
      <c r="T3" s="10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5.75" hidden="false" customHeight="true" outlineLevel="0" collapsed="false">
      <c r="A4" s="290" t="str">
        <f aca="false">'QTD Mgmt Summary'!Q3</f>
        <v>Results based on activity through Aug 3, 2001</v>
      </c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0"/>
      <c r="M4" s="0"/>
      <c r="N4" s="0"/>
      <c r="O4" s="0"/>
      <c r="P4" s="0"/>
      <c r="Q4" s="0"/>
      <c r="R4" s="0"/>
      <c r="S4" s="5"/>
      <c r="T4" s="10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</row>
    <row r="5" customFormat="false" ht="15" hidden="false" customHeight="true" outlineLevel="0" collapsed="false">
      <c r="A5" s="0"/>
      <c r="B5" s="0"/>
      <c r="C5" s="0"/>
      <c r="D5" s="0"/>
      <c r="E5" s="0"/>
      <c r="F5" s="3"/>
      <c r="G5" s="3"/>
      <c r="H5" s="3"/>
      <c r="I5" s="3"/>
      <c r="J5" s="3"/>
      <c r="K5" s="3"/>
      <c r="L5" s="0"/>
      <c r="M5" s="0"/>
      <c r="N5" s="0"/>
      <c r="O5" s="0"/>
      <c r="P5" s="0"/>
      <c r="Q5" s="0"/>
      <c r="R5" s="0"/>
      <c r="S5" s="0"/>
      <c r="T5" s="12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</row>
    <row r="6" customFormat="false" ht="15" hidden="false" customHeight="true" outlineLevel="0" collapsed="false">
      <c r="A6" s="13"/>
      <c r="B6" s="291"/>
      <c r="C6" s="15" t="s">
        <v>186</v>
      </c>
      <c r="D6" s="15"/>
      <c r="E6" s="15"/>
      <c r="F6" s="15"/>
      <c r="G6" s="15"/>
      <c r="H6" s="15"/>
      <c r="I6" s="17"/>
      <c r="J6" s="17"/>
      <c r="K6" s="17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</row>
    <row r="7" customFormat="false" ht="14.25" hidden="false" customHeight="true" outlineLevel="0" collapsed="false">
      <c r="A7" s="160" t="s">
        <v>7</v>
      </c>
      <c r="B7" s="33"/>
      <c r="C7" s="15"/>
      <c r="D7" s="15"/>
      <c r="E7" s="15"/>
      <c r="F7" s="15"/>
      <c r="G7" s="15"/>
      <c r="H7" s="15"/>
      <c r="I7" s="292" t="s">
        <v>8</v>
      </c>
      <c r="J7" s="23"/>
      <c r="K7" s="293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</row>
    <row r="8" customFormat="false" ht="18" hidden="false" customHeight="true" outlineLevel="0" collapsed="false">
      <c r="A8" s="32"/>
      <c r="B8" s="294"/>
      <c r="C8" s="295" t="s">
        <v>187</v>
      </c>
      <c r="D8" s="296" t="s">
        <v>188</v>
      </c>
      <c r="E8" s="296" t="s">
        <v>189</v>
      </c>
      <c r="F8" s="297" t="s">
        <v>180</v>
      </c>
      <c r="G8" s="297" t="s">
        <v>181</v>
      </c>
      <c r="H8" s="298" t="s">
        <v>96</v>
      </c>
      <c r="I8" s="38" t="s">
        <v>3</v>
      </c>
      <c r="J8" s="297" t="s">
        <v>9</v>
      </c>
      <c r="K8" s="298" t="s">
        <v>10</v>
      </c>
    </row>
    <row r="9" customFormat="false" ht="12.75" hidden="false" customHeight="true" outlineLevel="0" collapsed="false">
      <c r="A9" s="46" t="str">
        <f aca="false">'QTD Mgmt Summary'!A9</f>
        <v>Norteast Trading (Davis)</v>
      </c>
      <c r="B9" s="173"/>
      <c r="C9" s="59" t="n">
        <v>15627</v>
      </c>
      <c r="D9" s="299" t="n">
        <v>0</v>
      </c>
      <c r="E9" s="299" t="n">
        <v>0</v>
      </c>
      <c r="F9" s="299" t="n">
        <v>0</v>
      </c>
      <c r="G9" s="299" t="n">
        <v>0</v>
      </c>
      <c r="H9" s="299" t="n">
        <v>0</v>
      </c>
      <c r="I9" s="59" t="n">
        <f aca="false">SUM(C9:H9)</f>
        <v>15627</v>
      </c>
      <c r="J9" s="299" t="n">
        <v>12500</v>
      </c>
      <c r="K9" s="176" t="n">
        <f aca="false">I9-J9</f>
        <v>3127</v>
      </c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</row>
    <row r="10" customFormat="false" ht="12.75" hidden="false" customHeight="true" outlineLevel="0" collapsed="false">
      <c r="A10" s="46" t="str">
        <f aca="false">'QTD Mgmt Summary'!A10</f>
        <v>Northeast Origination (Llodia)</v>
      </c>
      <c r="B10" s="173"/>
      <c r="C10" s="300" t="n">
        <v>0</v>
      </c>
      <c r="D10" s="301" t="n">
        <v>0</v>
      </c>
      <c r="E10" s="114" t="n">
        <v>175</v>
      </c>
      <c r="F10" s="301" t="n">
        <v>0</v>
      </c>
      <c r="G10" s="301" t="n">
        <v>0</v>
      </c>
      <c r="H10" s="301" t="n">
        <v>0</v>
      </c>
      <c r="I10" s="74" t="n">
        <f aca="false">SUM(C10:H10)</f>
        <v>175</v>
      </c>
      <c r="J10" s="114" t="n">
        <v>7500</v>
      </c>
      <c r="K10" s="180" t="n">
        <f aca="false">I10-J10</f>
        <v>-7325</v>
      </c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  <c r="IU10" s="72"/>
      <c r="IV10" s="72"/>
      <c r="IW10" s="72"/>
    </row>
    <row r="11" customFormat="false" ht="12.75" hidden="false" customHeight="true" outlineLevel="0" collapsed="false">
      <c r="A11" s="46" t="str">
        <f aca="false">'QTD Mgmt Summary'!A11</f>
        <v>Midwest Trading (Sturm/Baughman)</v>
      </c>
      <c r="B11" s="51"/>
      <c r="C11" s="204" t="n">
        <v>-15094</v>
      </c>
      <c r="D11" s="302" t="n">
        <v>0</v>
      </c>
      <c r="E11" s="114" t="n">
        <v>0</v>
      </c>
      <c r="F11" s="302" t="n">
        <v>0</v>
      </c>
      <c r="G11" s="302" t="n">
        <v>0</v>
      </c>
      <c r="H11" s="184" t="n">
        <v>0</v>
      </c>
      <c r="I11" s="78" t="n">
        <f aca="false">SUM(C11:H11)</f>
        <v>-15094</v>
      </c>
      <c r="J11" s="226" t="n">
        <v>12500</v>
      </c>
      <c r="K11" s="180" t="n">
        <f aca="false">I11-J11</f>
        <v>-27594</v>
      </c>
    </row>
    <row r="12" customFormat="false" ht="12.75" hidden="false" customHeight="true" outlineLevel="0" collapsed="false">
      <c r="A12" s="46" t="str">
        <f aca="false">'QTD Mgmt Summary'!A12</f>
        <v>Midwest Origination (Sturm/Baughman)</v>
      </c>
      <c r="B12" s="51"/>
      <c r="C12" s="204" t="n">
        <v>0</v>
      </c>
      <c r="D12" s="302" t="n">
        <v>0</v>
      </c>
      <c r="E12" s="114" t="n">
        <v>265</v>
      </c>
      <c r="F12" s="302" t="n">
        <v>0</v>
      </c>
      <c r="G12" s="302" t="n">
        <v>0</v>
      </c>
      <c r="H12" s="184" t="n">
        <v>0</v>
      </c>
      <c r="I12" s="78" t="n">
        <f aca="false">SUM(C12:H12)</f>
        <v>265</v>
      </c>
      <c r="J12" s="226" t="n">
        <v>7500</v>
      </c>
      <c r="K12" s="180" t="n">
        <f aca="false">I12-J12</f>
        <v>-7235</v>
      </c>
    </row>
    <row r="13" customFormat="false" ht="12.75" hidden="false" customHeight="true" outlineLevel="0" collapsed="false">
      <c r="A13" s="46" t="str">
        <f aca="false">'QTD Mgmt Summary'!A13</f>
        <v>Southeast Trading (Herndon/Kroll) </v>
      </c>
      <c r="B13" s="51"/>
      <c r="C13" s="204" t="n">
        <v>-1120</v>
      </c>
      <c r="D13" s="302" t="n">
        <v>0</v>
      </c>
      <c r="E13" s="114" t="n">
        <v>0</v>
      </c>
      <c r="F13" s="302" t="n">
        <v>0</v>
      </c>
      <c r="G13" s="302" t="n">
        <v>0</v>
      </c>
      <c r="H13" s="184" t="n">
        <v>0</v>
      </c>
      <c r="I13" s="78" t="n">
        <f aca="false">SUM(C13:H13)</f>
        <v>-1120</v>
      </c>
      <c r="J13" s="226" t="n">
        <v>7500</v>
      </c>
      <c r="K13" s="180" t="n">
        <f aca="false">I13-J13</f>
        <v>-8620</v>
      </c>
    </row>
    <row r="14" customFormat="false" ht="12.75" hidden="false" customHeight="true" outlineLevel="0" collapsed="false">
      <c r="A14" s="46" t="str">
        <f aca="false">'QTD Mgmt Summary'!A14</f>
        <v>Southeast Orig (Herndon/Kroll) </v>
      </c>
      <c r="B14" s="51"/>
      <c r="C14" s="204" t="n">
        <v>0</v>
      </c>
      <c r="D14" s="302" t="n">
        <v>0</v>
      </c>
      <c r="E14" s="114" t="n">
        <v>1667</v>
      </c>
      <c r="F14" s="302" t="n">
        <v>0</v>
      </c>
      <c r="G14" s="302" t="n">
        <v>0</v>
      </c>
      <c r="H14" s="184" t="n">
        <v>0</v>
      </c>
      <c r="I14" s="78" t="n">
        <f aca="false">SUM(C14:H14)</f>
        <v>1667</v>
      </c>
      <c r="J14" s="226" t="n">
        <v>12500</v>
      </c>
      <c r="K14" s="180" t="n">
        <f aca="false">I14-J14</f>
        <v>-10833</v>
      </c>
    </row>
    <row r="15" customFormat="false" ht="12.75" hidden="false" customHeight="true" outlineLevel="0" collapsed="false">
      <c r="A15" s="46" t="str">
        <f aca="false">'QTD Mgmt Summary'!A15</f>
        <v>ERCOT Trading (Smith/Corry)</v>
      </c>
      <c r="B15" s="51"/>
      <c r="C15" s="204" t="n">
        <v>-2325</v>
      </c>
      <c r="D15" s="302" t="n">
        <v>0</v>
      </c>
      <c r="E15" s="114" t="n">
        <v>0</v>
      </c>
      <c r="F15" s="302" t="n">
        <v>0</v>
      </c>
      <c r="G15" s="302" t="n">
        <v>0</v>
      </c>
      <c r="H15" s="184" t="n">
        <v>0</v>
      </c>
      <c r="I15" s="78" t="n">
        <f aca="false">SUM(C15:H15)</f>
        <v>-2325</v>
      </c>
      <c r="J15" s="226" t="n">
        <v>4375</v>
      </c>
      <c r="K15" s="180" t="n">
        <f aca="false">I15-J15</f>
        <v>-6700</v>
      </c>
    </row>
    <row r="16" customFormat="false" ht="12.75" hidden="false" customHeight="true" outlineLevel="0" collapsed="false">
      <c r="A16" s="46" t="str">
        <f aca="false">'QTD Mgmt Summary'!A16</f>
        <v>ERCOT Orig (Smith/Corry)</v>
      </c>
      <c r="B16" s="51"/>
      <c r="C16" s="204" t="n">
        <v>0</v>
      </c>
      <c r="D16" s="302" t="n">
        <v>0</v>
      </c>
      <c r="E16" s="114" t="n">
        <v>70</v>
      </c>
      <c r="F16" s="302" t="n">
        <v>0</v>
      </c>
      <c r="G16" s="302" t="n">
        <v>0</v>
      </c>
      <c r="H16" s="184" t="n">
        <v>0</v>
      </c>
      <c r="I16" s="78" t="n">
        <f aca="false">SUM(C16:H16)</f>
        <v>70</v>
      </c>
      <c r="J16" s="226" t="n">
        <v>4375</v>
      </c>
      <c r="K16" s="180" t="n">
        <f aca="false">I16-J16</f>
        <v>-4305</v>
      </c>
    </row>
    <row r="17" customFormat="false" ht="12.75" hidden="false" customHeight="true" outlineLevel="0" collapsed="false">
      <c r="A17" s="46" t="str">
        <f aca="false">'QTD Mgmt Summary'!A17</f>
        <v>Options (Arora)</v>
      </c>
      <c r="B17" s="51"/>
      <c r="C17" s="204" t="n">
        <v>3846</v>
      </c>
      <c r="D17" s="302" t="n">
        <v>0</v>
      </c>
      <c r="E17" s="114" t="n">
        <v>0</v>
      </c>
      <c r="F17" s="302" t="n">
        <v>0</v>
      </c>
      <c r="G17" s="302" t="n">
        <v>0</v>
      </c>
      <c r="H17" s="184" t="n">
        <v>0</v>
      </c>
      <c r="I17" s="78" t="n">
        <f aca="false">SUM(C17:H17)</f>
        <v>3846</v>
      </c>
      <c r="J17" s="226" t="n">
        <v>0</v>
      </c>
      <c r="K17" s="180" t="n">
        <f aca="false">I17-J17</f>
        <v>3846</v>
      </c>
    </row>
    <row r="18" customFormat="false" ht="12.75" hidden="false" customHeight="true" outlineLevel="0" collapsed="false">
      <c r="A18" s="46" t="str">
        <f aca="false">'QTD Mgmt Summary'!A18</f>
        <v>Management  Book (Presto)</v>
      </c>
      <c r="B18" s="51"/>
      <c r="C18" s="204" t="n">
        <v>-25456</v>
      </c>
      <c r="D18" s="302" t="n">
        <v>0</v>
      </c>
      <c r="E18" s="114" t="n">
        <v>0</v>
      </c>
      <c r="F18" s="302" t="n">
        <v>0</v>
      </c>
      <c r="G18" s="302" t="n">
        <v>0</v>
      </c>
      <c r="H18" s="184" t="n">
        <v>0</v>
      </c>
      <c r="I18" s="78" t="n">
        <f aca="false">SUM(C18:H18)</f>
        <v>-25456</v>
      </c>
      <c r="J18" s="226" t="n">
        <v>4200</v>
      </c>
      <c r="K18" s="180" t="n">
        <f aca="false">I18-J18</f>
        <v>-29656</v>
      </c>
    </row>
    <row r="19" customFormat="false" ht="12.75" hidden="false" customHeight="true" outlineLevel="0" collapsed="false">
      <c r="A19" s="46" t="str">
        <f aca="false">'QTD Mgmt Summary'!A19</f>
        <v>Services (Will)</v>
      </c>
      <c r="B19" s="51"/>
      <c r="C19" s="204" t="n">
        <v>82</v>
      </c>
      <c r="D19" s="302" t="n">
        <v>0</v>
      </c>
      <c r="E19" s="114" t="n">
        <v>0</v>
      </c>
      <c r="F19" s="302" t="n">
        <v>0</v>
      </c>
      <c r="G19" s="302" t="n">
        <v>0</v>
      </c>
      <c r="H19" s="184" t="n">
        <v>0</v>
      </c>
      <c r="I19" s="78" t="n">
        <f aca="false">SUM(C19:H19)</f>
        <v>82</v>
      </c>
      <c r="J19" s="226" t="n">
        <v>0</v>
      </c>
      <c r="K19" s="180" t="n">
        <f aca="false">I19-J19</f>
        <v>82</v>
      </c>
    </row>
    <row r="20" customFormat="false" ht="12.75" hidden="false" customHeight="true" outlineLevel="0" collapsed="false">
      <c r="A20" s="46" t="str">
        <f aca="false">'QTD Mgmt Summary'!A20</f>
        <v>Development (Jacoby)</v>
      </c>
      <c r="B20" s="51"/>
      <c r="C20" s="204" t="n">
        <v>0</v>
      </c>
      <c r="D20" s="302" t="n">
        <v>0</v>
      </c>
      <c r="E20" s="114" t="n">
        <v>0</v>
      </c>
      <c r="F20" s="302" t="n">
        <v>0</v>
      </c>
      <c r="G20" s="302" t="n">
        <v>0</v>
      </c>
      <c r="H20" s="184" t="n">
        <v>2438</v>
      </c>
      <c r="I20" s="78" t="n">
        <f aca="false">SUM(C20:H20)</f>
        <v>2438</v>
      </c>
      <c r="J20" s="226" t="n">
        <v>6000</v>
      </c>
      <c r="K20" s="180" t="n">
        <f aca="false">I20-J20</f>
        <v>-3562</v>
      </c>
    </row>
    <row r="21" customFormat="false" ht="12.75" hidden="false" customHeight="true" outlineLevel="0" collapsed="false">
      <c r="A21" s="46" t="str">
        <f aca="false">'QTD Mgmt Summary'!A21</f>
        <v>Generation Investments (Duran)</v>
      </c>
      <c r="B21" s="51"/>
      <c r="C21" s="204" t="n">
        <v>0</v>
      </c>
      <c r="D21" s="302" t="n">
        <v>0</v>
      </c>
      <c r="E21" s="114" t="n">
        <v>0</v>
      </c>
      <c r="F21" s="302" t="n">
        <v>-2516</v>
      </c>
      <c r="G21" s="302" t="n">
        <v>0</v>
      </c>
      <c r="H21" s="184" t="n">
        <v>1000</v>
      </c>
      <c r="I21" s="78" t="n">
        <f aca="false">SUM(C21:H21)</f>
        <v>-1516</v>
      </c>
      <c r="J21" s="226" t="n">
        <v>20000</v>
      </c>
      <c r="K21" s="180" t="n">
        <f aca="false">I21-J21</f>
        <v>-21516</v>
      </c>
    </row>
    <row r="22" customFormat="false" ht="12.75" hidden="false" customHeight="true" outlineLevel="0" collapsed="false">
      <c r="A22" s="46" t="str">
        <f aca="false">'QTD Mgmt Summary'!A22</f>
        <v>Structuring/Fundamentals (Meyn/Will)</v>
      </c>
      <c r="B22" s="51"/>
      <c r="C22" s="204" t="n">
        <v>0</v>
      </c>
      <c r="D22" s="302" t="n">
        <v>0</v>
      </c>
      <c r="E22" s="114" t="n">
        <v>0</v>
      </c>
      <c r="F22" s="302" t="n">
        <v>0</v>
      </c>
      <c r="G22" s="302" t="n">
        <v>0</v>
      </c>
      <c r="H22" s="184" t="n">
        <v>0</v>
      </c>
      <c r="I22" s="190" t="n">
        <f aca="false">SUM(C22:H22)</f>
        <v>0</v>
      </c>
      <c r="J22" s="303" t="n">
        <v>0</v>
      </c>
      <c r="K22" s="180" t="n">
        <f aca="false">I22-J22</f>
        <v>0</v>
      </c>
    </row>
    <row r="23" customFormat="false" ht="12.75" hidden="false" customHeight="true" outlineLevel="0" collapsed="false">
      <c r="A23" s="101" t="s">
        <v>21</v>
      </c>
      <c r="B23" s="191"/>
      <c r="C23" s="223" t="n">
        <f aca="false">SUM(C9:C22)</f>
        <v>-24440</v>
      </c>
      <c r="D23" s="193" t="n">
        <f aca="false">SUM(D9:D22)</f>
        <v>0</v>
      </c>
      <c r="E23" s="193" t="n">
        <f aca="false">SUM(E9:E22)</f>
        <v>2177</v>
      </c>
      <c r="F23" s="304" t="n">
        <f aca="false">SUM(F9:F22)</f>
        <v>-2516</v>
      </c>
      <c r="G23" s="304" t="n">
        <f aca="false">SUM(G9:G22)</f>
        <v>0</v>
      </c>
      <c r="H23" s="305" t="n">
        <f aca="false">SUM(H9:H22)</f>
        <v>3438</v>
      </c>
      <c r="I23" s="195" t="n">
        <f aca="false">SUM(I9:I22)</f>
        <v>-21341</v>
      </c>
      <c r="J23" s="304" t="n">
        <f aca="false">SUM(J9:J22)</f>
        <v>98950</v>
      </c>
      <c r="K23" s="305" t="n">
        <f aca="false">SUM(K9:K22)</f>
        <v>-120291</v>
      </c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  <c r="IQ23" s="94"/>
      <c r="IR23" s="94"/>
      <c r="IS23" s="94"/>
      <c r="IT23" s="94"/>
      <c r="IU23" s="94"/>
      <c r="IV23" s="94"/>
      <c r="IW23" s="94"/>
    </row>
    <row r="24" customFormat="false" ht="12.75" hidden="false" customHeight="true" outlineLevel="0" collapsed="false">
      <c r="A24" s="46" t="str">
        <f aca="false">'QTD Mgmt Summary'!A24</f>
        <v>Trading (Belden)</v>
      </c>
      <c r="B24" s="33"/>
      <c r="C24" s="74" t="n">
        <v>54403</v>
      </c>
      <c r="D24" s="302" t="n">
        <v>0</v>
      </c>
      <c r="E24" s="114" t="n">
        <v>0</v>
      </c>
      <c r="F24" s="302" t="n">
        <v>0</v>
      </c>
      <c r="G24" s="302" t="n">
        <v>0</v>
      </c>
      <c r="H24" s="184" t="n">
        <v>0</v>
      </c>
      <c r="I24" s="204" t="n">
        <f aca="false">SUM(C24:H24)</f>
        <v>54403</v>
      </c>
      <c r="J24" s="226" t="n">
        <v>62499</v>
      </c>
      <c r="K24" s="184" t="n">
        <f aca="false">I24-J24</f>
        <v>-8096</v>
      </c>
    </row>
    <row r="25" customFormat="false" ht="12.75" hidden="false" customHeight="true" outlineLevel="0" collapsed="false">
      <c r="A25" s="46" t="str">
        <f aca="false">'QTD Mgmt Summary'!A25</f>
        <v>Services (Foster/Wolfe)</v>
      </c>
      <c r="B25" s="33"/>
      <c r="C25" s="74" t="n">
        <v>0</v>
      </c>
      <c r="D25" s="302" t="n">
        <v>0</v>
      </c>
      <c r="E25" s="114" t="n">
        <v>0</v>
      </c>
      <c r="F25" s="302" t="n">
        <v>0</v>
      </c>
      <c r="G25" s="302" t="n">
        <v>0</v>
      </c>
      <c r="H25" s="184" t="n">
        <v>0</v>
      </c>
      <c r="I25" s="204" t="n">
        <f aca="false">SUM(C25:H25)</f>
        <v>0</v>
      </c>
      <c r="J25" s="226" t="n">
        <v>0</v>
      </c>
      <c r="K25" s="184" t="n">
        <f aca="false">I25-J25</f>
        <v>0</v>
      </c>
    </row>
    <row r="26" customFormat="false" ht="12.75" hidden="false" customHeight="true" outlineLevel="0" collapsed="false">
      <c r="A26" s="46" t="str">
        <f aca="false">'QTD Mgmt Summary'!A26</f>
        <v>Middle Market Originations (Foster)</v>
      </c>
      <c r="B26" s="33"/>
      <c r="C26" s="74" t="n">
        <v>0</v>
      </c>
      <c r="D26" s="302" t="n">
        <v>6407</v>
      </c>
      <c r="E26" s="114" t="n">
        <v>0</v>
      </c>
      <c r="F26" s="302" t="n">
        <v>0</v>
      </c>
      <c r="G26" s="302" t="n">
        <v>0</v>
      </c>
      <c r="H26" s="184" t="n">
        <v>0</v>
      </c>
      <c r="I26" s="204" t="n">
        <f aca="false">SUM(C26:H26)</f>
        <v>6407</v>
      </c>
      <c r="J26" s="226" t="n">
        <v>12499</v>
      </c>
      <c r="K26" s="184" t="n">
        <f aca="false">I26-J26</f>
        <v>-6092</v>
      </c>
    </row>
    <row r="27" customFormat="false" ht="12.75" hidden="false" customHeight="true" outlineLevel="0" collapsed="false">
      <c r="A27" s="46" t="str">
        <f aca="false">'QTD Mgmt Summary'!A27</f>
        <v>Orginations (Thomas/McDonald)</v>
      </c>
      <c r="B27" s="33"/>
      <c r="C27" s="74" t="n">
        <v>0</v>
      </c>
      <c r="D27" s="302" t="n">
        <v>0</v>
      </c>
      <c r="E27" s="114" t="n">
        <v>3</v>
      </c>
      <c r="F27" s="302" t="n">
        <v>0</v>
      </c>
      <c r="G27" s="302" t="n">
        <v>0</v>
      </c>
      <c r="H27" s="184" t="n">
        <v>0</v>
      </c>
      <c r="I27" s="204" t="n">
        <f aca="false">SUM(C27:H27)</f>
        <v>3</v>
      </c>
      <c r="J27" s="226" t="n">
        <v>20958</v>
      </c>
      <c r="K27" s="184" t="n">
        <f aca="false">I27-J27</f>
        <v>-20955</v>
      </c>
    </row>
    <row r="28" customFormat="false" ht="12.75" hidden="false" customHeight="true" outlineLevel="0" collapsed="false">
      <c r="A28" s="46" t="str">
        <f aca="false">'QTD Mgmt Summary'!A28</f>
        <v>Executive (Calger)</v>
      </c>
      <c r="B28" s="33"/>
      <c r="C28" s="74" t="n">
        <v>0</v>
      </c>
      <c r="D28" s="302" t="n">
        <v>0</v>
      </c>
      <c r="E28" s="114" t="n">
        <v>0</v>
      </c>
      <c r="F28" s="302" t="n">
        <v>0</v>
      </c>
      <c r="G28" s="302" t="n">
        <v>0</v>
      </c>
      <c r="H28" s="184" t="n">
        <v>0</v>
      </c>
      <c r="I28" s="204" t="n">
        <f aca="false">SUM(C28:H28)</f>
        <v>0</v>
      </c>
      <c r="J28" s="226" t="n">
        <v>5250</v>
      </c>
      <c r="K28" s="184" t="n">
        <f aca="false">I28-J28</f>
        <v>-5250</v>
      </c>
    </row>
    <row r="29" customFormat="false" ht="12.75" hidden="false" customHeight="true" outlineLevel="0" collapsed="false">
      <c r="A29" s="46" t="str">
        <f aca="false">'QTD Mgmt Summary'!A29</f>
        <v>Generation (Parquet)</v>
      </c>
      <c r="B29" s="33"/>
      <c r="C29" s="74" t="n">
        <v>0</v>
      </c>
      <c r="D29" s="302" t="n">
        <v>0</v>
      </c>
      <c r="E29" s="114" t="n">
        <v>0</v>
      </c>
      <c r="F29" s="302" t="n">
        <v>663</v>
      </c>
      <c r="G29" s="302" t="n">
        <v>0</v>
      </c>
      <c r="H29" s="184" t="n">
        <v>683</v>
      </c>
      <c r="I29" s="204" t="n">
        <f aca="false">SUM(C29:H29)</f>
        <v>1346</v>
      </c>
      <c r="J29" s="226" t="n">
        <v>-1001</v>
      </c>
      <c r="K29" s="184" t="n">
        <f aca="false">I29-J29</f>
        <v>2347</v>
      </c>
    </row>
    <row r="30" customFormat="false" ht="12.75" hidden="false" customHeight="true" outlineLevel="0" collapsed="false">
      <c r="A30" s="46" t="str">
        <f aca="false">'QTD Mgmt Summary'!A30</f>
        <v>Fundamentals (Heizenreiker)</v>
      </c>
      <c r="B30" s="33"/>
      <c r="C30" s="74" t="n">
        <v>0</v>
      </c>
      <c r="D30" s="226" t="n">
        <v>0</v>
      </c>
      <c r="E30" s="114" t="n">
        <v>0</v>
      </c>
      <c r="F30" s="302" t="n">
        <v>0</v>
      </c>
      <c r="G30" s="302" t="n">
        <v>0</v>
      </c>
      <c r="H30" s="184" t="n">
        <v>0</v>
      </c>
      <c r="I30" s="204" t="n">
        <f aca="false">SUM(C30:H30)</f>
        <v>0</v>
      </c>
      <c r="J30" s="226" t="n">
        <v>0</v>
      </c>
      <c r="K30" s="184" t="n">
        <f aca="false">I30-J30</f>
        <v>0</v>
      </c>
    </row>
    <row r="31" customFormat="false" ht="12.75" hidden="false" customHeight="true" outlineLevel="0" collapsed="false">
      <c r="A31" s="101" t="s">
        <v>28</v>
      </c>
      <c r="B31" s="191"/>
      <c r="C31" s="223" t="n">
        <f aca="false">SUM(C24:C30)</f>
        <v>54403</v>
      </c>
      <c r="D31" s="193" t="n">
        <f aca="false">SUM(D24:D30)</f>
        <v>6407</v>
      </c>
      <c r="E31" s="193" t="n">
        <f aca="false">SUM(E24:E30)</f>
        <v>3</v>
      </c>
      <c r="F31" s="304" t="n">
        <f aca="false">SUM(F24:F30)</f>
        <v>663</v>
      </c>
      <c r="G31" s="304" t="n">
        <f aca="false">SUM(G24:G30)</f>
        <v>0</v>
      </c>
      <c r="H31" s="305" t="n">
        <f aca="false">SUM(H24:H30)</f>
        <v>683</v>
      </c>
      <c r="I31" s="195" t="n">
        <f aca="false">SUM(I24:I30)</f>
        <v>62159</v>
      </c>
      <c r="J31" s="304" t="n">
        <f aca="false">SUM(J24:J30)</f>
        <v>100205</v>
      </c>
      <c r="K31" s="305" t="n">
        <f aca="false">SUM(K24:K30)</f>
        <v>-38046</v>
      </c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94"/>
      <c r="CH31" s="94"/>
      <c r="CI31" s="94"/>
      <c r="CJ31" s="94"/>
      <c r="CK31" s="94"/>
      <c r="CL31" s="94"/>
      <c r="CM31" s="94"/>
      <c r="CN31" s="94"/>
      <c r="CO31" s="94"/>
      <c r="CP31" s="94"/>
      <c r="CQ31" s="94"/>
      <c r="CR31" s="94"/>
      <c r="CS31" s="94"/>
      <c r="CT31" s="94"/>
      <c r="CU31" s="94"/>
      <c r="CV31" s="94"/>
      <c r="CW31" s="94"/>
      <c r="CX31" s="94"/>
      <c r="CY31" s="94"/>
      <c r="CZ31" s="94"/>
      <c r="DA31" s="94"/>
      <c r="DB31" s="94"/>
      <c r="DC31" s="94"/>
      <c r="DD31" s="94"/>
      <c r="DE31" s="94"/>
      <c r="DF31" s="94"/>
      <c r="DG31" s="94"/>
      <c r="DH31" s="94"/>
      <c r="DI31" s="94"/>
      <c r="DJ31" s="94"/>
      <c r="DK31" s="94"/>
      <c r="DL31" s="94"/>
      <c r="DM31" s="94"/>
      <c r="DN31" s="94"/>
      <c r="DO31" s="94"/>
      <c r="DP31" s="94"/>
      <c r="DQ31" s="94"/>
      <c r="DR31" s="94"/>
      <c r="DS31" s="94"/>
      <c r="DT31" s="94"/>
      <c r="DU31" s="94"/>
      <c r="DV31" s="94"/>
      <c r="DW31" s="94"/>
      <c r="DX31" s="94"/>
      <c r="DY31" s="94"/>
      <c r="DZ31" s="94"/>
      <c r="EA31" s="94"/>
      <c r="EB31" s="94"/>
      <c r="EC31" s="94"/>
      <c r="ED31" s="94"/>
      <c r="EE31" s="94"/>
      <c r="EF31" s="94"/>
      <c r="EG31" s="94"/>
      <c r="EH31" s="94"/>
      <c r="EI31" s="94"/>
      <c r="EJ31" s="94"/>
      <c r="EK31" s="94"/>
      <c r="EL31" s="94"/>
      <c r="EM31" s="94"/>
      <c r="EN31" s="94"/>
      <c r="EO31" s="94"/>
      <c r="EP31" s="94"/>
      <c r="EQ31" s="94"/>
      <c r="ER31" s="94"/>
      <c r="ES31" s="94"/>
      <c r="ET31" s="94"/>
      <c r="EU31" s="94"/>
      <c r="EV31" s="94"/>
      <c r="EW31" s="94"/>
      <c r="EX31" s="94"/>
      <c r="EY31" s="94"/>
      <c r="EZ31" s="94"/>
      <c r="FA31" s="94"/>
      <c r="FB31" s="94"/>
      <c r="FC31" s="94"/>
      <c r="FD31" s="94"/>
      <c r="FE31" s="94"/>
      <c r="FF31" s="94"/>
      <c r="FG31" s="94"/>
      <c r="FH31" s="94"/>
      <c r="FI31" s="94"/>
      <c r="FJ31" s="94"/>
      <c r="FK31" s="94"/>
      <c r="FL31" s="94"/>
      <c r="FM31" s="94"/>
      <c r="FN31" s="94"/>
      <c r="FO31" s="94"/>
      <c r="FP31" s="94"/>
      <c r="FQ31" s="94"/>
      <c r="FR31" s="94"/>
      <c r="FS31" s="94"/>
      <c r="FT31" s="94"/>
      <c r="FU31" s="94"/>
      <c r="FV31" s="94"/>
      <c r="FW31" s="94"/>
      <c r="FX31" s="94"/>
      <c r="FY31" s="94"/>
      <c r="FZ31" s="94"/>
      <c r="GA31" s="94"/>
      <c r="GB31" s="94"/>
      <c r="GC31" s="94"/>
      <c r="GD31" s="94"/>
      <c r="GE31" s="94"/>
      <c r="GF31" s="94"/>
      <c r="GG31" s="94"/>
      <c r="GH31" s="94"/>
      <c r="GI31" s="94"/>
      <c r="GJ31" s="94"/>
      <c r="GK31" s="94"/>
      <c r="GL31" s="94"/>
      <c r="GM31" s="94"/>
      <c r="GN31" s="94"/>
      <c r="GO31" s="94"/>
      <c r="GP31" s="94"/>
      <c r="GQ31" s="94"/>
      <c r="GR31" s="94"/>
      <c r="GS31" s="94"/>
      <c r="GT31" s="94"/>
      <c r="GU31" s="94"/>
      <c r="GV31" s="94"/>
      <c r="GW31" s="94"/>
      <c r="GX31" s="94"/>
      <c r="GY31" s="94"/>
      <c r="GZ31" s="94"/>
      <c r="HA31" s="94"/>
      <c r="HB31" s="94"/>
      <c r="HC31" s="94"/>
      <c r="HD31" s="94"/>
      <c r="HE31" s="94"/>
      <c r="HF31" s="94"/>
      <c r="HG31" s="94"/>
      <c r="HH31" s="94"/>
      <c r="HI31" s="94"/>
      <c r="HJ31" s="94"/>
      <c r="HK31" s="94"/>
      <c r="HL31" s="94"/>
      <c r="HM31" s="94"/>
      <c r="HN31" s="94"/>
      <c r="HO31" s="94"/>
      <c r="HP31" s="94"/>
      <c r="HQ31" s="94"/>
      <c r="HR31" s="94"/>
      <c r="HS31" s="94"/>
      <c r="HT31" s="94"/>
      <c r="HU31" s="94"/>
      <c r="HV31" s="94"/>
      <c r="HW31" s="94"/>
      <c r="HX31" s="94"/>
      <c r="HY31" s="94"/>
      <c r="HZ31" s="94"/>
      <c r="IA31" s="94"/>
      <c r="IB31" s="94"/>
      <c r="IC31" s="94"/>
      <c r="ID31" s="94"/>
      <c r="IE31" s="94"/>
      <c r="IF31" s="94"/>
      <c r="IG31" s="94"/>
      <c r="IH31" s="94"/>
      <c r="II31" s="94"/>
      <c r="IJ31" s="94"/>
      <c r="IK31" s="94"/>
      <c r="IL31" s="94"/>
      <c r="IM31" s="94"/>
      <c r="IN31" s="94"/>
      <c r="IO31" s="94"/>
      <c r="IP31" s="94"/>
      <c r="IQ31" s="94"/>
      <c r="IR31" s="94"/>
      <c r="IS31" s="94"/>
      <c r="IT31" s="94"/>
      <c r="IU31" s="94"/>
      <c r="IV31" s="94"/>
      <c r="IW31" s="94"/>
    </row>
    <row r="32" customFormat="false" ht="12.75" hidden="false" customHeight="true" outlineLevel="0" collapsed="false">
      <c r="A32" s="46" t="str">
        <f aca="false">'QTD Mgmt Summary'!A32</f>
        <v>East Trading (Neal)</v>
      </c>
      <c r="B32" s="33"/>
      <c r="C32" s="74" t="n">
        <v>7825</v>
      </c>
      <c r="D32" s="302" t="n">
        <v>0</v>
      </c>
      <c r="E32" s="114" t="n">
        <v>0</v>
      </c>
      <c r="F32" s="306" t="n">
        <v>0</v>
      </c>
      <c r="G32" s="306" t="n">
        <v>0</v>
      </c>
      <c r="H32" s="307" t="n">
        <v>0</v>
      </c>
      <c r="I32" s="308" t="n">
        <f aca="false">SUM(C32:H32)</f>
        <v>7825</v>
      </c>
      <c r="J32" s="309" t="n">
        <v>15000</v>
      </c>
      <c r="K32" s="307" t="n">
        <f aca="false">I32-J32</f>
        <v>-7175</v>
      </c>
    </row>
    <row r="33" customFormat="false" ht="12.75" hidden="false" customHeight="true" outlineLevel="0" collapsed="false">
      <c r="A33" s="46" t="str">
        <f aca="false">'QTD Mgmt Summary'!A33</f>
        <v>East Origination (Vickors)</v>
      </c>
      <c r="B33" s="33"/>
      <c r="C33" s="74" t="n">
        <v>0</v>
      </c>
      <c r="D33" s="302" t="n">
        <v>214</v>
      </c>
      <c r="E33" s="114" t="n">
        <v>0</v>
      </c>
      <c r="F33" s="302" t="n">
        <v>0</v>
      </c>
      <c r="G33" s="302" t="n">
        <v>0</v>
      </c>
      <c r="H33" s="184" t="n">
        <v>0</v>
      </c>
      <c r="I33" s="308" t="n">
        <f aca="false">SUM(C33:H33)</f>
        <v>214</v>
      </c>
      <c r="J33" s="226" t="n">
        <v>6000</v>
      </c>
      <c r="K33" s="184" t="n">
        <f aca="false">I33-J33</f>
        <v>-5786</v>
      </c>
    </row>
    <row r="34" customFormat="false" ht="12.75" hidden="false" customHeight="true" outlineLevel="0" collapsed="false">
      <c r="A34" s="46" t="str">
        <f aca="false">'QTD Mgmt Summary'!A34</f>
        <v>Central Trading (Shively)</v>
      </c>
      <c r="B34" s="33"/>
      <c r="C34" s="74" t="n">
        <v>-7034</v>
      </c>
      <c r="D34" s="302" t="n">
        <v>0</v>
      </c>
      <c r="E34" s="114" t="n">
        <v>0</v>
      </c>
      <c r="F34" s="306" t="n">
        <v>0</v>
      </c>
      <c r="G34" s="306" t="n">
        <v>0</v>
      </c>
      <c r="H34" s="307" t="n">
        <v>0</v>
      </c>
      <c r="I34" s="308" t="n">
        <f aca="false">SUM(C34:H34)</f>
        <v>-7034</v>
      </c>
      <c r="J34" s="309" t="n">
        <v>15750</v>
      </c>
      <c r="K34" s="307" t="n">
        <f aca="false">I34-J34</f>
        <v>-22784</v>
      </c>
    </row>
    <row r="35" customFormat="false" ht="12.75" hidden="false" customHeight="true" outlineLevel="0" collapsed="false">
      <c r="A35" s="46" t="str">
        <f aca="false">'QTD Mgmt Summary'!A35</f>
        <v>Central Origination (Luce)</v>
      </c>
      <c r="B35" s="33"/>
      <c r="C35" s="74" t="n">
        <v>0</v>
      </c>
      <c r="D35" s="302" t="n">
        <v>120</v>
      </c>
      <c r="E35" s="114" t="n">
        <v>0</v>
      </c>
      <c r="F35" s="302" t="n">
        <v>0</v>
      </c>
      <c r="G35" s="302" t="n">
        <v>0</v>
      </c>
      <c r="H35" s="184" t="n">
        <v>0</v>
      </c>
      <c r="I35" s="308" t="n">
        <f aca="false">SUM(C35:H35)</f>
        <v>120</v>
      </c>
      <c r="J35" s="226" t="n">
        <v>6500</v>
      </c>
      <c r="K35" s="184" t="n">
        <f aca="false">I35-J35</f>
        <v>-6380</v>
      </c>
    </row>
    <row r="36" customFormat="false" ht="12.75" hidden="false" customHeight="true" outlineLevel="0" collapsed="false">
      <c r="A36" s="46" t="str">
        <f aca="false">'QTD Mgmt Summary'!A36</f>
        <v>Texas Trading (Martin)</v>
      </c>
      <c r="B36" s="33"/>
      <c r="C36" s="78" t="n">
        <v>-1577</v>
      </c>
      <c r="D36" s="226" t="n">
        <v>0</v>
      </c>
      <c r="E36" s="114" t="n">
        <v>0</v>
      </c>
      <c r="F36" s="302" t="n">
        <v>0</v>
      </c>
      <c r="G36" s="302" t="n">
        <v>0</v>
      </c>
      <c r="H36" s="184" t="n">
        <v>0</v>
      </c>
      <c r="I36" s="308" t="n">
        <f aca="false">SUM(C36:H36)</f>
        <v>-1577</v>
      </c>
      <c r="J36" s="226" t="n">
        <v>10000</v>
      </c>
      <c r="K36" s="184" t="n">
        <f aca="false">I36-J36</f>
        <v>-11577</v>
      </c>
    </row>
    <row r="37" customFormat="false" ht="12.75" hidden="false" customHeight="true" outlineLevel="0" collapsed="false">
      <c r="A37" s="46" t="str">
        <f aca="false">'QTD Mgmt Summary'!A37</f>
        <v>Texas Origination (Redmond)</v>
      </c>
      <c r="B37" s="33"/>
      <c r="C37" s="78" t="n">
        <v>0</v>
      </c>
      <c r="D37" s="226" t="n">
        <v>0</v>
      </c>
      <c r="E37" s="114" t="n">
        <v>0</v>
      </c>
      <c r="F37" s="302" t="n">
        <v>0</v>
      </c>
      <c r="G37" s="302" t="n">
        <v>0</v>
      </c>
      <c r="H37" s="184" t="n">
        <v>0</v>
      </c>
      <c r="I37" s="308" t="n">
        <f aca="false">SUM(C37:H37)</f>
        <v>0</v>
      </c>
      <c r="J37" s="226" t="n">
        <v>0</v>
      </c>
      <c r="K37" s="184" t="n">
        <f aca="false">I37-J37</f>
        <v>0</v>
      </c>
    </row>
    <row r="38" customFormat="false" ht="12.75" hidden="false" customHeight="true" outlineLevel="0" collapsed="false">
      <c r="A38" s="46" t="str">
        <f aca="false">'QTD Mgmt Summary'!A38</f>
        <v>West Trading (Allen)</v>
      </c>
      <c r="B38" s="33"/>
      <c r="C38" s="78" t="n">
        <v>-28957</v>
      </c>
      <c r="D38" s="226" t="n">
        <v>0</v>
      </c>
      <c r="E38" s="114" t="n">
        <v>0</v>
      </c>
      <c r="F38" s="302" t="n">
        <v>0</v>
      </c>
      <c r="G38" s="302" t="n">
        <v>0</v>
      </c>
      <c r="H38" s="184" t="n">
        <v>0</v>
      </c>
      <c r="I38" s="308" t="n">
        <f aca="false">SUM(C38:H38)</f>
        <v>-28957</v>
      </c>
      <c r="J38" s="226" t="n">
        <v>26500</v>
      </c>
      <c r="K38" s="184" t="n">
        <f aca="false">I38-J38</f>
        <v>-55457</v>
      </c>
    </row>
    <row r="39" customFormat="false" ht="12.75" hidden="false" customHeight="true" outlineLevel="0" collapsed="false">
      <c r="A39" s="46" t="str">
        <f aca="false">'QTD Mgmt Summary'!A39</f>
        <v>West Origination (Tycholiz)</v>
      </c>
      <c r="B39" s="33"/>
      <c r="C39" s="78" t="n">
        <v>0</v>
      </c>
      <c r="D39" s="226" t="n">
        <v>3248</v>
      </c>
      <c r="E39" s="114" t="n">
        <v>0</v>
      </c>
      <c r="F39" s="302" t="n">
        <v>0</v>
      </c>
      <c r="G39" s="302" t="n">
        <v>0</v>
      </c>
      <c r="H39" s="184" t="n">
        <v>0</v>
      </c>
      <c r="I39" s="308" t="n">
        <f aca="false">SUM(C39:H39)</f>
        <v>3248</v>
      </c>
      <c r="J39" s="226" t="n">
        <v>5000</v>
      </c>
      <c r="K39" s="184" t="n">
        <f aca="false">I39-J39</f>
        <v>-1752</v>
      </c>
    </row>
    <row r="40" customFormat="false" ht="12.75" hidden="false" customHeight="true" outlineLevel="0" collapsed="false">
      <c r="A40" s="46" t="str">
        <f aca="false">'QTD Mgmt Summary'!A40</f>
        <v>Financial Gas (Arnold)</v>
      </c>
      <c r="B40" s="33"/>
      <c r="C40" s="78" t="n">
        <v>56219</v>
      </c>
      <c r="D40" s="226" t="n">
        <v>0</v>
      </c>
      <c r="E40" s="114" t="n">
        <v>0</v>
      </c>
      <c r="F40" s="302" t="n">
        <v>0</v>
      </c>
      <c r="G40" s="302" t="n">
        <v>0</v>
      </c>
      <c r="H40" s="184" t="n">
        <v>0</v>
      </c>
      <c r="I40" s="308" t="n">
        <f aca="false">SUM(C40:H40)</f>
        <v>56219</v>
      </c>
      <c r="J40" s="226" t="n">
        <v>31250</v>
      </c>
      <c r="K40" s="184" t="n">
        <f aca="false">I40-J40</f>
        <v>24969</v>
      </c>
    </row>
    <row r="41" customFormat="false" ht="12.75" hidden="false" customHeight="true" outlineLevel="0" collapsed="false">
      <c r="A41" s="46" t="str">
        <f aca="false">'QTD Mgmt Summary'!A41</f>
        <v>Derivative (Lagrasta)</v>
      </c>
      <c r="B41" s="33"/>
      <c r="C41" s="78" t="n">
        <v>0</v>
      </c>
      <c r="D41" s="226" t="n">
        <v>2937</v>
      </c>
      <c r="E41" s="114" t="n">
        <v>0</v>
      </c>
      <c r="F41" s="302" t="n">
        <v>0</v>
      </c>
      <c r="G41" s="302" t="n">
        <v>0</v>
      </c>
      <c r="H41" s="184" t="n">
        <v>0</v>
      </c>
      <c r="I41" s="308" t="n">
        <f aca="false">SUM(C41:H41)</f>
        <v>2937</v>
      </c>
      <c r="J41" s="226" t="n">
        <v>6250</v>
      </c>
      <c r="K41" s="184" t="n">
        <f aca="false">I41-J41</f>
        <v>-3313</v>
      </c>
    </row>
    <row r="42" customFormat="false" ht="12.75" hidden="false" customHeight="true" outlineLevel="0" collapsed="false">
      <c r="A42" s="46" t="str">
        <f aca="false">'QTD Mgmt Summary'!A42</f>
        <v>NG Structuring (McMichael)</v>
      </c>
      <c r="B42" s="33"/>
      <c r="C42" s="78" t="n">
        <v>0</v>
      </c>
      <c r="D42" s="226" t="n">
        <v>0</v>
      </c>
      <c r="E42" s="114" t="n">
        <v>0</v>
      </c>
      <c r="F42" s="302" t="n">
        <v>0</v>
      </c>
      <c r="G42" s="302" t="n">
        <v>0</v>
      </c>
      <c r="H42" s="184" t="n">
        <v>0</v>
      </c>
      <c r="I42" s="308" t="n">
        <f aca="false">SUM(C42:H42)</f>
        <v>0</v>
      </c>
      <c r="J42" s="226" t="n">
        <v>0</v>
      </c>
      <c r="K42" s="184" t="n">
        <f aca="false">I42-J42</f>
        <v>0</v>
      </c>
    </row>
    <row r="43" customFormat="false" ht="12.75" hidden="false" customHeight="true" outlineLevel="0" collapsed="false">
      <c r="A43" s="46" t="str">
        <f aca="false">'QTD Mgmt Summary'!A43</f>
        <v>NG Fundamentals (Gaskill)</v>
      </c>
      <c r="B43" s="33"/>
      <c r="C43" s="78" t="n">
        <v>0</v>
      </c>
      <c r="D43" s="226" t="n">
        <v>0</v>
      </c>
      <c r="E43" s="114" t="n">
        <v>0</v>
      </c>
      <c r="F43" s="302" t="n">
        <v>0</v>
      </c>
      <c r="G43" s="302" t="n">
        <v>0</v>
      </c>
      <c r="H43" s="184" t="n">
        <v>0</v>
      </c>
      <c r="I43" s="308" t="n">
        <f aca="false">SUM(C43:H43)</f>
        <v>0</v>
      </c>
      <c r="J43" s="226" t="n">
        <v>0</v>
      </c>
      <c r="K43" s="184" t="n">
        <f aca="false">I43-J43</f>
        <v>0</v>
      </c>
    </row>
    <row r="44" customFormat="false" ht="12.75" hidden="false" customHeight="true" outlineLevel="0" collapsed="false">
      <c r="A44" s="46" t="str">
        <f aca="false">'QTD Mgmt Summary'!A44</f>
        <v>Management</v>
      </c>
      <c r="B44" s="33"/>
      <c r="C44" s="78" t="n">
        <v>0</v>
      </c>
      <c r="D44" s="226" t="n">
        <v>0</v>
      </c>
      <c r="E44" s="114" t="n">
        <v>0</v>
      </c>
      <c r="F44" s="302" t="n">
        <v>0</v>
      </c>
      <c r="G44" s="302" t="n">
        <v>0</v>
      </c>
      <c r="H44" s="184" t="n">
        <v>0</v>
      </c>
      <c r="I44" s="308" t="n">
        <f aca="false">SUM(C44:H44)</f>
        <v>0</v>
      </c>
      <c r="J44" s="226" t="n">
        <v>0</v>
      </c>
      <c r="K44" s="184" t="n">
        <f aca="false">I44-J44</f>
        <v>0</v>
      </c>
    </row>
    <row r="45" customFormat="false" ht="12.75" hidden="false" customHeight="true" outlineLevel="0" collapsed="false">
      <c r="A45" s="101" t="s">
        <v>38</v>
      </c>
      <c r="B45" s="191"/>
      <c r="C45" s="223" t="n">
        <f aca="false">SUM(C32:C44)</f>
        <v>26476</v>
      </c>
      <c r="D45" s="193" t="n">
        <f aca="false">SUM(D32:D44)</f>
        <v>6519</v>
      </c>
      <c r="E45" s="193" t="n">
        <f aca="false">SUM(E32:E44)</f>
        <v>0</v>
      </c>
      <c r="F45" s="304" t="n">
        <f aca="false">SUM(F32:F44)</f>
        <v>0</v>
      </c>
      <c r="G45" s="304" t="n">
        <f aca="false">SUM(G32:G44)</f>
        <v>0</v>
      </c>
      <c r="H45" s="305" t="n">
        <f aca="false">SUM(H32:H44)</f>
        <v>0</v>
      </c>
      <c r="I45" s="195" t="n">
        <f aca="false">SUM(I32:I44)</f>
        <v>32995</v>
      </c>
      <c r="J45" s="304" t="n">
        <f aca="false">SUM(J32:J44)</f>
        <v>122250</v>
      </c>
      <c r="K45" s="305" t="n">
        <f aca="false">SUM(K32:K44)</f>
        <v>-89255</v>
      </c>
      <c r="L45" s="94"/>
      <c r="M45" s="94"/>
      <c r="N45" s="23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94"/>
      <c r="CD45" s="94"/>
      <c r="CE45" s="94"/>
      <c r="CF45" s="94"/>
      <c r="CG45" s="94"/>
      <c r="CH45" s="94"/>
      <c r="CI45" s="94"/>
      <c r="CJ45" s="94"/>
      <c r="CK45" s="94"/>
      <c r="CL45" s="94"/>
      <c r="CM45" s="94"/>
      <c r="CN45" s="94"/>
      <c r="CO45" s="94"/>
      <c r="CP45" s="94"/>
      <c r="CQ45" s="94"/>
      <c r="CR45" s="94"/>
      <c r="CS45" s="94"/>
      <c r="CT45" s="94"/>
      <c r="CU45" s="94"/>
      <c r="CV45" s="94"/>
      <c r="CW45" s="94"/>
      <c r="CX45" s="94"/>
      <c r="CY45" s="94"/>
      <c r="CZ45" s="94"/>
      <c r="DA45" s="94"/>
      <c r="DB45" s="94"/>
      <c r="DC45" s="94"/>
      <c r="DD45" s="94"/>
      <c r="DE45" s="94"/>
      <c r="DF45" s="94"/>
      <c r="DG45" s="94"/>
      <c r="DH45" s="94"/>
      <c r="DI45" s="94"/>
      <c r="DJ45" s="94"/>
      <c r="DK45" s="94"/>
      <c r="DL45" s="94"/>
      <c r="DM45" s="94"/>
      <c r="DN45" s="94"/>
      <c r="DO45" s="94"/>
      <c r="DP45" s="94"/>
      <c r="DQ45" s="94"/>
      <c r="DR45" s="94"/>
      <c r="DS45" s="94"/>
      <c r="DT45" s="94"/>
      <c r="DU45" s="94"/>
      <c r="DV45" s="94"/>
      <c r="DW45" s="94"/>
      <c r="DX45" s="94"/>
      <c r="DY45" s="94"/>
      <c r="DZ45" s="94"/>
      <c r="EA45" s="94"/>
      <c r="EB45" s="94"/>
      <c r="EC45" s="94"/>
      <c r="ED45" s="94"/>
      <c r="EE45" s="94"/>
      <c r="EF45" s="94"/>
      <c r="EG45" s="94"/>
      <c r="EH45" s="94"/>
      <c r="EI45" s="94"/>
      <c r="EJ45" s="94"/>
      <c r="EK45" s="94"/>
      <c r="EL45" s="94"/>
      <c r="EM45" s="94"/>
      <c r="EN45" s="94"/>
      <c r="EO45" s="94"/>
      <c r="EP45" s="94"/>
      <c r="EQ45" s="94"/>
      <c r="ER45" s="94"/>
      <c r="ES45" s="94"/>
      <c r="ET45" s="94"/>
      <c r="EU45" s="94"/>
      <c r="EV45" s="94"/>
      <c r="EW45" s="94"/>
      <c r="EX45" s="94"/>
      <c r="EY45" s="94"/>
      <c r="EZ45" s="94"/>
      <c r="FA45" s="94"/>
      <c r="FB45" s="94"/>
      <c r="FC45" s="94"/>
      <c r="FD45" s="94"/>
      <c r="FE45" s="94"/>
      <c r="FF45" s="94"/>
      <c r="FG45" s="94"/>
      <c r="FH45" s="94"/>
      <c r="FI45" s="94"/>
      <c r="FJ45" s="94"/>
      <c r="FK45" s="94"/>
      <c r="FL45" s="94"/>
      <c r="FM45" s="94"/>
      <c r="FN45" s="94"/>
      <c r="FO45" s="94"/>
      <c r="FP45" s="94"/>
      <c r="FQ45" s="94"/>
      <c r="FR45" s="94"/>
      <c r="FS45" s="94"/>
      <c r="FT45" s="94"/>
      <c r="FU45" s="94"/>
      <c r="FV45" s="94"/>
      <c r="FW45" s="94"/>
      <c r="FX45" s="94"/>
      <c r="FY45" s="94"/>
      <c r="FZ45" s="94"/>
      <c r="GA45" s="94"/>
      <c r="GB45" s="94"/>
      <c r="GC45" s="94"/>
      <c r="GD45" s="94"/>
      <c r="GE45" s="94"/>
      <c r="GF45" s="94"/>
      <c r="GG45" s="94"/>
      <c r="GH45" s="94"/>
      <c r="GI45" s="94"/>
      <c r="GJ45" s="94"/>
      <c r="GK45" s="94"/>
      <c r="GL45" s="94"/>
      <c r="GM45" s="94"/>
      <c r="GN45" s="94"/>
      <c r="GO45" s="94"/>
      <c r="GP45" s="94"/>
      <c r="GQ45" s="94"/>
      <c r="GR45" s="94"/>
      <c r="GS45" s="94"/>
      <c r="GT45" s="94"/>
      <c r="GU45" s="94"/>
      <c r="GV45" s="94"/>
      <c r="GW45" s="94"/>
      <c r="GX45" s="94"/>
      <c r="GY45" s="94"/>
      <c r="GZ45" s="94"/>
      <c r="HA45" s="94"/>
      <c r="HB45" s="94"/>
      <c r="HC45" s="94"/>
      <c r="HD45" s="94"/>
      <c r="HE45" s="94"/>
      <c r="HF45" s="94"/>
      <c r="HG45" s="94"/>
      <c r="HH45" s="94"/>
      <c r="HI45" s="94"/>
      <c r="HJ45" s="94"/>
      <c r="HK45" s="94"/>
      <c r="HL45" s="94"/>
      <c r="HM45" s="94"/>
      <c r="HN45" s="94"/>
      <c r="HO45" s="94"/>
      <c r="HP45" s="94"/>
      <c r="HQ45" s="94"/>
      <c r="HR45" s="94"/>
      <c r="HS45" s="94"/>
      <c r="HT45" s="94"/>
      <c r="HU45" s="94"/>
      <c r="HV45" s="94"/>
      <c r="HW45" s="94"/>
      <c r="HX45" s="94"/>
      <c r="HY45" s="94"/>
      <c r="HZ45" s="94"/>
      <c r="IA45" s="94"/>
      <c r="IB45" s="94"/>
      <c r="IC45" s="94"/>
      <c r="ID45" s="94"/>
      <c r="IE45" s="94"/>
      <c r="IF45" s="94"/>
      <c r="IG45" s="94"/>
      <c r="IH45" s="94"/>
      <c r="II45" s="94"/>
      <c r="IJ45" s="94"/>
      <c r="IK45" s="94"/>
      <c r="IL45" s="94"/>
      <c r="IM45" s="94"/>
      <c r="IN45" s="94"/>
      <c r="IO45" s="94"/>
      <c r="IP45" s="94"/>
      <c r="IQ45" s="94"/>
      <c r="IR45" s="94"/>
      <c r="IS45" s="94"/>
      <c r="IT45" s="94"/>
      <c r="IU45" s="94"/>
      <c r="IV45" s="94"/>
      <c r="IW45" s="94"/>
    </row>
    <row r="46" customFormat="false" ht="12.75" hidden="false" customHeight="true" outlineLevel="0" collapsed="false">
      <c r="A46" s="46" t="str">
        <f aca="false">'QTD Mgmt Summary'!A46</f>
        <v>Natural Gas Trading (Zufferli)</v>
      </c>
      <c r="B46" s="33"/>
      <c r="C46" s="74" t="n">
        <v>1232</v>
      </c>
      <c r="D46" s="302" t="n">
        <v>0</v>
      </c>
      <c r="E46" s="114" t="n">
        <v>0</v>
      </c>
      <c r="F46" s="306" t="n">
        <v>0</v>
      </c>
      <c r="G46" s="306" t="n">
        <v>0</v>
      </c>
      <c r="H46" s="307" t="n">
        <v>0</v>
      </c>
      <c r="I46" s="308" t="n">
        <f aca="false">SUM(C46:H46)</f>
        <v>1232</v>
      </c>
      <c r="J46" s="309" t="n">
        <v>6250</v>
      </c>
      <c r="K46" s="307" t="n">
        <f aca="false">I46-J46</f>
        <v>-5018</v>
      </c>
    </row>
    <row r="47" customFormat="false" ht="12.75" hidden="false" customHeight="true" outlineLevel="0" collapsed="false">
      <c r="A47" s="46" t="str">
        <f aca="false">'QTD Mgmt Summary'!A47</f>
        <v>Natural Gas Origination (LeDain)</v>
      </c>
      <c r="B47" s="33"/>
      <c r="C47" s="74" t="n">
        <v>0</v>
      </c>
      <c r="D47" s="302" t="n">
        <v>913</v>
      </c>
      <c r="E47" s="114" t="n">
        <v>0</v>
      </c>
      <c r="F47" s="302" t="n">
        <v>0</v>
      </c>
      <c r="G47" s="302" t="n">
        <v>0</v>
      </c>
      <c r="H47" s="184" t="n">
        <v>0</v>
      </c>
      <c r="I47" s="78" t="n">
        <f aca="false">SUM(C47:H47)</f>
        <v>913</v>
      </c>
      <c r="J47" s="226" t="n">
        <v>6250</v>
      </c>
      <c r="K47" s="184" t="n">
        <f aca="false">I47-J47</f>
        <v>-5337</v>
      </c>
    </row>
    <row r="48" customFormat="false" ht="12.75" hidden="false" customHeight="true" outlineLevel="0" collapsed="false">
      <c r="A48" s="46" t="str">
        <f aca="false">'QTD Mgmt Summary'!A48</f>
        <v>Finance (Kitagawa)</v>
      </c>
      <c r="B48" s="33"/>
      <c r="C48" s="74" t="n">
        <v>0</v>
      </c>
      <c r="D48" s="302" t="n">
        <v>0</v>
      </c>
      <c r="E48" s="114" t="n">
        <v>0</v>
      </c>
      <c r="F48" s="306" t="n">
        <v>183</v>
      </c>
      <c r="G48" s="306" t="n">
        <v>0</v>
      </c>
      <c r="H48" s="307" t="n">
        <v>0</v>
      </c>
      <c r="I48" s="221" t="n">
        <f aca="false">SUM(C48:H48)</f>
        <v>183</v>
      </c>
      <c r="J48" s="309" t="n">
        <v>5000</v>
      </c>
      <c r="K48" s="307" t="n">
        <f aca="false">I48-J48</f>
        <v>-4817</v>
      </c>
    </row>
    <row r="49" customFormat="false" ht="12.75" hidden="false" customHeight="true" outlineLevel="0" collapsed="false">
      <c r="A49" s="46" t="str">
        <f aca="false">'QTD Mgmt Summary'!A49</f>
        <v>Alberta Power (Zufferli/Davies)</v>
      </c>
      <c r="B49" s="33"/>
      <c r="C49" s="74" t="n">
        <v>9072</v>
      </c>
      <c r="D49" s="302" t="n">
        <v>0</v>
      </c>
      <c r="E49" s="114" t="n">
        <v>188</v>
      </c>
      <c r="F49" s="302" t="n">
        <v>0</v>
      </c>
      <c r="G49" s="302" t="n">
        <v>0</v>
      </c>
      <c r="H49" s="184" t="n">
        <v>0</v>
      </c>
      <c r="I49" s="78" t="n">
        <f aca="false">SUM(C49:H49)</f>
        <v>9260</v>
      </c>
      <c r="J49" s="226" t="n">
        <v>38750</v>
      </c>
      <c r="K49" s="184" t="n">
        <f aca="false">I49-J49</f>
        <v>-29490</v>
      </c>
    </row>
    <row r="50" customFormat="false" ht="12.75" hidden="false" customHeight="true" outlineLevel="0" collapsed="false">
      <c r="A50" s="46" t="str">
        <f aca="false">'QTD Mgmt Summary'!A50</f>
        <v>Ontario Power (Devries)</v>
      </c>
      <c r="B50" s="33"/>
      <c r="C50" s="74" t="n">
        <v>0</v>
      </c>
      <c r="D50" s="302" t="n">
        <v>0</v>
      </c>
      <c r="E50" s="114" t="n">
        <v>0</v>
      </c>
      <c r="F50" s="302" t="n">
        <v>0</v>
      </c>
      <c r="G50" s="302" t="n">
        <v>0</v>
      </c>
      <c r="H50" s="184" t="n">
        <v>0</v>
      </c>
      <c r="I50" s="78" t="n">
        <f aca="false">SUM(C50:H50)</f>
        <v>0</v>
      </c>
      <c r="J50" s="226" t="n">
        <v>12500</v>
      </c>
      <c r="K50" s="184" t="n">
        <f aca="false">I50-J50</f>
        <v>-12500</v>
      </c>
    </row>
    <row r="51" customFormat="false" ht="12.75" hidden="false" customHeight="true" outlineLevel="0" collapsed="false">
      <c r="A51" s="46" t="str">
        <f aca="false">'QTD Mgmt Summary'!A51</f>
        <v>Executive (Milnthorp)</v>
      </c>
      <c r="B51" s="33"/>
      <c r="C51" s="74" t="n">
        <v>0</v>
      </c>
      <c r="D51" s="302" t="n">
        <v>0</v>
      </c>
      <c r="E51" s="114" t="n">
        <f aca="false">-D51+C51</f>
        <v>0</v>
      </c>
      <c r="F51" s="302" t="n">
        <v>0</v>
      </c>
      <c r="G51" s="302" t="n">
        <v>0</v>
      </c>
      <c r="H51" s="184" t="n">
        <v>0</v>
      </c>
      <c r="I51" s="78" t="n">
        <f aca="false">SUM(C51:H51)</f>
        <v>0</v>
      </c>
      <c r="J51" s="226" t="n">
        <v>2500</v>
      </c>
      <c r="K51" s="184" t="n">
        <f aca="false">I51-J51</f>
        <v>-2500</v>
      </c>
    </row>
    <row r="52" customFormat="false" ht="12.75" hidden="false" customHeight="true" outlineLevel="0" collapsed="false">
      <c r="A52" s="101" t="s">
        <v>45</v>
      </c>
      <c r="B52" s="191"/>
      <c r="C52" s="223" t="n">
        <f aca="false">SUM(C46:C51)</f>
        <v>10304</v>
      </c>
      <c r="D52" s="193" t="n">
        <f aca="false">SUM(D46:D51)</f>
        <v>913</v>
      </c>
      <c r="E52" s="193" t="n">
        <f aca="false">SUM(E46:E51)</f>
        <v>188</v>
      </c>
      <c r="F52" s="193" t="n">
        <f aca="false">SUM(F46:F51)</f>
        <v>183</v>
      </c>
      <c r="G52" s="193" t="n">
        <f aca="false">SUM(G46:G51)</f>
        <v>0</v>
      </c>
      <c r="H52" s="310" t="n">
        <f aca="false">SUM(H46:H51)</f>
        <v>0</v>
      </c>
      <c r="I52" s="223" t="n">
        <f aca="false">SUM(I46:I51)</f>
        <v>11588</v>
      </c>
      <c r="J52" s="193" t="n">
        <f aca="false">SUM(J46:J51)</f>
        <v>71250</v>
      </c>
      <c r="K52" s="310" t="n">
        <f aca="false">SUM(K46:K51)</f>
        <v>-59662</v>
      </c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4"/>
      <c r="BR52" s="94"/>
      <c r="BS52" s="94"/>
      <c r="BT52" s="94"/>
      <c r="BU52" s="94"/>
      <c r="BV52" s="94"/>
      <c r="BW52" s="94"/>
      <c r="BX52" s="94"/>
      <c r="BY52" s="94"/>
      <c r="BZ52" s="94"/>
      <c r="CA52" s="94"/>
      <c r="CB52" s="94"/>
      <c r="CC52" s="94"/>
      <c r="CD52" s="94"/>
      <c r="CE52" s="94"/>
      <c r="CF52" s="94"/>
      <c r="CG52" s="94"/>
      <c r="CH52" s="94"/>
      <c r="CI52" s="94"/>
      <c r="CJ52" s="94"/>
      <c r="CK52" s="94"/>
      <c r="CL52" s="94"/>
      <c r="CM52" s="94"/>
      <c r="CN52" s="94"/>
      <c r="CO52" s="94"/>
      <c r="CP52" s="94"/>
      <c r="CQ52" s="94"/>
      <c r="CR52" s="94"/>
      <c r="CS52" s="94"/>
      <c r="CT52" s="94"/>
      <c r="CU52" s="94"/>
      <c r="CV52" s="94"/>
      <c r="CW52" s="94"/>
      <c r="CX52" s="94"/>
      <c r="CY52" s="94"/>
      <c r="CZ52" s="94"/>
      <c r="DA52" s="94"/>
      <c r="DB52" s="94"/>
      <c r="DC52" s="94"/>
      <c r="DD52" s="94"/>
      <c r="DE52" s="94"/>
      <c r="DF52" s="94"/>
      <c r="DG52" s="94"/>
      <c r="DH52" s="94"/>
      <c r="DI52" s="94"/>
      <c r="DJ52" s="94"/>
      <c r="DK52" s="94"/>
      <c r="DL52" s="94"/>
      <c r="DM52" s="94"/>
      <c r="DN52" s="94"/>
      <c r="DO52" s="94"/>
      <c r="DP52" s="94"/>
      <c r="DQ52" s="94"/>
      <c r="DR52" s="94"/>
      <c r="DS52" s="94"/>
      <c r="DT52" s="94"/>
      <c r="DU52" s="94"/>
      <c r="DV52" s="94"/>
      <c r="DW52" s="94"/>
      <c r="DX52" s="94"/>
      <c r="DY52" s="94"/>
      <c r="DZ52" s="94"/>
      <c r="EA52" s="94"/>
      <c r="EB52" s="94"/>
      <c r="EC52" s="94"/>
      <c r="ED52" s="94"/>
      <c r="EE52" s="94"/>
      <c r="EF52" s="94"/>
      <c r="EG52" s="94"/>
      <c r="EH52" s="94"/>
      <c r="EI52" s="94"/>
      <c r="EJ52" s="94"/>
      <c r="EK52" s="94"/>
      <c r="EL52" s="94"/>
      <c r="EM52" s="94"/>
      <c r="EN52" s="94"/>
      <c r="EO52" s="94"/>
      <c r="EP52" s="94"/>
      <c r="EQ52" s="94"/>
      <c r="ER52" s="94"/>
      <c r="ES52" s="94"/>
      <c r="ET52" s="94"/>
      <c r="EU52" s="94"/>
      <c r="EV52" s="94"/>
      <c r="EW52" s="94"/>
      <c r="EX52" s="94"/>
      <c r="EY52" s="94"/>
      <c r="EZ52" s="94"/>
      <c r="FA52" s="94"/>
      <c r="FB52" s="94"/>
      <c r="FC52" s="94"/>
      <c r="FD52" s="94"/>
      <c r="FE52" s="94"/>
      <c r="FF52" s="94"/>
      <c r="FG52" s="94"/>
      <c r="FH52" s="94"/>
      <c r="FI52" s="94"/>
      <c r="FJ52" s="94"/>
      <c r="FK52" s="94"/>
      <c r="FL52" s="94"/>
      <c r="FM52" s="94"/>
      <c r="FN52" s="94"/>
      <c r="FO52" s="94"/>
      <c r="FP52" s="94"/>
      <c r="FQ52" s="94"/>
      <c r="FR52" s="94"/>
      <c r="FS52" s="94"/>
      <c r="FT52" s="94"/>
      <c r="FU52" s="94"/>
      <c r="FV52" s="94"/>
      <c r="FW52" s="94"/>
      <c r="FX52" s="94"/>
      <c r="FY52" s="94"/>
      <c r="FZ52" s="94"/>
      <c r="GA52" s="94"/>
      <c r="GB52" s="94"/>
      <c r="GC52" s="94"/>
      <c r="GD52" s="94"/>
      <c r="GE52" s="94"/>
      <c r="GF52" s="94"/>
      <c r="GG52" s="94"/>
      <c r="GH52" s="94"/>
      <c r="GI52" s="94"/>
      <c r="GJ52" s="94"/>
      <c r="GK52" s="94"/>
      <c r="GL52" s="94"/>
      <c r="GM52" s="94"/>
      <c r="GN52" s="94"/>
      <c r="GO52" s="94"/>
      <c r="GP52" s="94"/>
      <c r="GQ52" s="94"/>
      <c r="GR52" s="94"/>
      <c r="GS52" s="94"/>
      <c r="GT52" s="94"/>
      <c r="GU52" s="94"/>
      <c r="GV52" s="94"/>
      <c r="GW52" s="94"/>
      <c r="GX52" s="94"/>
      <c r="GY52" s="94"/>
      <c r="GZ52" s="94"/>
      <c r="HA52" s="94"/>
      <c r="HB52" s="94"/>
      <c r="HC52" s="94"/>
      <c r="HD52" s="94"/>
      <c r="HE52" s="94"/>
      <c r="HF52" s="94"/>
      <c r="HG52" s="94"/>
      <c r="HH52" s="94"/>
      <c r="HI52" s="94"/>
      <c r="HJ52" s="94"/>
      <c r="HK52" s="94"/>
      <c r="HL52" s="94"/>
      <c r="HM52" s="94"/>
      <c r="HN52" s="94"/>
      <c r="HO52" s="94"/>
      <c r="HP52" s="94"/>
      <c r="HQ52" s="94"/>
      <c r="HR52" s="94"/>
      <c r="HS52" s="94"/>
      <c r="HT52" s="94"/>
      <c r="HU52" s="94"/>
      <c r="HV52" s="94"/>
      <c r="HW52" s="94"/>
      <c r="HX52" s="94"/>
      <c r="HY52" s="94"/>
      <c r="HZ52" s="94"/>
      <c r="IA52" s="94"/>
      <c r="IB52" s="94"/>
      <c r="IC52" s="94"/>
      <c r="ID52" s="94"/>
      <c r="IE52" s="94"/>
      <c r="IF52" s="94"/>
      <c r="IG52" s="94"/>
      <c r="IH52" s="94"/>
      <c r="II52" s="94"/>
      <c r="IJ52" s="94"/>
      <c r="IK52" s="94"/>
      <c r="IL52" s="94"/>
      <c r="IM52" s="94"/>
      <c r="IN52" s="94"/>
      <c r="IO52" s="94"/>
      <c r="IP52" s="94"/>
      <c r="IQ52" s="94"/>
      <c r="IR52" s="94"/>
      <c r="IS52" s="94"/>
      <c r="IT52" s="94"/>
      <c r="IU52" s="94"/>
      <c r="IV52" s="94"/>
      <c r="IW52" s="94"/>
    </row>
    <row r="53" customFormat="false" ht="12.75" hidden="false" customHeight="true" outlineLevel="0" collapsed="false">
      <c r="A53" s="46" t="str">
        <f aca="false">'QTD Mgmt Summary'!A53</f>
        <v>Upstream Products (Mrha)</v>
      </c>
      <c r="B53" s="33"/>
      <c r="C53" s="74" t="n">
        <v>418</v>
      </c>
      <c r="D53" s="114" t="n">
        <v>0</v>
      </c>
      <c r="E53" s="114" t="n">
        <v>0</v>
      </c>
      <c r="F53" s="226" t="n">
        <v>474</v>
      </c>
      <c r="G53" s="226" t="n">
        <v>514</v>
      </c>
      <c r="H53" s="184" t="n">
        <v>0</v>
      </c>
      <c r="I53" s="78" t="n">
        <f aca="false">SUM(C53:H53)</f>
        <v>1406</v>
      </c>
      <c r="J53" s="226" t="n">
        <f aca="false">7496+302</f>
        <v>7798</v>
      </c>
      <c r="K53" s="184" t="n">
        <f aca="false">I53-J53</f>
        <v>-6392</v>
      </c>
    </row>
    <row r="54" customFormat="false" ht="12.75" hidden="false" customHeight="true" outlineLevel="0" collapsed="false">
      <c r="A54" s="46" t="str">
        <f aca="false">'QTD Mgmt Summary'!A54</f>
        <v>Bridgeline (Redmond)</v>
      </c>
      <c r="B54" s="33"/>
      <c r="C54" s="78" t="n">
        <v>0</v>
      </c>
      <c r="D54" s="226" t="n">
        <v>0</v>
      </c>
      <c r="E54" s="114" t="n">
        <v>0</v>
      </c>
      <c r="F54" s="226" t="n">
        <v>0</v>
      </c>
      <c r="G54" s="226" t="n">
        <v>2687</v>
      </c>
      <c r="H54" s="184" t="n">
        <v>0</v>
      </c>
      <c r="I54" s="78" t="n">
        <f aca="false">SUM(C54:H54)</f>
        <v>2687</v>
      </c>
      <c r="J54" s="226" t="n">
        <v>2909</v>
      </c>
      <c r="K54" s="184" t="n">
        <f aca="false">I54-J54</f>
        <v>-222</v>
      </c>
    </row>
    <row r="55" customFormat="false" ht="12.75" hidden="false" customHeight="true" outlineLevel="0" collapsed="false">
      <c r="A55" s="46" t="str">
        <f aca="false">'QTD Mgmt Summary'!A55</f>
        <v>HPL (Redmond)</v>
      </c>
      <c r="B55" s="33"/>
      <c r="C55" s="78" t="n">
        <v>0</v>
      </c>
      <c r="D55" s="226" t="n">
        <v>0</v>
      </c>
      <c r="E55" s="114" t="n">
        <v>248</v>
      </c>
      <c r="F55" s="226" t="n">
        <v>108</v>
      </c>
      <c r="G55" s="226" t="n">
        <v>5942</v>
      </c>
      <c r="H55" s="184" t="n">
        <v>0</v>
      </c>
      <c r="I55" s="78" t="n">
        <f aca="false">SUM(C55:H55)</f>
        <v>6298</v>
      </c>
      <c r="J55" s="226" t="n">
        <v>6372</v>
      </c>
      <c r="K55" s="184" t="n">
        <f aca="false">I55-J55</f>
        <v>-74</v>
      </c>
    </row>
    <row r="56" customFormat="false" ht="12.75" hidden="false" customHeight="true" outlineLevel="0" collapsed="false">
      <c r="A56" s="46" t="str">
        <f aca="false">'QTD Mgmt Summary'!A56</f>
        <v>Mexico (Irvin/Williams)</v>
      </c>
      <c r="B56" s="33"/>
      <c r="C56" s="78" t="n">
        <v>0</v>
      </c>
      <c r="D56" s="226" t="n">
        <v>0</v>
      </c>
      <c r="E56" s="114" t="n">
        <v>505</v>
      </c>
      <c r="F56" s="309" t="n">
        <v>0</v>
      </c>
      <c r="G56" s="309" t="n">
        <v>0</v>
      </c>
      <c r="H56" s="307" t="n">
        <v>0</v>
      </c>
      <c r="I56" s="221" t="n">
        <f aca="false">SUM(C56:H56)</f>
        <v>505</v>
      </c>
      <c r="J56" s="309" t="n">
        <v>15000</v>
      </c>
      <c r="K56" s="184" t="n">
        <f aca="false">I56-J56</f>
        <v>-14495</v>
      </c>
    </row>
    <row r="57" customFormat="false" ht="12.75" hidden="false" customHeight="true" outlineLevel="0" collapsed="false">
      <c r="A57" s="46" t="str">
        <f aca="false">'QTD Mgmt Summary'!A57</f>
        <v>Energy Capital Svcs (Thompson/Josey)</v>
      </c>
      <c r="B57" s="33"/>
      <c r="C57" s="78" t="n">
        <v>0</v>
      </c>
      <c r="D57" s="226" t="n">
        <v>0</v>
      </c>
      <c r="E57" s="114" t="n">
        <v>0</v>
      </c>
      <c r="F57" s="309" t="n">
        <v>623</v>
      </c>
      <c r="G57" s="309" t="n">
        <v>-290</v>
      </c>
      <c r="H57" s="307" t="n">
        <v>0</v>
      </c>
      <c r="I57" s="221" t="n">
        <f aca="false">SUM(C57:H57)</f>
        <v>333</v>
      </c>
      <c r="J57" s="309" t="n">
        <f aca="false">14750+925</f>
        <v>15675</v>
      </c>
      <c r="K57" s="184" t="n">
        <f aca="false">I57-J57</f>
        <v>-15342</v>
      </c>
    </row>
    <row r="58" customFormat="false" ht="12.75" hidden="false" customHeight="true" outlineLevel="0" collapsed="false">
      <c r="A58" s="46" t="str">
        <f aca="false">'QTD Mgmt Summary'!A58</f>
        <v>Mariner</v>
      </c>
      <c r="B58" s="33"/>
      <c r="C58" s="78" t="n">
        <v>0</v>
      </c>
      <c r="D58" s="226" t="n">
        <v>0</v>
      </c>
      <c r="E58" s="114" t="n">
        <v>0</v>
      </c>
      <c r="F58" s="309" t="n">
        <v>2358</v>
      </c>
      <c r="G58" s="309" t="n">
        <v>4304</v>
      </c>
      <c r="H58" s="307" t="n">
        <v>0</v>
      </c>
      <c r="I58" s="221" t="n">
        <f aca="false">SUM(C58:H58)</f>
        <v>6662</v>
      </c>
      <c r="J58" s="309" t="n">
        <v>0</v>
      </c>
      <c r="K58" s="184" t="n">
        <f aca="false">I58-J58</f>
        <v>6662</v>
      </c>
    </row>
    <row r="59" customFormat="false" ht="12.75" hidden="false" customHeight="true" outlineLevel="0" collapsed="false">
      <c r="A59" s="46" t="str">
        <f aca="false">'QTD Mgmt Summary'!A59</f>
        <v>Asset Marketing (D. Miller)</v>
      </c>
      <c r="B59" s="51"/>
      <c r="C59" s="78" t="n">
        <v>0</v>
      </c>
      <c r="D59" s="226" t="n">
        <v>0</v>
      </c>
      <c r="E59" s="114" t="n">
        <v>0</v>
      </c>
      <c r="F59" s="226" t="n">
        <v>0</v>
      </c>
      <c r="G59" s="226" t="n">
        <v>0</v>
      </c>
      <c r="H59" s="184" t="n">
        <v>0</v>
      </c>
      <c r="I59" s="78" t="n">
        <f aca="false">SUM(C59:H59)</f>
        <v>0</v>
      </c>
      <c r="J59" s="226" t="n">
        <v>5000</v>
      </c>
      <c r="K59" s="184" t="n">
        <f aca="false">I59-J59</f>
        <v>-5000</v>
      </c>
    </row>
    <row r="60" customFormat="false" ht="12.75" hidden="false" customHeight="true" outlineLevel="0" collapsed="false">
      <c r="A60" s="46" t="str">
        <f aca="false">'QTD Mgmt Summary'!A60</f>
        <v>Sold Peakers</v>
      </c>
      <c r="B60" s="51"/>
      <c r="C60" s="78" t="n">
        <v>0</v>
      </c>
      <c r="D60" s="226" t="n">
        <v>0</v>
      </c>
      <c r="E60" s="114" t="n">
        <v>0</v>
      </c>
      <c r="F60" s="226" t="n">
        <v>0</v>
      </c>
      <c r="G60" s="226" t="n">
        <v>0</v>
      </c>
      <c r="H60" s="184" t="n">
        <v>-402</v>
      </c>
      <c r="I60" s="78" t="n">
        <f aca="false">SUM(C60:H60)</f>
        <v>-402</v>
      </c>
      <c r="J60" s="226" t="n">
        <v>0</v>
      </c>
      <c r="K60" s="184" t="n">
        <f aca="false">I60-J60</f>
        <v>-402</v>
      </c>
    </row>
    <row r="61" customFormat="false" ht="12.75" hidden="false" customHeight="true" outlineLevel="0" collapsed="false">
      <c r="A61" s="46" t="str">
        <f aca="false">'QTD Mgmt Summary'!A61</f>
        <v>Cross Commodity (Lavorato)</v>
      </c>
      <c r="B61" s="51"/>
      <c r="C61" s="78" t="n">
        <v>3915</v>
      </c>
      <c r="D61" s="226" t="n">
        <v>0</v>
      </c>
      <c r="E61" s="114" t="n">
        <v>0</v>
      </c>
      <c r="F61" s="226" t="n">
        <v>0</v>
      </c>
      <c r="G61" s="226" t="n">
        <v>0</v>
      </c>
      <c r="H61" s="184" t="n">
        <v>0</v>
      </c>
      <c r="I61" s="78" t="n">
        <f aca="false">SUM(C61:H61)</f>
        <v>3915</v>
      </c>
      <c r="J61" s="226" t="n">
        <v>0</v>
      </c>
      <c r="K61" s="184" t="n">
        <f aca="false">I61-J61</f>
        <v>3915</v>
      </c>
    </row>
    <row r="62" customFormat="false" ht="12.75" hidden="false" customHeight="true" outlineLevel="0" collapsed="false">
      <c r="A62" s="46" t="str">
        <f aca="false">'QTD Mgmt Summary'!A62</f>
        <v>Office of the Chairman (Lavorato/Kitchen)</v>
      </c>
      <c r="B62" s="33"/>
      <c r="C62" s="78" t="n">
        <v>0</v>
      </c>
      <c r="D62" s="226" t="n">
        <v>0</v>
      </c>
      <c r="E62" s="114" t="n">
        <v>0</v>
      </c>
      <c r="F62" s="226" t="n">
        <v>0</v>
      </c>
      <c r="G62" s="226" t="n">
        <v>0</v>
      </c>
      <c r="H62" s="184" t="n">
        <v>-1188</v>
      </c>
      <c r="I62" s="78" t="n">
        <f aca="false">SUM(C62:H62)</f>
        <v>-1188</v>
      </c>
      <c r="J62" s="226" t="n">
        <v>-90004</v>
      </c>
      <c r="K62" s="184" t="n">
        <f aca="false">I62-J62</f>
        <v>88816</v>
      </c>
    </row>
    <row r="63" customFormat="false" ht="12.75" hidden="false" customHeight="true" outlineLevel="0" collapsed="false">
      <c r="A63" s="46" t="str">
        <f aca="false">'QTD Mgmt Summary'!A63</f>
        <v>TVA Settlement</v>
      </c>
      <c r="B63" s="33"/>
      <c r="C63" s="78" t="n">
        <v>0</v>
      </c>
      <c r="D63" s="226" t="n">
        <v>0</v>
      </c>
      <c r="E63" s="114" t="n">
        <v>0</v>
      </c>
      <c r="F63" s="226" t="n">
        <v>0</v>
      </c>
      <c r="G63" s="226" t="n">
        <v>0</v>
      </c>
      <c r="H63" s="184" t="n">
        <v>0</v>
      </c>
      <c r="I63" s="78" t="n">
        <f aca="false">SUM(C63:H63)</f>
        <v>0</v>
      </c>
      <c r="J63" s="226" t="n">
        <v>0</v>
      </c>
      <c r="K63" s="184" t="n">
        <f aca="false">I63-J63</f>
        <v>0</v>
      </c>
    </row>
    <row r="64" customFormat="false" ht="12.75" hidden="false" customHeight="true" outlineLevel="0" collapsed="false">
      <c r="A64" s="46" t="str">
        <f aca="false">'QTD Mgmt Summary'!A64</f>
        <v>Other *</v>
      </c>
      <c r="B64" s="33"/>
      <c r="C64" s="78" t="n">
        <v>0</v>
      </c>
      <c r="D64" s="226" t="n">
        <v>0</v>
      </c>
      <c r="E64" s="114" t="n">
        <v>0</v>
      </c>
      <c r="F64" s="309" t="n">
        <v>-2395</v>
      </c>
      <c r="G64" s="309" t="n">
        <v>0</v>
      </c>
      <c r="H64" s="307" t="n">
        <v>0</v>
      </c>
      <c r="I64" s="221" t="n">
        <f aca="false">SUM(C64:H64)</f>
        <v>-2395</v>
      </c>
      <c r="J64" s="309" t="n">
        <v>0</v>
      </c>
      <c r="K64" s="184" t="n">
        <f aca="false">I64-J64</f>
        <v>-2395</v>
      </c>
    </row>
    <row r="65" customFormat="false" ht="12.75" hidden="false" customHeight="true" outlineLevel="0" collapsed="false">
      <c r="A65" s="101" t="s">
        <v>66</v>
      </c>
      <c r="B65" s="191"/>
      <c r="C65" s="223" t="n">
        <f aca="false">SUM(C53:C64)+C52+C45+C31+C23</f>
        <v>71076</v>
      </c>
      <c r="D65" s="193" t="n">
        <f aca="false">SUM(D53:D64)+D52+D45+D31+D23</f>
        <v>13839</v>
      </c>
      <c r="E65" s="193" t="n">
        <f aca="false">SUM(E53:E64)+E52+E45+E31+E23</f>
        <v>3121</v>
      </c>
      <c r="F65" s="193" t="n">
        <f aca="false">SUM(F53:F64)+F52+F45+F31+F23</f>
        <v>-502</v>
      </c>
      <c r="G65" s="193" t="n">
        <f aca="false">SUM(G53:G64)+G52+G45+G31+G23</f>
        <v>13157</v>
      </c>
      <c r="H65" s="310" t="n">
        <f aca="false">SUM(H53:H64)+H52+H45+H31+H23</f>
        <v>2531</v>
      </c>
      <c r="I65" s="304" t="n">
        <f aca="false">(SUM(I53:I64))+I23+I31+I45+I52</f>
        <v>103222</v>
      </c>
      <c r="J65" s="304" t="n">
        <f aca="false">SUM(J53:J64)+J52+J45+J31+J23</f>
        <v>355405</v>
      </c>
      <c r="K65" s="305" t="n">
        <f aca="false">I65-J65</f>
        <v>-252183</v>
      </c>
      <c r="L65" s="98"/>
      <c r="M65" s="98"/>
      <c r="N65" s="225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98"/>
      <c r="BD65" s="98"/>
      <c r="BE65" s="98"/>
      <c r="BF65" s="98"/>
      <c r="BG65" s="98"/>
      <c r="BH65" s="98"/>
      <c r="BI65" s="98"/>
      <c r="BJ65" s="98"/>
      <c r="BK65" s="98"/>
      <c r="BL65" s="98"/>
      <c r="BM65" s="98"/>
      <c r="BN65" s="98"/>
      <c r="BO65" s="98"/>
      <c r="BP65" s="98"/>
      <c r="BQ65" s="98"/>
      <c r="BR65" s="98"/>
      <c r="BS65" s="98"/>
      <c r="BT65" s="98"/>
      <c r="BU65" s="98"/>
      <c r="BV65" s="98"/>
      <c r="BW65" s="98"/>
      <c r="BX65" s="98"/>
      <c r="BY65" s="98"/>
      <c r="BZ65" s="98"/>
      <c r="CA65" s="98"/>
      <c r="CB65" s="98"/>
      <c r="CC65" s="98"/>
      <c r="CD65" s="98"/>
      <c r="CE65" s="98"/>
      <c r="CF65" s="98"/>
      <c r="CG65" s="98"/>
      <c r="CH65" s="98"/>
      <c r="CI65" s="98"/>
      <c r="CJ65" s="98"/>
      <c r="CK65" s="98"/>
      <c r="CL65" s="98"/>
      <c r="CM65" s="98"/>
      <c r="CN65" s="98"/>
      <c r="CO65" s="98"/>
      <c r="CP65" s="98"/>
      <c r="CQ65" s="98"/>
      <c r="CR65" s="98"/>
      <c r="CS65" s="98"/>
      <c r="CT65" s="98"/>
      <c r="CU65" s="98"/>
      <c r="CV65" s="98"/>
      <c r="CW65" s="98"/>
      <c r="CX65" s="98"/>
      <c r="CY65" s="98"/>
      <c r="CZ65" s="98"/>
      <c r="DA65" s="98"/>
      <c r="DB65" s="98"/>
      <c r="DC65" s="98"/>
      <c r="DD65" s="98"/>
      <c r="DE65" s="98"/>
      <c r="DF65" s="98"/>
      <c r="DG65" s="98"/>
      <c r="DH65" s="98"/>
      <c r="DI65" s="98"/>
      <c r="DJ65" s="98"/>
      <c r="DK65" s="98"/>
      <c r="DL65" s="98"/>
      <c r="DM65" s="98"/>
      <c r="DN65" s="98"/>
      <c r="DO65" s="98"/>
      <c r="DP65" s="98"/>
      <c r="DQ65" s="98"/>
      <c r="DR65" s="98"/>
      <c r="DS65" s="98"/>
      <c r="DT65" s="98"/>
      <c r="DU65" s="98"/>
      <c r="DV65" s="98"/>
      <c r="DW65" s="98"/>
      <c r="DX65" s="98"/>
      <c r="DY65" s="98"/>
      <c r="DZ65" s="98"/>
      <c r="EA65" s="98"/>
      <c r="EB65" s="98"/>
      <c r="EC65" s="98"/>
      <c r="ED65" s="98"/>
      <c r="EE65" s="98"/>
      <c r="EF65" s="98"/>
      <c r="EG65" s="98"/>
      <c r="EH65" s="98"/>
      <c r="EI65" s="98"/>
      <c r="EJ65" s="98"/>
      <c r="EK65" s="98"/>
      <c r="EL65" s="98"/>
      <c r="EM65" s="98"/>
      <c r="EN65" s="98"/>
      <c r="EO65" s="98"/>
      <c r="EP65" s="98"/>
      <c r="EQ65" s="98"/>
      <c r="ER65" s="98"/>
      <c r="ES65" s="98"/>
      <c r="ET65" s="98"/>
      <c r="EU65" s="98"/>
      <c r="EV65" s="98"/>
      <c r="EW65" s="98"/>
      <c r="EX65" s="98"/>
      <c r="EY65" s="98"/>
      <c r="EZ65" s="98"/>
      <c r="FA65" s="98"/>
      <c r="FB65" s="98"/>
      <c r="FC65" s="98"/>
      <c r="FD65" s="98"/>
      <c r="FE65" s="98"/>
      <c r="FF65" s="98"/>
      <c r="FG65" s="98"/>
      <c r="FH65" s="98"/>
      <c r="FI65" s="98"/>
      <c r="FJ65" s="98"/>
      <c r="FK65" s="98"/>
      <c r="FL65" s="98"/>
      <c r="FM65" s="98"/>
      <c r="FN65" s="98"/>
      <c r="FO65" s="98"/>
      <c r="FP65" s="98"/>
      <c r="FQ65" s="98"/>
      <c r="FR65" s="98"/>
      <c r="FS65" s="98"/>
      <c r="FT65" s="98"/>
      <c r="FU65" s="98"/>
      <c r="FV65" s="98"/>
      <c r="FW65" s="98"/>
      <c r="FX65" s="98"/>
      <c r="FY65" s="98"/>
      <c r="FZ65" s="98"/>
      <c r="GA65" s="98"/>
      <c r="GB65" s="98"/>
      <c r="GC65" s="98"/>
      <c r="GD65" s="98"/>
      <c r="GE65" s="98"/>
      <c r="GF65" s="98"/>
      <c r="GG65" s="98"/>
      <c r="GH65" s="98"/>
      <c r="GI65" s="98"/>
      <c r="GJ65" s="98"/>
      <c r="GK65" s="98"/>
      <c r="GL65" s="98"/>
      <c r="GM65" s="98"/>
      <c r="GN65" s="98"/>
      <c r="GO65" s="98"/>
      <c r="GP65" s="98"/>
      <c r="GQ65" s="98"/>
      <c r="GR65" s="98"/>
      <c r="GS65" s="98"/>
      <c r="GT65" s="98"/>
      <c r="GU65" s="98"/>
      <c r="GV65" s="98"/>
      <c r="GW65" s="98"/>
      <c r="GX65" s="98"/>
      <c r="GY65" s="98"/>
      <c r="GZ65" s="98"/>
      <c r="HA65" s="98"/>
      <c r="HB65" s="98"/>
      <c r="HC65" s="98"/>
      <c r="HD65" s="98"/>
      <c r="HE65" s="98"/>
      <c r="HF65" s="98"/>
      <c r="HG65" s="98"/>
      <c r="HH65" s="98"/>
      <c r="HI65" s="98"/>
      <c r="HJ65" s="98"/>
      <c r="HK65" s="98"/>
      <c r="HL65" s="98"/>
      <c r="HM65" s="98"/>
      <c r="HN65" s="98"/>
      <c r="HO65" s="98"/>
      <c r="HP65" s="98"/>
      <c r="HQ65" s="98"/>
      <c r="HR65" s="98"/>
      <c r="HS65" s="98"/>
      <c r="HT65" s="98"/>
      <c r="HU65" s="98"/>
      <c r="HV65" s="98"/>
      <c r="HW65" s="98"/>
      <c r="HX65" s="98"/>
      <c r="HY65" s="98"/>
      <c r="HZ65" s="98"/>
      <c r="IA65" s="98"/>
      <c r="IB65" s="98"/>
      <c r="IC65" s="98"/>
      <c r="ID65" s="98"/>
      <c r="IE65" s="98"/>
      <c r="IF65" s="98"/>
      <c r="IG65" s="98"/>
      <c r="IH65" s="98"/>
      <c r="II65" s="98"/>
      <c r="IJ65" s="98"/>
      <c r="IK65" s="98"/>
      <c r="IL65" s="98"/>
      <c r="IM65" s="98"/>
      <c r="IN65" s="98"/>
      <c r="IO65" s="98"/>
      <c r="IP65" s="98"/>
      <c r="IQ65" s="98"/>
      <c r="IR65" s="98"/>
      <c r="IS65" s="98"/>
      <c r="IT65" s="98"/>
      <c r="IU65" s="98"/>
      <c r="IV65" s="98"/>
      <c r="IW65" s="98"/>
    </row>
    <row r="66" customFormat="false" ht="7.5" hidden="false" customHeight="true" outlineLevel="0" collapsed="false">
      <c r="A66" s="97"/>
      <c r="B66" s="33"/>
      <c r="C66" s="74"/>
      <c r="D66" s="114"/>
      <c r="E66" s="311"/>
      <c r="F66" s="226"/>
      <c r="G66" s="226"/>
      <c r="H66" s="184"/>
      <c r="I66" s="78"/>
      <c r="J66" s="226"/>
      <c r="K66" s="312"/>
    </row>
    <row r="67" customFormat="false" ht="12.75" hidden="true" customHeight="true" outlineLevel="0" collapsed="false">
      <c r="A67" s="97" t="s">
        <v>67</v>
      </c>
      <c r="B67" s="33"/>
      <c r="C67" s="78" t="n">
        <v>0</v>
      </c>
      <c r="D67" s="226" t="n">
        <v>0</v>
      </c>
      <c r="E67" s="114" t="n">
        <v>0</v>
      </c>
      <c r="F67" s="302" t="n">
        <v>0</v>
      </c>
      <c r="G67" s="302" t="n">
        <v>0</v>
      </c>
      <c r="H67" s="184" t="n">
        <v>0</v>
      </c>
      <c r="I67" s="78" t="n">
        <f aca="false">SUM(C67:H67)</f>
        <v>0</v>
      </c>
      <c r="J67" s="226" t="n">
        <v>0</v>
      </c>
      <c r="K67" s="184" t="n">
        <f aca="false">I67-J67</f>
        <v>0</v>
      </c>
    </row>
    <row r="68" customFormat="false" ht="12.75" hidden="true" customHeight="true" outlineLevel="0" collapsed="false">
      <c r="A68" s="97" t="s">
        <v>68</v>
      </c>
      <c r="B68" s="33"/>
      <c r="C68" s="78" t="n">
        <v>0</v>
      </c>
      <c r="D68" s="226" t="n">
        <v>0</v>
      </c>
      <c r="E68" s="114" t="n">
        <v>0</v>
      </c>
      <c r="F68" s="302" t="n">
        <v>0</v>
      </c>
      <c r="G68" s="302" t="n">
        <v>0</v>
      </c>
      <c r="H68" s="184" t="n">
        <v>0</v>
      </c>
      <c r="I68" s="78" t="n">
        <f aca="false">SUM(C68:H68)</f>
        <v>0</v>
      </c>
      <c r="J68" s="226" t="n">
        <v>0</v>
      </c>
      <c r="K68" s="184" t="n">
        <f aca="false">I68-J68</f>
        <v>0</v>
      </c>
    </row>
    <row r="69" customFormat="false" ht="12.75" hidden="true" customHeight="true" outlineLevel="0" collapsed="false">
      <c r="A69" s="97" t="s">
        <v>69</v>
      </c>
      <c r="B69" s="33"/>
      <c r="C69" s="78" t="n">
        <v>0</v>
      </c>
      <c r="D69" s="226" t="n">
        <v>0</v>
      </c>
      <c r="E69" s="114" t="n">
        <v>0</v>
      </c>
      <c r="F69" s="302" t="n">
        <v>0</v>
      </c>
      <c r="G69" s="302" t="n">
        <v>0</v>
      </c>
      <c r="H69" s="184" t="n">
        <v>0</v>
      </c>
      <c r="I69" s="78" t="n">
        <f aca="false">SUM(C69:H69)</f>
        <v>0</v>
      </c>
      <c r="J69" s="226" t="n">
        <v>0</v>
      </c>
      <c r="K69" s="184" t="n">
        <f aca="false">I69-J69</f>
        <v>0</v>
      </c>
    </row>
    <row r="70" customFormat="false" ht="12.75" hidden="true" customHeight="true" outlineLevel="0" collapsed="false">
      <c r="A70" s="97" t="s">
        <v>70</v>
      </c>
      <c r="B70" s="33"/>
      <c r="C70" s="78" t="n">
        <v>0</v>
      </c>
      <c r="D70" s="226" t="n">
        <v>0</v>
      </c>
      <c r="E70" s="114" t="n">
        <v>0</v>
      </c>
      <c r="F70" s="302" t="n">
        <v>0</v>
      </c>
      <c r="G70" s="302" t="n">
        <v>0</v>
      </c>
      <c r="H70" s="184" t="n">
        <v>0</v>
      </c>
      <c r="I70" s="78" t="n">
        <f aca="false">SUM(C70:H70)</f>
        <v>0</v>
      </c>
      <c r="J70" s="226" t="n">
        <v>0</v>
      </c>
      <c r="K70" s="184" t="n">
        <f aca="false">I70-J70</f>
        <v>0</v>
      </c>
    </row>
    <row r="71" customFormat="false" ht="12.75" hidden="true" customHeight="true" outlineLevel="0" collapsed="false">
      <c r="A71" s="97" t="s">
        <v>71</v>
      </c>
      <c r="B71" s="33"/>
      <c r="C71" s="78" t="n">
        <v>0</v>
      </c>
      <c r="D71" s="226" t="n">
        <v>0</v>
      </c>
      <c r="E71" s="114" t="n">
        <v>0</v>
      </c>
      <c r="F71" s="302" t="n">
        <v>0</v>
      </c>
      <c r="G71" s="302" t="n">
        <v>0</v>
      </c>
      <c r="H71" s="184" t="n">
        <v>0</v>
      </c>
      <c r="I71" s="78" t="n">
        <f aca="false">SUM(C71:H71)</f>
        <v>0</v>
      </c>
      <c r="J71" s="226" t="n">
        <v>0</v>
      </c>
      <c r="K71" s="184" t="n">
        <f aca="false">I71-J71</f>
        <v>0</v>
      </c>
    </row>
    <row r="72" customFormat="false" ht="12.75" hidden="true" customHeight="true" outlineLevel="0" collapsed="false">
      <c r="A72" s="97" t="s">
        <v>72</v>
      </c>
      <c r="B72" s="33"/>
      <c r="C72" s="78" t="n">
        <v>0</v>
      </c>
      <c r="D72" s="226" t="n">
        <v>0</v>
      </c>
      <c r="E72" s="114" t="n">
        <v>0</v>
      </c>
      <c r="F72" s="302" t="n">
        <v>0</v>
      </c>
      <c r="G72" s="302" t="n">
        <v>0</v>
      </c>
      <c r="H72" s="184" t="n">
        <v>0</v>
      </c>
      <c r="I72" s="78" t="n">
        <f aca="false">SUM(C72:H72)</f>
        <v>0</v>
      </c>
      <c r="J72" s="226" t="n">
        <v>0</v>
      </c>
      <c r="K72" s="184" t="n">
        <f aca="false">I72-J72</f>
        <v>0</v>
      </c>
    </row>
    <row r="73" customFormat="false" ht="12.75" hidden="true" customHeight="true" outlineLevel="0" collapsed="false">
      <c r="A73" s="97" t="s">
        <v>73</v>
      </c>
      <c r="B73" s="33"/>
      <c r="C73" s="78" t="n">
        <v>0</v>
      </c>
      <c r="D73" s="226" t="n">
        <v>0</v>
      </c>
      <c r="E73" s="114" t="n">
        <v>0</v>
      </c>
      <c r="F73" s="302" t="n">
        <v>0</v>
      </c>
      <c r="G73" s="302" t="n">
        <v>0</v>
      </c>
      <c r="H73" s="184" t="n">
        <v>0</v>
      </c>
      <c r="I73" s="78" t="n">
        <f aca="false">SUM(C73:H73)</f>
        <v>0</v>
      </c>
      <c r="J73" s="226" t="n">
        <v>0</v>
      </c>
      <c r="K73" s="184" t="n">
        <f aca="false">I73-J73</f>
        <v>0</v>
      </c>
    </row>
    <row r="74" customFormat="false" ht="12.75" hidden="true" customHeight="true" outlineLevel="0" collapsed="false">
      <c r="A74" s="97" t="s">
        <v>74</v>
      </c>
      <c r="B74" s="33"/>
      <c r="C74" s="78" t="n">
        <v>0</v>
      </c>
      <c r="D74" s="226" t="n">
        <v>0</v>
      </c>
      <c r="E74" s="114" t="n">
        <v>0</v>
      </c>
      <c r="F74" s="302" t="n">
        <v>0</v>
      </c>
      <c r="G74" s="302" t="n">
        <v>0</v>
      </c>
      <c r="H74" s="184" t="n">
        <v>0</v>
      </c>
      <c r="I74" s="78" t="n">
        <f aca="false">SUM(C74:H74)</f>
        <v>0</v>
      </c>
      <c r="J74" s="226" t="n">
        <v>0</v>
      </c>
      <c r="K74" s="184" t="n">
        <f aca="false">I74-J74</f>
        <v>0</v>
      </c>
    </row>
    <row r="75" customFormat="false" ht="12.75" hidden="true" customHeight="true" outlineLevel="0" collapsed="false">
      <c r="A75" s="97" t="s">
        <v>75</v>
      </c>
      <c r="B75" s="33"/>
      <c r="C75" s="78" t="n">
        <v>0</v>
      </c>
      <c r="D75" s="226" t="n">
        <v>0</v>
      </c>
      <c r="E75" s="114" t="n">
        <v>0</v>
      </c>
      <c r="F75" s="302" t="n">
        <v>0</v>
      </c>
      <c r="G75" s="302" t="n">
        <v>0</v>
      </c>
      <c r="H75" s="184" t="n">
        <v>0</v>
      </c>
      <c r="I75" s="78" t="n">
        <f aca="false">SUM(C75:H75)</f>
        <v>0</v>
      </c>
      <c r="J75" s="226" t="n">
        <v>0</v>
      </c>
      <c r="K75" s="184" t="n">
        <f aca="false">I75-J75</f>
        <v>0</v>
      </c>
    </row>
    <row r="76" customFormat="false" ht="12.75" hidden="true" customHeight="true" outlineLevel="0" collapsed="false">
      <c r="A76" s="97" t="s">
        <v>76</v>
      </c>
      <c r="B76" s="33"/>
      <c r="C76" s="78" t="n">
        <v>0</v>
      </c>
      <c r="D76" s="226" t="n">
        <v>0</v>
      </c>
      <c r="E76" s="114" t="n">
        <v>0</v>
      </c>
      <c r="F76" s="302" t="n">
        <v>0</v>
      </c>
      <c r="G76" s="302" t="n">
        <v>0</v>
      </c>
      <c r="H76" s="184" t="n">
        <v>0</v>
      </c>
      <c r="I76" s="78" t="n">
        <f aca="false">SUM(C76:H76)</f>
        <v>0</v>
      </c>
      <c r="J76" s="226" t="n">
        <v>0</v>
      </c>
      <c r="K76" s="184" t="n">
        <f aca="false">I76-J76</f>
        <v>0</v>
      </c>
    </row>
    <row r="77" customFormat="false" ht="12.75" hidden="true" customHeight="true" outlineLevel="0" collapsed="false">
      <c r="A77" s="97" t="s">
        <v>77</v>
      </c>
      <c r="B77" s="33"/>
      <c r="C77" s="78" t="n">
        <v>0</v>
      </c>
      <c r="D77" s="226" t="n">
        <v>0</v>
      </c>
      <c r="E77" s="114" t="n">
        <v>0</v>
      </c>
      <c r="F77" s="302" t="n">
        <v>0</v>
      </c>
      <c r="G77" s="302" t="n">
        <v>0</v>
      </c>
      <c r="H77" s="184" t="n">
        <v>0</v>
      </c>
      <c r="I77" s="78" t="n">
        <f aca="false">SUM(C77:H77)</f>
        <v>0</v>
      </c>
      <c r="J77" s="226" t="n">
        <v>0</v>
      </c>
      <c r="K77" s="184" t="n">
        <f aca="false">I77-J77</f>
        <v>0</v>
      </c>
    </row>
    <row r="78" customFormat="false" ht="12.75" hidden="true" customHeight="true" outlineLevel="0" collapsed="false">
      <c r="A78" s="97" t="s">
        <v>78</v>
      </c>
      <c r="B78" s="33"/>
      <c r="C78" s="78" t="n">
        <v>0</v>
      </c>
      <c r="D78" s="226" t="n">
        <v>0</v>
      </c>
      <c r="E78" s="114" t="n">
        <v>0</v>
      </c>
      <c r="F78" s="302" t="n">
        <v>0</v>
      </c>
      <c r="G78" s="302" t="n">
        <v>0</v>
      </c>
      <c r="H78" s="184" t="n">
        <v>0</v>
      </c>
      <c r="I78" s="78" t="n">
        <f aca="false">SUM(C78:H78)</f>
        <v>0</v>
      </c>
      <c r="J78" s="226" t="n">
        <v>0</v>
      </c>
      <c r="K78" s="184" t="n">
        <f aca="false">I78-J78</f>
        <v>0</v>
      </c>
    </row>
    <row r="79" customFormat="false" ht="12.75" hidden="true" customHeight="true" outlineLevel="0" collapsed="false">
      <c r="A79" s="97" t="s">
        <v>79</v>
      </c>
      <c r="B79" s="33"/>
      <c r="C79" s="78" t="n">
        <v>0</v>
      </c>
      <c r="D79" s="226" t="n">
        <v>0</v>
      </c>
      <c r="E79" s="114" t="n">
        <v>0</v>
      </c>
      <c r="F79" s="302" t="n">
        <v>0</v>
      </c>
      <c r="G79" s="302" t="n">
        <v>0</v>
      </c>
      <c r="H79" s="184" t="n">
        <v>0</v>
      </c>
      <c r="I79" s="78" t="n">
        <f aca="false">SUM(C79:H79)</f>
        <v>0</v>
      </c>
      <c r="J79" s="226" t="n">
        <v>0</v>
      </c>
      <c r="K79" s="184" t="n">
        <f aca="false">I79-J79</f>
        <v>0</v>
      </c>
    </row>
    <row r="80" customFormat="false" ht="12.75" hidden="true" customHeight="true" outlineLevel="0" collapsed="false">
      <c r="A80" s="97" t="s">
        <v>80</v>
      </c>
      <c r="B80" s="33"/>
      <c r="C80" s="78" t="n">
        <v>0</v>
      </c>
      <c r="D80" s="226" t="n">
        <v>0</v>
      </c>
      <c r="E80" s="114" t="n">
        <v>0</v>
      </c>
      <c r="F80" s="302" t="n">
        <v>0</v>
      </c>
      <c r="G80" s="302" t="n">
        <v>0</v>
      </c>
      <c r="H80" s="184" t="n">
        <v>0</v>
      </c>
      <c r="I80" s="78" t="n">
        <f aca="false">SUM(C80:H80)</f>
        <v>0</v>
      </c>
      <c r="J80" s="226" t="n">
        <v>0</v>
      </c>
      <c r="K80" s="184" t="n">
        <f aca="false">I80-J80</f>
        <v>0</v>
      </c>
    </row>
    <row r="81" customFormat="false" ht="12.75" hidden="false" customHeight="true" outlineLevel="0" collapsed="false">
      <c r="A81" s="101" t="s">
        <v>81</v>
      </c>
      <c r="B81" s="191"/>
      <c r="C81" s="223" t="n">
        <f aca="false">SUM(C67:C80)</f>
        <v>0</v>
      </c>
      <c r="D81" s="193" t="n">
        <f aca="false">SUM(D67:D80)</f>
        <v>0</v>
      </c>
      <c r="E81" s="193" t="n">
        <f aca="false">SUM(E67:E80)</f>
        <v>0</v>
      </c>
      <c r="F81" s="304" t="n">
        <f aca="false">SUM(F67:F80)</f>
        <v>0</v>
      </c>
      <c r="G81" s="304" t="n">
        <f aca="false">SUM(G67:G80)</f>
        <v>0</v>
      </c>
      <c r="H81" s="305" t="n">
        <f aca="false">SUM(H67:H80)</f>
        <v>0</v>
      </c>
      <c r="I81" s="195" t="n">
        <f aca="false">SUM(I67:I80)</f>
        <v>0</v>
      </c>
      <c r="J81" s="304" t="n">
        <f aca="false">SUM(J67:J80)</f>
        <v>0</v>
      </c>
      <c r="K81" s="305" t="n">
        <f aca="false">SUM(K67:K80)</f>
        <v>0</v>
      </c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98"/>
      <c r="AG81" s="98"/>
      <c r="AH81" s="98"/>
      <c r="AI81" s="98"/>
      <c r="AJ81" s="98"/>
      <c r="AK81" s="98"/>
      <c r="AL81" s="98"/>
      <c r="AM81" s="98"/>
      <c r="AN81" s="98"/>
      <c r="AO81" s="98"/>
      <c r="AP81" s="98"/>
      <c r="AQ81" s="98"/>
      <c r="AR81" s="98"/>
      <c r="AS81" s="98"/>
      <c r="AT81" s="98"/>
      <c r="AU81" s="98"/>
      <c r="AV81" s="98"/>
      <c r="AW81" s="98"/>
      <c r="AX81" s="98"/>
      <c r="AY81" s="98"/>
      <c r="AZ81" s="98"/>
      <c r="BA81" s="98"/>
      <c r="BB81" s="98"/>
      <c r="BC81" s="98"/>
      <c r="BD81" s="98"/>
      <c r="BE81" s="98"/>
      <c r="BF81" s="98"/>
      <c r="BG81" s="98"/>
      <c r="BH81" s="98"/>
      <c r="BI81" s="98"/>
      <c r="BJ81" s="98"/>
      <c r="BK81" s="98"/>
      <c r="BL81" s="98"/>
      <c r="BM81" s="98"/>
      <c r="BN81" s="98"/>
      <c r="BO81" s="98"/>
      <c r="BP81" s="98"/>
      <c r="BQ81" s="98"/>
      <c r="BR81" s="98"/>
      <c r="BS81" s="98"/>
      <c r="BT81" s="98"/>
      <c r="BU81" s="98"/>
      <c r="BV81" s="98"/>
      <c r="BW81" s="98"/>
      <c r="BX81" s="98"/>
      <c r="BY81" s="98"/>
      <c r="BZ81" s="98"/>
      <c r="CA81" s="98"/>
      <c r="CB81" s="98"/>
      <c r="CC81" s="98"/>
      <c r="CD81" s="98"/>
      <c r="CE81" s="98"/>
      <c r="CF81" s="98"/>
      <c r="CG81" s="98"/>
      <c r="CH81" s="98"/>
      <c r="CI81" s="98"/>
      <c r="CJ81" s="98"/>
      <c r="CK81" s="98"/>
      <c r="CL81" s="98"/>
      <c r="CM81" s="98"/>
      <c r="CN81" s="98"/>
      <c r="CO81" s="98"/>
      <c r="CP81" s="98"/>
      <c r="CQ81" s="98"/>
      <c r="CR81" s="98"/>
      <c r="CS81" s="98"/>
      <c r="CT81" s="98"/>
      <c r="CU81" s="98"/>
      <c r="CV81" s="98"/>
      <c r="CW81" s="98"/>
      <c r="CX81" s="98"/>
      <c r="CY81" s="98"/>
      <c r="CZ81" s="98"/>
      <c r="DA81" s="98"/>
      <c r="DB81" s="98"/>
      <c r="DC81" s="98"/>
      <c r="DD81" s="98"/>
      <c r="DE81" s="98"/>
      <c r="DF81" s="98"/>
      <c r="DG81" s="98"/>
      <c r="DH81" s="98"/>
      <c r="DI81" s="98"/>
      <c r="DJ81" s="98"/>
      <c r="DK81" s="98"/>
      <c r="DL81" s="98"/>
      <c r="DM81" s="98"/>
      <c r="DN81" s="98"/>
      <c r="DO81" s="98"/>
      <c r="DP81" s="98"/>
      <c r="DQ81" s="98"/>
      <c r="DR81" s="98"/>
      <c r="DS81" s="98"/>
      <c r="DT81" s="98"/>
      <c r="DU81" s="98"/>
      <c r="DV81" s="98"/>
      <c r="DW81" s="98"/>
      <c r="DX81" s="98"/>
      <c r="DY81" s="98"/>
      <c r="DZ81" s="98"/>
      <c r="EA81" s="98"/>
      <c r="EB81" s="98"/>
      <c r="EC81" s="98"/>
      <c r="ED81" s="98"/>
      <c r="EE81" s="98"/>
      <c r="EF81" s="98"/>
      <c r="EG81" s="98"/>
      <c r="EH81" s="98"/>
      <c r="EI81" s="98"/>
      <c r="EJ81" s="98"/>
      <c r="EK81" s="98"/>
      <c r="EL81" s="98"/>
      <c r="EM81" s="98"/>
      <c r="EN81" s="98"/>
      <c r="EO81" s="98"/>
      <c r="EP81" s="98"/>
      <c r="EQ81" s="98"/>
      <c r="ER81" s="98"/>
      <c r="ES81" s="98"/>
      <c r="ET81" s="98"/>
      <c r="EU81" s="98"/>
      <c r="EV81" s="98"/>
      <c r="EW81" s="98"/>
      <c r="EX81" s="98"/>
      <c r="EY81" s="98"/>
      <c r="EZ81" s="98"/>
      <c r="FA81" s="98"/>
      <c r="FB81" s="98"/>
      <c r="FC81" s="98"/>
      <c r="FD81" s="98"/>
      <c r="FE81" s="98"/>
      <c r="FF81" s="98"/>
      <c r="FG81" s="98"/>
      <c r="FH81" s="98"/>
      <c r="FI81" s="98"/>
      <c r="FJ81" s="98"/>
      <c r="FK81" s="98"/>
      <c r="FL81" s="98"/>
      <c r="FM81" s="98"/>
      <c r="FN81" s="98"/>
      <c r="FO81" s="98"/>
      <c r="FP81" s="98"/>
      <c r="FQ81" s="98"/>
      <c r="FR81" s="98"/>
      <c r="FS81" s="98"/>
      <c r="FT81" s="98"/>
      <c r="FU81" s="98"/>
      <c r="FV81" s="98"/>
      <c r="FW81" s="98"/>
      <c r="FX81" s="98"/>
      <c r="FY81" s="98"/>
      <c r="FZ81" s="98"/>
      <c r="GA81" s="98"/>
      <c r="GB81" s="98"/>
      <c r="GC81" s="98"/>
      <c r="GD81" s="98"/>
      <c r="GE81" s="98"/>
      <c r="GF81" s="98"/>
      <c r="GG81" s="98"/>
      <c r="GH81" s="98"/>
      <c r="GI81" s="98"/>
      <c r="GJ81" s="98"/>
      <c r="GK81" s="98"/>
      <c r="GL81" s="98"/>
      <c r="GM81" s="98"/>
      <c r="GN81" s="98"/>
      <c r="GO81" s="98"/>
      <c r="GP81" s="98"/>
      <c r="GQ81" s="98"/>
      <c r="GR81" s="98"/>
      <c r="GS81" s="98"/>
      <c r="GT81" s="98"/>
      <c r="GU81" s="98"/>
      <c r="GV81" s="98"/>
      <c r="GW81" s="98"/>
      <c r="GX81" s="98"/>
      <c r="GY81" s="98"/>
      <c r="GZ81" s="98"/>
      <c r="HA81" s="98"/>
      <c r="HB81" s="98"/>
      <c r="HC81" s="98"/>
      <c r="HD81" s="98"/>
      <c r="HE81" s="98"/>
      <c r="HF81" s="98"/>
      <c r="HG81" s="98"/>
      <c r="HH81" s="98"/>
      <c r="HI81" s="98"/>
      <c r="HJ81" s="98"/>
      <c r="HK81" s="98"/>
      <c r="HL81" s="98"/>
      <c r="HM81" s="98"/>
      <c r="HN81" s="98"/>
      <c r="HO81" s="98"/>
      <c r="HP81" s="98"/>
      <c r="HQ81" s="98"/>
      <c r="HR81" s="98"/>
      <c r="HS81" s="98"/>
      <c r="HT81" s="98"/>
      <c r="HU81" s="98"/>
      <c r="HV81" s="98"/>
      <c r="HW81" s="98"/>
      <c r="HX81" s="98"/>
      <c r="HY81" s="98"/>
      <c r="HZ81" s="98"/>
      <c r="IA81" s="98"/>
      <c r="IB81" s="98"/>
      <c r="IC81" s="98"/>
      <c r="ID81" s="98"/>
      <c r="IE81" s="98"/>
      <c r="IF81" s="98"/>
      <c r="IG81" s="98"/>
      <c r="IH81" s="98"/>
      <c r="II81" s="98"/>
      <c r="IJ81" s="98"/>
      <c r="IK81" s="98"/>
      <c r="IL81" s="98"/>
      <c r="IM81" s="98"/>
      <c r="IN81" s="98"/>
      <c r="IO81" s="98"/>
      <c r="IP81" s="98"/>
      <c r="IQ81" s="98"/>
      <c r="IR81" s="98"/>
      <c r="IS81" s="98"/>
      <c r="IT81" s="98"/>
      <c r="IU81" s="98"/>
      <c r="IV81" s="98"/>
      <c r="IW81" s="98"/>
    </row>
    <row r="82" customFormat="false" ht="12.75" hidden="false" customHeight="true" outlineLevel="0" collapsed="false">
      <c r="A82" s="99" t="str">
        <f aca="false">'QTD Mgmt Summary'!A82</f>
        <v>Prepay Expenses</v>
      </c>
      <c r="B82" s="33"/>
      <c r="C82" s="78" t="n">
        <v>0</v>
      </c>
      <c r="D82" s="226" t="n">
        <v>0</v>
      </c>
      <c r="E82" s="114" t="n">
        <v>0</v>
      </c>
      <c r="F82" s="302" t="n">
        <v>0</v>
      </c>
      <c r="G82" s="302" t="n">
        <v>0</v>
      </c>
      <c r="H82" s="184" t="n">
        <v>0</v>
      </c>
      <c r="I82" s="78" t="n">
        <f aca="false">SUM(C82:H82)</f>
        <v>0</v>
      </c>
      <c r="J82" s="226" t="n">
        <v>0</v>
      </c>
      <c r="K82" s="184" t="n">
        <f aca="false">I82-J82</f>
        <v>0</v>
      </c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100"/>
      <c r="AM82" s="100"/>
      <c r="AN82" s="100"/>
      <c r="AO82" s="100"/>
      <c r="AP82" s="100"/>
      <c r="AQ82" s="100"/>
      <c r="AR82" s="100"/>
      <c r="AS82" s="100"/>
      <c r="AT82" s="100"/>
      <c r="AU82" s="100"/>
      <c r="AV82" s="100"/>
      <c r="AW82" s="100"/>
      <c r="AX82" s="100"/>
      <c r="AY82" s="100"/>
      <c r="AZ82" s="100"/>
      <c r="BA82" s="100"/>
      <c r="BB82" s="100"/>
      <c r="BC82" s="100"/>
      <c r="BD82" s="100"/>
      <c r="BE82" s="100"/>
      <c r="BF82" s="100"/>
      <c r="BG82" s="100"/>
      <c r="BH82" s="100"/>
      <c r="BI82" s="100"/>
      <c r="BJ82" s="100"/>
      <c r="BK82" s="100"/>
      <c r="BL82" s="100"/>
      <c r="BM82" s="100"/>
      <c r="BN82" s="100"/>
      <c r="BO82" s="100"/>
      <c r="BP82" s="100"/>
      <c r="BQ82" s="100"/>
      <c r="BR82" s="100"/>
      <c r="BS82" s="100"/>
      <c r="BT82" s="100"/>
      <c r="BU82" s="100"/>
      <c r="BV82" s="100"/>
      <c r="BW82" s="100"/>
      <c r="BX82" s="100"/>
      <c r="BY82" s="100"/>
      <c r="BZ82" s="100"/>
      <c r="CA82" s="100"/>
      <c r="CB82" s="100"/>
      <c r="CC82" s="100"/>
      <c r="CD82" s="100"/>
      <c r="CE82" s="100"/>
      <c r="CF82" s="100"/>
      <c r="CG82" s="100"/>
      <c r="CH82" s="100"/>
      <c r="CI82" s="100"/>
      <c r="CJ82" s="100"/>
      <c r="CK82" s="100"/>
      <c r="CL82" s="100"/>
      <c r="CM82" s="100"/>
      <c r="CN82" s="100"/>
      <c r="CO82" s="100"/>
      <c r="CP82" s="100"/>
      <c r="CQ82" s="100"/>
      <c r="CR82" s="100"/>
      <c r="CS82" s="100"/>
      <c r="CT82" s="100"/>
      <c r="CU82" s="100"/>
      <c r="CV82" s="100"/>
      <c r="CW82" s="100"/>
      <c r="CX82" s="100"/>
      <c r="CY82" s="100"/>
      <c r="CZ82" s="100"/>
      <c r="DA82" s="100"/>
      <c r="DB82" s="100"/>
      <c r="DC82" s="100"/>
      <c r="DD82" s="100"/>
      <c r="DE82" s="100"/>
      <c r="DF82" s="100"/>
      <c r="DG82" s="100"/>
      <c r="DH82" s="100"/>
      <c r="DI82" s="100"/>
      <c r="DJ82" s="100"/>
      <c r="DK82" s="100"/>
      <c r="DL82" s="100"/>
      <c r="DM82" s="100"/>
      <c r="DN82" s="100"/>
      <c r="DO82" s="100"/>
      <c r="DP82" s="100"/>
      <c r="DQ82" s="100"/>
      <c r="DR82" s="100"/>
      <c r="DS82" s="100"/>
      <c r="DT82" s="100"/>
      <c r="DU82" s="100"/>
      <c r="DV82" s="100"/>
      <c r="DW82" s="100"/>
      <c r="DX82" s="100"/>
      <c r="DY82" s="100"/>
      <c r="DZ82" s="100"/>
      <c r="EA82" s="100"/>
      <c r="EB82" s="100"/>
      <c r="EC82" s="100"/>
      <c r="ED82" s="100"/>
      <c r="EE82" s="100"/>
      <c r="EF82" s="100"/>
      <c r="EG82" s="100"/>
      <c r="EH82" s="100"/>
      <c r="EI82" s="100"/>
      <c r="EJ82" s="100"/>
      <c r="EK82" s="100"/>
      <c r="EL82" s="100"/>
      <c r="EM82" s="100"/>
      <c r="EN82" s="100"/>
      <c r="EO82" s="100"/>
      <c r="EP82" s="100"/>
      <c r="EQ82" s="100"/>
      <c r="ER82" s="100"/>
      <c r="ES82" s="100"/>
      <c r="ET82" s="100"/>
      <c r="EU82" s="100"/>
      <c r="EV82" s="100"/>
      <c r="EW82" s="100"/>
      <c r="EX82" s="100"/>
      <c r="EY82" s="100"/>
      <c r="EZ82" s="100"/>
      <c r="FA82" s="100"/>
      <c r="FB82" s="100"/>
      <c r="FC82" s="100"/>
      <c r="FD82" s="100"/>
      <c r="FE82" s="100"/>
      <c r="FF82" s="100"/>
      <c r="FG82" s="100"/>
      <c r="FH82" s="100"/>
      <c r="FI82" s="100"/>
      <c r="FJ82" s="100"/>
      <c r="FK82" s="100"/>
      <c r="FL82" s="100"/>
      <c r="FM82" s="100"/>
      <c r="FN82" s="100"/>
      <c r="FO82" s="100"/>
      <c r="FP82" s="100"/>
      <c r="FQ82" s="100"/>
      <c r="FR82" s="100"/>
      <c r="FS82" s="100"/>
      <c r="FT82" s="100"/>
      <c r="FU82" s="100"/>
      <c r="FV82" s="100"/>
      <c r="FW82" s="100"/>
      <c r="FX82" s="100"/>
      <c r="FY82" s="100"/>
      <c r="FZ82" s="100"/>
      <c r="GA82" s="100"/>
      <c r="GB82" s="100"/>
      <c r="GC82" s="100"/>
      <c r="GD82" s="100"/>
      <c r="GE82" s="100"/>
      <c r="GF82" s="100"/>
      <c r="GG82" s="100"/>
      <c r="GH82" s="100"/>
      <c r="GI82" s="100"/>
      <c r="GJ82" s="100"/>
      <c r="GK82" s="100"/>
      <c r="GL82" s="100"/>
      <c r="GM82" s="100"/>
      <c r="GN82" s="100"/>
      <c r="GO82" s="100"/>
      <c r="GP82" s="100"/>
      <c r="GQ82" s="100"/>
      <c r="GR82" s="100"/>
      <c r="GS82" s="100"/>
      <c r="GT82" s="100"/>
      <c r="GU82" s="100"/>
      <c r="GV82" s="100"/>
      <c r="GW82" s="100"/>
      <c r="GX82" s="100"/>
      <c r="GY82" s="100"/>
      <c r="GZ82" s="100"/>
      <c r="HA82" s="100"/>
      <c r="HB82" s="100"/>
      <c r="HC82" s="100"/>
      <c r="HD82" s="100"/>
      <c r="HE82" s="100"/>
      <c r="HF82" s="100"/>
      <c r="HG82" s="100"/>
      <c r="HH82" s="100"/>
      <c r="HI82" s="100"/>
      <c r="HJ82" s="100"/>
      <c r="HK82" s="100"/>
      <c r="HL82" s="100"/>
      <c r="HM82" s="100"/>
      <c r="HN82" s="100"/>
      <c r="HO82" s="100"/>
      <c r="HP82" s="100"/>
      <c r="HQ82" s="100"/>
      <c r="HR82" s="100"/>
      <c r="HS82" s="100"/>
      <c r="HT82" s="100"/>
      <c r="HU82" s="100"/>
      <c r="HV82" s="100"/>
      <c r="HW82" s="100"/>
      <c r="HX82" s="100"/>
      <c r="HY82" s="100"/>
      <c r="HZ82" s="100"/>
      <c r="IA82" s="100"/>
      <c r="IB82" s="100"/>
      <c r="IC82" s="100"/>
      <c r="ID82" s="100"/>
      <c r="IE82" s="100"/>
      <c r="IF82" s="100"/>
      <c r="IG82" s="100"/>
      <c r="IH82" s="100"/>
      <c r="II82" s="100"/>
      <c r="IJ82" s="100"/>
      <c r="IK82" s="100"/>
      <c r="IL82" s="100"/>
      <c r="IM82" s="100"/>
      <c r="IN82" s="100"/>
      <c r="IO82" s="100"/>
      <c r="IP82" s="100"/>
      <c r="IQ82" s="100"/>
      <c r="IR82" s="100"/>
      <c r="IS82" s="100"/>
      <c r="IT82" s="100"/>
      <c r="IU82" s="100"/>
      <c r="IV82" s="100"/>
      <c r="IW82" s="100"/>
    </row>
    <row r="83" customFormat="false" ht="12.75" hidden="false" customHeight="true" outlineLevel="0" collapsed="false">
      <c r="A83" s="99" t="str">
        <f aca="false">'QTD Mgmt Summary'!A83</f>
        <v>U.S. Drift</v>
      </c>
      <c r="B83" s="33"/>
      <c r="C83" s="74" t="n">
        <v>14894</v>
      </c>
      <c r="D83" s="226" t="n">
        <v>0</v>
      </c>
      <c r="E83" s="114" t="n">
        <v>0</v>
      </c>
      <c r="F83" s="302" t="n">
        <v>0</v>
      </c>
      <c r="G83" s="302" t="n">
        <v>0</v>
      </c>
      <c r="H83" s="184" t="n">
        <v>0</v>
      </c>
      <c r="I83" s="78" t="n">
        <f aca="false">SUM(C83:H83)</f>
        <v>14894</v>
      </c>
      <c r="J83" s="226" t="n">
        <v>28610</v>
      </c>
      <c r="K83" s="184" t="n">
        <f aca="false">I83-J83</f>
        <v>-13716</v>
      </c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100"/>
      <c r="AM83" s="100"/>
      <c r="AN83" s="100"/>
      <c r="AO83" s="100"/>
      <c r="AP83" s="100"/>
      <c r="AQ83" s="100"/>
      <c r="AR83" s="100"/>
      <c r="AS83" s="100"/>
      <c r="AT83" s="100"/>
      <c r="AU83" s="100"/>
      <c r="AV83" s="100"/>
      <c r="AW83" s="100"/>
      <c r="AX83" s="100"/>
      <c r="AY83" s="100"/>
      <c r="AZ83" s="100"/>
      <c r="BA83" s="100"/>
      <c r="BB83" s="100"/>
      <c r="BC83" s="100"/>
      <c r="BD83" s="100"/>
      <c r="BE83" s="100"/>
      <c r="BF83" s="100"/>
      <c r="BG83" s="100"/>
      <c r="BH83" s="100"/>
      <c r="BI83" s="100"/>
      <c r="BJ83" s="100"/>
      <c r="BK83" s="100"/>
      <c r="BL83" s="100"/>
      <c r="BM83" s="100"/>
      <c r="BN83" s="100"/>
      <c r="BO83" s="100"/>
      <c r="BP83" s="100"/>
      <c r="BQ83" s="100"/>
      <c r="BR83" s="100"/>
      <c r="BS83" s="100"/>
      <c r="BT83" s="100"/>
      <c r="BU83" s="100"/>
      <c r="BV83" s="100"/>
      <c r="BW83" s="100"/>
      <c r="BX83" s="100"/>
      <c r="BY83" s="100"/>
      <c r="BZ83" s="100"/>
      <c r="CA83" s="100"/>
      <c r="CB83" s="100"/>
      <c r="CC83" s="100"/>
      <c r="CD83" s="100"/>
      <c r="CE83" s="100"/>
      <c r="CF83" s="100"/>
      <c r="CG83" s="100"/>
      <c r="CH83" s="100"/>
      <c r="CI83" s="100"/>
      <c r="CJ83" s="100"/>
      <c r="CK83" s="100"/>
      <c r="CL83" s="100"/>
      <c r="CM83" s="100"/>
      <c r="CN83" s="100"/>
      <c r="CO83" s="100"/>
      <c r="CP83" s="100"/>
      <c r="CQ83" s="100"/>
      <c r="CR83" s="100"/>
      <c r="CS83" s="100"/>
      <c r="CT83" s="100"/>
      <c r="CU83" s="100"/>
      <c r="CV83" s="100"/>
      <c r="CW83" s="100"/>
      <c r="CX83" s="100"/>
      <c r="CY83" s="100"/>
      <c r="CZ83" s="100"/>
      <c r="DA83" s="100"/>
      <c r="DB83" s="100"/>
      <c r="DC83" s="100"/>
      <c r="DD83" s="100"/>
      <c r="DE83" s="100"/>
      <c r="DF83" s="100"/>
      <c r="DG83" s="100"/>
      <c r="DH83" s="100"/>
      <c r="DI83" s="100"/>
      <c r="DJ83" s="100"/>
      <c r="DK83" s="100"/>
      <c r="DL83" s="100"/>
      <c r="DM83" s="100"/>
      <c r="DN83" s="100"/>
      <c r="DO83" s="100"/>
      <c r="DP83" s="100"/>
      <c r="DQ83" s="100"/>
      <c r="DR83" s="100"/>
      <c r="DS83" s="100"/>
      <c r="DT83" s="100"/>
      <c r="DU83" s="100"/>
      <c r="DV83" s="100"/>
      <c r="DW83" s="100"/>
      <c r="DX83" s="100"/>
      <c r="DY83" s="100"/>
      <c r="DZ83" s="100"/>
      <c r="EA83" s="100"/>
      <c r="EB83" s="100"/>
      <c r="EC83" s="100"/>
      <c r="ED83" s="100"/>
      <c r="EE83" s="100"/>
      <c r="EF83" s="100"/>
      <c r="EG83" s="100"/>
      <c r="EH83" s="100"/>
      <c r="EI83" s="100"/>
      <c r="EJ83" s="100"/>
      <c r="EK83" s="100"/>
      <c r="EL83" s="100"/>
      <c r="EM83" s="100"/>
      <c r="EN83" s="100"/>
      <c r="EO83" s="100"/>
      <c r="EP83" s="100"/>
      <c r="EQ83" s="100"/>
      <c r="ER83" s="100"/>
      <c r="ES83" s="100"/>
      <c r="ET83" s="100"/>
      <c r="EU83" s="100"/>
      <c r="EV83" s="100"/>
      <c r="EW83" s="100"/>
      <c r="EX83" s="100"/>
      <c r="EY83" s="100"/>
      <c r="EZ83" s="100"/>
      <c r="FA83" s="100"/>
      <c r="FB83" s="100"/>
      <c r="FC83" s="100"/>
      <c r="FD83" s="100"/>
      <c r="FE83" s="100"/>
      <c r="FF83" s="100"/>
      <c r="FG83" s="100"/>
      <c r="FH83" s="100"/>
      <c r="FI83" s="100"/>
      <c r="FJ83" s="100"/>
      <c r="FK83" s="100"/>
      <c r="FL83" s="100"/>
      <c r="FM83" s="100"/>
      <c r="FN83" s="100"/>
      <c r="FO83" s="100"/>
      <c r="FP83" s="100"/>
      <c r="FQ83" s="100"/>
      <c r="FR83" s="100"/>
      <c r="FS83" s="100"/>
      <c r="FT83" s="100"/>
      <c r="FU83" s="100"/>
      <c r="FV83" s="100"/>
      <c r="FW83" s="100"/>
      <c r="FX83" s="100"/>
      <c r="FY83" s="100"/>
      <c r="FZ83" s="100"/>
      <c r="GA83" s="100"/>
      <c r="GB83" s="100"/>
      <c r="GC83" s="100"/>
      <c r="GD83" s="100"/>
      <c r="GE83" s="100"/>
      <c r="GF83" s="100"/>
      <c r="GG83" s="100"/>
      <c r="GH83" s="100"/>
      <c r="GI83" s="100"/>
      <c r="GJ83" s="100"/>
      <c r="GK83" s="100"/>
      <c r="GL83" s="100"/>
      <c r="GM83" s="100"/>
      <c r="GN83" s="100"/>
      <c r="GO83" s="100"/>
      <c r="GP83" s="100"/>
      <c r="GQ83" s="100"/>
      <c r="GR83" s="100"/>
      <c r="GS83" s="100"/>
      <c r="GT83" s="100"/>
      <c r="GU83" s="100"/>
      <c r="GV83" s="100"/>
      <c r="GW83" s="100"/>
      <c r="GX83" s="100"/>
      <c r="GY83" s="100"/>
      <c r="GZ83" s="100"/>
      <c r="HA83" s="100"/>
      <c r="HB83" s="100"/>
      <c r="HC83" s="100"/>
      <c r="HD83" s="100"/>
      <c r="HE83" s="100"/>
      <c r="HF83" s="100"/>
      <c r="HG83" s="100"/>
      <c r="HH83" s="100"/>
      <c r="HI83" s="100"/>
      <c r="HJ83" s="100"/>
      <c r="HK83" s="100"/>
      <c r="HL83" s="100"/>
      <c r="HM83" s="100"/>
      <c r="HN83" s="100"/>
      <c r="HO83" s="100"/>
      <c r="HP83" s="100"/>
      <c r="HQ83" s="100"/>
      <c r="HR83" s="100"/>
      <c r="HS83" s="100"/>
      <c r="HT83" s="100"/>
      <c r="HU83" s="100"/>
      <c r="HV83" s="100"/>
      <c r="HW83" s="100"/>
      <c r="HX83" s="100"/>
      <c r="HY83" s="100"/>
      <c r="HZ83" s="100"/>
      <c r="IA83" s="100"/>
      <c r="IB83" s="100"/>
      <c r="IC83" s="100"/>
      <c r="ID83" s="100"/>
      <c r="IE83" s="100"/>
      <c r="IF83" s="100"/>
      <c r="IG83" s="100"/>
      <c r="IH83" s="100"/>
      <c r="II83" s="100"/>
      <c r="IJ83" s="100"/>
      <c r="IK83" s="100"/>
      <c r="IL83" s="100"/>
      <c r="IM83" s="100"/>
      <c r="IN83" s="100"/>
      <c r="IO83" s="100"/>
      <c r="IP83" s="100"/>
      <c r="IQ83" s="100"/>
      <c r="IR83" s="100"/>
      <c r="IS83" s="100"/>
      <c r="IT83" s="100"/>
      <c r="IU83" s="100"/>
      <c r="IV83" s="100"/>
      <c r="IW83" s="100"/>
    </row>
    <row r="84" customFormat="false" ht="12.75" hidden="false" customHeight="true" outlineLevel="0" collapsed="false">
      <c r="A84" s="99" t="str">
        <f aca="false">'QTD Mgmt Summary'!A84</f>
        <v>Facility Costs</v>
      </c>
      <c r="B84" s="33"/>
      <c r="C84" s="78" t="n">
        <v>0</v>
      </c>
      <c r="D84" s="226" t="n">
        <v>0</v>
      </c>
      <c r="E84" s="114" t="n">
        <v>0</v>
      </c>
      <c r="F84" s="302" t="n">
        <v>0</v>
      </c>
      <c r="G84" s="302" t="n">
        <v>-10934</v>
      </c>
      <c r="H84" s="184" t="n">
        <v>0</v>
      </c>
      <c r="I84" s="78" t="n">
        <f aca="false">SUM(C84:H84)</f>
        <v>-10934</v>
      </c>
      <c r="J84" s="226" t="n">
        <v>-13000</v>
      </c>
      <c r="K84" s="184" t="n">
        <f aca="false">I84-J84</f>
        <v>2066</v>
      </c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  <c r="AS84" s="100"/>
      <c r="AT84" s="100"/>
      <c r="AU84" s="100"/>
      <c r="AV84" s="100"/>
      <c r="AW84" s="100"/>
      <c r="AX84" s="100"/>
      <c r="AY84" s="100"/>
      <c r="AZ84" s="100"/>
      <c r="BA84" s="100"/>
      <c r="BB84" s="100"/>
      <c r="BC84" s="100"/>
      <c r="BD84" s="100"/>
      <c r="BE84" s="100"/>
      <c r="BF84" s="100"/>
      <c r="BG84" s="100"/>
      <c r="BH84" s="100"/>
      <c r="BI84" s="100"/>
      <c r="BJ84" s="100"/>
      <c r="BK84" s="100"/>
      <c r="BL84" s="100"/>
      <c r="BM84" s="100"/>
      <c r="BN84" s="100"/>
      <c r="BO84" s="100"/>
      <c r="BP84" s="100"/>
      <c r="BQ84" s="100"/>
      <c r="BR84" s="100"/>
      <c r="BS84" s="100"/>
      <c r="BT84" s="100"/>
      <c r="BU84" s="100"/>
      <c r="BV84" s="100"/>
      <c r="BW84" s="100"/>
      <c r="BX84" s="100"/>
      <c r="BY84" s="100"/>
      <c r="BZ84" s="100"/>
      <c r="CA84" s="100"/>
      <c r="CB84" s="100"/>
      <c r="CC84" s="100"/>
      <c r="CD84" s="100"/>
      <c r="CE84" s="100"/>
      <c r="CF84" s="100"/>
      <c r="CG84" s="100"/>
      <c r="CH84" s="100"/>
      <c r="CI84" s="100"/>
      <c r="CJ84" s="100"/>
      <c r="CK84" s="100"/>
      <c r="CL84" s="100"/>
      <c r="CM84" s="100"/>
      <c r="CN84" s="100"/>
      <c r="CO84" s="100"/>
      <c r="CP84" s="100"/>
      <c r="CQ84" s="100"/>
      <c r="CR84" s="100"/>
      <c r="CS84" s="100"/>
      <c r="CT84" s="100"/>
      <c r="CU84" s="100"/>
      <c r="CV84" s="100"/>
      <c r="CW84" s="100"/>
      <c r="CX84" s="100"/>
      <c r="CY84" s="100"/>
      <c r="CZ84" s="100"/>
      <c r="DA84" s="100"/>
      <c r="DB84" s="100"/>
      <c r="DC84" s="100"/>
      <c r="DD84" s="100"/>
      <c r="DE84" s="100"/>
      <c r="DF84" s="100"/>
      <c r="DG84" s="100"/>
      <c r="DH84" s="100"/>
      <c r="DI84" s="100"/>
      <c r="DJ84" s="100"/>
      <c r="DK84" s="100"/>
      <c r="DL84" s="100"/>
      <c r="DM84" s="100"/>
      <c r="DN84" s="100"/>
      <c r="DO84" s="100"/>
      <c r="DP84" s="100"/>
      <c r="DQ84" s="100"/>
      <c r="DR84" s="100"/>
      <c r="DS84" s="100"/>
      <c r="DT84" s="100"/>
      <c r="DU84" s="100"/>
      <c r="DV84" s="100"/>
      <c r="DW84" s="100"/>
      <c r="DX84" s="100"/>
      <c r="DY84" s="100"/>
      <c r="DZ84" s="100"/>
      <c r="EA84" s="100"/>
      <c r="EB84" s="100"/>
      <c r="EC84" s="100"/>
      <c r="ED84" s="100"/>
      <c r="EE84" s="100"/>
      <c r="EF84" s="100"/>
      <c r="EG84" s="100"/>
      <c r="EH84" s="100"/>
      <c r="EI84" s="100"/>
      <c r="EJ84" s="100"/>
      <c r="EK84" s="100"/>
      <c r="EL84" s="100"/>
      <c r="EM84" s="100"/>
      <c r="EN84" s="100"/>
      <c r="EO84" s="100"/>
      <c r="EP84" s="100"/>
      <c r="EQ84" s="100"/>
      <c r="ER84" s="100"/>
      <c r="ES84" s="100"/>
      <c r="ET84" s="100"/>
      <c r="EU84" s="100"/>
      <c r="EV84" s="100"/>
      <c r="EW84" s="100"/>
      <c r="EX84" s="100"/>
      <c r="EY84" s="100"/>
      <c r="EZ84" s="100"/>
      <c r="FA84" s="100"/>
      <c r="FB84" s="100"/>
      <c r="FC84" s="100"/>
      <c r="FD84" s="100"/>
      <c r="FE84" s="100"/>
      <c r="FF84" s="100"/>
      <c r="FG84" s="100"/>
      <c r="FH84" s="100"/>
      <c r="FI84" s="100"/>
      <c r="FJ84" s="100"/>
      <c r="FK84" s="100"/>
      <c r="FL84" s="100"/>
      <c r="FM84" s="100"/>
      <c r="FN84" s="100"/>
      <c r="FO84" s="100"/>
      <c r="FP84" s="100"/>
      <c r="FQ84" s="100"/>
      <c r="FR84" s="100"/>
      <c r="FS84" s="100"/>
      <c r="FT84" s="100"/>
      <c r="FU84" s="100"/>
      <c r="FV84" s="100"/>
      <c r="FW84" s="100"/>
      <c r="FX84" s="100"/>
      <c r="FY84" s="100"/>
      <c r="FZ84" s="100"/>
      <c r="GA84" s="100"/>
      <c r="GB84" s="100"/>
      <c r="GC84" s="100"/>
      <c r="GD84" s="100"/>
      <c r="GE84" s="100"/>
      <c r="GF84" s="100"/>
      <c r="GG84" s="100"/>
      <c r="GH84" s="100"/>
      <c r="GI84" s="100"/>
      <c r="GJ84" s="100"/>
      <c r="GK84" s="100"/>
      <c r="GL84" s="100"/>
      <c r="GM84" s="100"/>
      <c r="GN84" s="100"/>
      <c r="GO84" s="100"/>
      <c r="GP84" s="100"/>
      <c r="GQ84" s="100"/>
      <c r="GR84" s="100"/>
      <c r="GS84" s="100"/>
      <c r="GT84" s="100"/>
      <c r="GU84" s="100"/>
      <c r="GV84" s="100"/>
      <c r="GW84" s="100"/>
      <c r="GX84" s="100"/>
      <c r="GY84" s="100"/>
      <c r="GZ84" s="100"/>
      <c r="HA84" s="100"/>
      <c r="HB84" s="100"/>
      <c r="HC84" s="100"/>
      <c r="HD84" s="100"/>
      <c r="HE84" s="100"/>
      <c r="HF84" s="100"/>
      <c r="HG84" s="100"/>
      <c r="HH84" s="100"/>
      <c r="HI84" s="100"/>
      <c r="HJ84" s="100"/>
      <c r="HK84" s="100"/>
      <c r="HL84" s="100"/>
      <c r="HM84" s="100"/>
      <c r="HN84" s="100"/>
      <c r="HO84" s="100"/>
      <c r="HP84" s="100"/>
      <c r="HQ84" s="100"/>
      <c r="HR84" s="100"/>
      <c r="HS84" s="100"/>
      <c r="HT84" s="100"/>
      <c r="HU84" s="100"/>
      <c r="HV84" s="100"/>
      <c r="HW84" s="100"/>
      <c r="HX84" s="100"/>
      <c r="HY84" s="100"/>
      <c r="HZ84" s="100"/>
      <c r="IA84" s="100"/>
      <c r="IB84" s="100"/>
      <c r="IC84" s="100"/>
      <c r="ID84" s="100"/>
      <c r="IE84" s="100"/>
      <c r="IF84" s="100"/>
      <c r="IG84" s="100"/>
      <c r="IH84" s="100"/>
      <c r="II84" s="100"/>
      <c r="IJ84" s="100"/>
      <c r="IK84" s="100"/>
      <c r="IL84" s="100"/>
      <c r="IM84" s="100"/>
      <c r="IN84" s="100"/>
      <c r="IO84" s="100"/>
      <c r="IP84" s="100"/>
      <c r="IQ84" s="100"/>
      <c r="IR84" s="100"/>
      <c r="IS84" s="100"/>
      <c r="IT84" s="100"/>
      <c r="IU84" s="100"/>
      <c r="IV84" s="100"/>
      <c r="IW84" s="100"/>
    </row>
    <row r="85" customFormat="false" ht="12.75" hidden="false" customHeight="true" outlineLevel="0" collapsed="false">
      <c r="A85" s="99" t="str">
        <f aca="false">'QTD Mgmt Summary'!A85</f>
        <v>Capital Charge Offset</v>
      </c>
      <c r="B85" s="33"/>
      <c r="C85" s="78" t="n">
        <v>0</v>
      </c>
      <c r="D85" s="226" t="n">
        <v>0</v>
      </c>
      <c r="E85" s="114" t="n">
        <v>0</v>
      </c>
      <c r="F85" s="302" t="n">
        <v>0</v>
      </c>
      <c r="G85" s="302" t="n">
        <v>0</v>
      </c>
      <c r="H85" s="184" t="n">
        <v>2883</v>
      </c>
      <c r="I85" s="204" t="n">
        <f aca="false">SUM(C85:H85)</f>
        <v>2883</v>
      </c>
      <c r="J85" s="302" t="n">
        <v>0</v>
      </c>
      <c r="K85" s="184" t="n">
        <f aca="false">I85-J85</f>
        <v>2883</v>
      </c>
    </row>
    <row r="86" customFormat="false" ht="12.75" hidden="false" customHeight="true" outlineLevel="0" collapsed="false">
      <c r="A86" s="101" t="s">
        <v>190</v>
      </c>
      <c r="B86" s="191"/>
      <c r="C86" s="223" t="n">
        <f aca="false">C65+C81+C82+C83+C84+C85</f>
        <v>85970</v>
      </c>
      <c r="D86" s="193" t="n">
        <f aca="false">D65+D81+D82+D83+D84+D85</f>
        <v>13839</v>
      </c>
      <c r="E86" s="193" t="n">
        <f aca="false">E65+E81+E82+E83+E84+E85</f>
        <v>3121</v>
      </c>
      <c r="F86" s="193" t="n">
        <f aca="false">F65+F81+F82+F83+F84+F85</f>
        <v>-502</v>
      </c>
      <c r="G86" s="193" t="n">
        <f aca="false">G65+G81+G82+G83+G84+G85</f>
        <v>2223</v>
      </c>
      <c r="H86" s="310" t="n">
        <f aca="false">H65+H81+H82+H83+H84+H85</f>
        <v>5414</v>
      </c>
      <c r="I86" s="223" t="n">
        <f aca="false">I65+I81+I82+I83+I84+I85</f>
        <v>110065</v>
      </c>
      <c r="J86" s="193" t="n">
        <f aca="false">J65+J81+J82+J83+J84+J85</f>
        <v>371015</v>
      </c>
      <c r="K86" s="310" t="n">
        <f aca="false">I86-J86</f>
        <v>-260950</v>
      </c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  <c r="AD86" s="98"/>
      <c r="AE86" s="98"/>
      <c r="AF86" s="98"/>
      <c r="AG86" s="98"/>
      <c r="AH86" s="98"/>
      <c r="AI86" s="98"/>
      <c r="AJ86" s="98"/>
      <c r="AK86" s="98"/>
      <c r="AL86" s="98"/>
      <c r="AM86" s="98"/>
      <c r="AN86" s="98"/>
      <c r="AO86" s="98"/>
      <c r="AP86" s="98"/>
      <c r="AQ86" s="98"/>
      <c r="AR86" s="98"/>
      <c r="AS86" s="98"/>
      <c r="AT86" s="98"/>
      <c r="AU86" s="98"/>
      <c r="AV86" s="98"/>
      <c r="AW86" s="98"/>
      <c r="AX86" s="98"/>
      <c r="AY86" s="98"/>
      <c r="AZ86" s="98"/>
      <c r="BA86" s="98"/>
      <c r="BB86" s="98"/>
      <c r="BC86" s="98"/>
      <c r="BD86" s="98"/>
      <c r="BE86" s="98"/>
      <c r="BF86" s="98"/>
      <c r="BG86" s="98"/>
      <c r="BH86" s="98"/>
      <c r="BI86" s="98"/>
      <c r="BJ86" s="98"/>
      <c r="BK86" s="98"/>
      <c r="BL86" s="98"/>
      <c r="BM86" s="98"/>
      <c r="BN86" s="98"/>
      <c r="BO86" s="98"/>
      <c r="BP86" s="98"/>
      <c r="BQ86" s="98"/>
      <c r="BR86" s="98"/>
      <c r="BS86" s="98"/>
      <c r="BT86" s="98"/>
      <c r="BU86" s="98"/>
      <c r="BV86" s="98"/>
      <c r="BW86" s="98"/>
      <c r="BX86" s="98"/>
      <c r="BY86" s="98"/>
      <c r="BZ86" s="98"/>
      <c r="CA86" s="98"/>
      <c r="CB86" s="98"/>
      <c r="CC86" s="98"/>
      <c r="CD86" s="98"/>
      <c r="CE86" s="98"/>
      <c r="CF86" s="98"/>
      <c r="CG86" s="98"/>
      <c r="CH86" s="98"/>
      <c r="CI86" s="98"/>
      <c r="CJ86" s="98"/>
      <c r="CK86" s="98"/>
      <c r="CL86" s="98"/>
      <c r="CM86" s="98"/>
      <c r="CN86" s="98"/>
      <c r="CO86" s="98"/>
      <c r="CP86" s="98"/>
      <c r="CQ86" s="98"/>
      <c r="CR86" s="98"/>
      <c r="CS86" s="98"/>
      <c r="CT86" s="98"/>
      <c r="CU86" s="98"/>
      <c r="CV86" s="98"/>
      <c r="CW86" s="98"/>
      <c r="CX86" s="98"/>
      <c r="CY86" s="98"/>
      <c r="CZ86" s="98"/>
      <c r="DA86" s="98"/>
      <c r="DB86" s="98"/>
      <c r="DC86" s="98"/>
      <c r="DD86" s="98"/>
      <c r="DE86" s="98"/>
      <c r="DF86" s="98"/>
      <c r="DG86" s="98"/>
      <c r="DH86" s="98"/>
      <c r="DI86" s="98"/>
      <c r="DJ86" s="98"/>
      <c r="DK86" s="98"/>
      <c r="DL86" s="98"/>
      <c r="DM86" s="98"/>
      <c r="DN86" s="98"/>
      <c r="DO86" s="98"/>
      <c r="DP86" s="98"/>
      <c r="DQ86" s="98"/>
      <c r="DR86" s="98"/>
      <c r="DS86" s="98"/>
      <c r="DT86" s="98"/>
      <c r="DU86" s="98"/>
      <c r="DV86" s="98"/>
      <c r="DW86" s="98"/>
      <c r="DX86" s="98"/>
      <c r="DY86" s="98"/>
      <c r="DZ86" s="98"/>
      <c r="EA86" s="98"/>
      <c r="EB86" s="98"/>
      <c r="EC86" s="98"/>
      <c r="ED86" s="98"/>
      <c r="EE86" s="98"/>
      <c r="EF86" s="98"/>
      <c r="EG86" s="98"/>
      <c r="EH86" s="98"/>
      <c r="EI86" s="98"/>
      <c r="EJ86" s="98"/>
      <c r="EK86" s="98"/>
      <c r="EL86" s="98"/>
      <c r="EM86" s="98"/>
      <c r="EN86" s="98"/>
      <c r="EO86" s="98"/>
      <c r="EP86" s="98"/>
      <c r="EQ86" s="98"/>
      <c r="ER86" s="98"/>
      <c r="ES86" s="98"/>
      <c r="ET86" s="98"/>
      <c r="EU86" s="98"/>
      <c r="EV86" s="98"/>
      <c r="EW86" s="98"/>
      <c r="EX86" s="98"/>
      <c r="EY86" s="98"/>
      <c r="EZ86" s="98"/>
      <c r="FA86" s="98"/>
      <c r="FB86" s="98"/>
      <c r="FC86" s="98"/>
      <c r="FD86" s="98"/>
      <c r="FE86" s="98"/>
      <c r="FF86" s="98"/>
      <c r="FG86" s="98"/>
      <c r="FH86" s="98"/>
      <c r="FI86" s="98"/>
      <c r="FJ86" s="98"/>
      <c r="FK86" s="98"/>
      <c r="FL86" s="98"/>
      <c r="FM86" s="98"/>
      <c r="FN86" s="98"/>
      <c r="FO86" s="98"/>
      <c r="FP86" s="98"/>
      <c r="FQ86" s="98"/>
      <c r="FR86" s="98"/>
      <c r="FS86" s="98"/>
      <c r="FT86" s="98"/>
      <c r="FU86" s="98"/>
      <c r="FV86" s="98"/>
      <c r="FW86" s="98"/>
      <c r="FX86" s="98"/>
      <c r="FY86" s="98"/>
      <c r="FZ86" s="98"/>
      <c r="GA86" s="98"/>
      <c r="GB86" s="98"/>
      <c r="GC86" s="98"/>
      <c r="GD86" s="98"/>
      <c r="GE86" s="98"/>
      <c r="GF86" s="98"/>
      <c r="GG86" s="98"/>
      <c r="GH86" s="98"/>
      <c r="GI86" s="98"/>
      <c r="GJ86" s="98"/>
      <c r="GK86" s="98"/>
      <c r="GL86" s="98"/>
      <c r="GM86" s="98"/>
      <c r="GN86" s="98"/>
      <c r="GO86" s="98"/>
      <c r="GP86" s="98"/>
      <c r="GQ86" s="98"/>
      <c r="GR86" s="98"/>
      <c r="GS86" s="98"/>
      <c r="GT86" s="98"/>
      <c r="GU86" s="98"/>
      <c r="GV86" s="98"/>
      <c r="GW86" s="98"/>
      <c r="GX86" s="98"/>
      <c r="GY86" s="98"/>
      <c r="GZ86" s="98"/>
      <c r="HA86" s="98"/>
      <c r="HB86" s="98"/>
      <c r="HC86" s="98"/>
      <c r="HD86" s="98"/>
      <c r="HE86" s="98"/>
      <c r="HF86" s="98"/>
      <c r="HG86" s="98"/>
      <c r="HH86" s="98"/>
      <c r="HI86" s="98"/>
      <c r="HJ86" s="98"/>
      <c r="HK86" s="98"/>
      <c r="HL86" s="98"/>
      <c r="HM86" s="98"/>
      <c r="HN86" s="98"/>
      <c r="HO86" s="98"/>
      <c r="HP86" s="98"/>
      <c r="HQ86" s="98"/>
      <c r="HR86" s="98"/>
      <c r="HS86" s="98"/>
      <c r="HT86" s="98"/>
      <c r="HU86" s="98"/>
      <c r="HV86" s="98"/>
      <c r="HW86" s="98"/>
      <c r="HX86" s="98"/>
      <c r="HY86" s="98"/>
      <c r="HZ86" s="98"/>
      <c r="IA86" s="98"/>
      <c r="IB86" s="98"/>
      <c r="IC86" s="98"/>
      <c r="ID86" s="98"/>
      <c r="IE86" s="98"/>
      <c r="IF86" s="98"/>
      <c r="IG86" s="98"/>
      <c r="IH86" s="98"/>
      <c r="II86" s="98"/>
      <c r="IJ86" s="98"/>
      <c r="IK86" s="98"/>
      <c r="IL86" s="98"/>
      <c r="IM86" s="98"/>
      <c r="IN86" s="98"/>
      <c r="IO86" s="98"/>
      <c r="IP86" s="98"/>
      <c r="IQ86" s="98"/>
      <c r="IR86" s="98"/>
      <c r="IS86" s="98"/>
      <c r="IT86" s="98"/>
      <c r="IU86" s="98"/>
      <c r="IV86" s="98"/>
      <c r="IW86" s="98"/>
    </row>
    <row r="87" customFormat="false" ht="3" hidden="false" customHeight="true" outlineLevel="0" collapsed="false">
      <c r="A87" s="112"/>
      <c r="C87" s="113"/>
      <c r="D87" s="114"/>
      <c r="E87" s="112"/>
    </row>
    <row r="89" customFormat="false" ht="12.75" hidden="false" customHeight="false" outlineLevel="0" collapsed="false">
      <c r="A89" s="1" t="s">
        <v>173</v>
      </c>
    </row>
  </sheetData>
  <mergeCells count="5">
    <mergeCell ref="A2:K2"/>
    <mergeCell ref="A3:K3"/>
    <mergeCell ref="A4:K4"/>
    <mergeCell ref="C6:H7"/>
    <mergeCell ref="I6:K6"/>
  </mergeCells>
  <printOptions headings="false" gridLines="false" gridLinesSet="true" horizontalCentered="true" verticalCentered="false"/>
  <pageMargins left="0.25" right="0.25" top="0.2" bottom="0.179861111111111" header="0.511811023622047" footer="0.179861111111111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&amp;L&amp;D&amp;T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8" activeCellId="0" sqref="A9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84"/>
    <col collapsed="false" customWidth="true" hidden="false" outlineLevel="0" max="2" min="2" style="0" width="2.42"/>
    <col collapsed="false" customWidth="true" hidden="false" outlineLevel="0" max="6" min="6" style="0" width="2.28"/>
    <col collapsed="false" customWidth="true" hidden="false" outlineLevel="0" max="7" min="7" style="0" width="17.7"/>
    <col collapsed="false" customWidth="true" hidden="false" outlineLevel="0" max="8" min="8" style="0" width="15.13"/>
    <col collapsed="false" customWidth="true" hidden="false" outlineLevel="0" max="10" min="9" style="0" width="14.14"/>
  </cols>
  <sheetData>
    <row r="1" customFormat="false" ht="15.75" hidden="false" customHeight="false" outlineLevel="0" collapsed="false">
      <c r="A1" s="313" t="s">
        <v>174</v>
      </c>
      <c r="B1" s="313"/>
      <c r="C1" s="313"/>
      <c r="D1" s="313"/>
      <c r="E1" s="313"/>
      <c r="F1" s="313"/>
      <c r="G1" s="313"/>
      <c r="H1" s="313"/>
      <c r="I1" s="313"/>
      <c r="J1" s="313"/>
    </row>
    <row r="2" customFormat="false" ht="15" hidden="false" customHeight="false" outlineLevel="0" collapsed="false">
      <c r="A2" s="314" t="s">
        <v>191</v>
      </c>
      <c r="B2" s="314"/>
      <c r="C2" s="314"/>
      <c r="D2" s="314"/>
      <c r="E2" s="314"/>
      <c r="F2" s="314"/>
      <c r="G2" s="314"/>
      <c r="H2" s="314"/>
      <c r="I2" s="314"/>
      <c r="J2" s="314"/>
    </row>
    <row r="3" customFormat="false" ht="12.75" hidden="false" customHeight="false" outlineLevel="0" collapsed="false">
      <c r="A3" s="315" t="e">
        <f aca="false">#REF!</f>
        <v>#REF!</v>
      </c>
      <c r="B3" s="315"/>
      <c r="C3" s="315"/>
      <c r="D3" s="315"/>
      <c r="E3" s="315"/>
      <c r="F3" s="315"/>
      <c r="G3" s="315"/>
      <c r="H3" s="315"/>
      <c r="I3" s="315"/>
      <c r="J3" s="315"/>
    </row>
    <row r="5" customFormat="false" ht="12.75" hidden="false" customHeight="false" outlineLevel="0" collapsed="false">
      <c r="A5" s="316"/>
      <c r="C5" s="317" t="s">
        <v>192</v>
      </c>
      <c r="D5" s="317"/>
      <c r="E5" s="317"/>
      <c r="F5" s="318"/>
      <c r="G5" s="319"/>
      <c r="H5" s="320"/>
      <c r="I5" s="320"/>
      <c r="J5" s="321"/>
    </row>
    <row r="6" customFormat="false" ht="12.75" hidden="false" customHeight="false" outlineLevel="0" collapsed="false">
      <c r="A6" s="322" t="s">
        <v>7</v>
      </c>
      <c r="C6" s="323" t="s">
        <v>11</v>
      </c>
      <c r="D6" s="324" t="s">
        <v>9</v>
      </c>
      <c r="E6" s="325" t="s">
        <v>10</v>
      </c>
      <c r="F6" s="318"/>
      <c r="G6" s="322" t="s">
        <v>193</v>
      </c>
      <c r="H6" s="322"/>
      <c r="I6" s="322"/>
      <c r="J6" s="322"/>
    </row>
    <row r="7" customFormat="false" ht="6" hidden="false" customHeight="true" outlineLevel="0" collapsed="false">
      <c r="A7" s="326"/>
      <c r="C7" s="327"/>
      <c r="D7" s="328"/>
      <c r="E7" s="329"/>
      <c r="G7" s="330"/>
      <c r="H7" s="331"/>
      <c r="I7" s="331"/>
      <c r="J7" s="332"/>
    </row>
    <row r="8" customFormat="false" ht="13.5" hidden="false" customHeight="false" outlineLevel="0" collapsed="false">
      <c r="A8" s="333" t="s">
        <v>12</v>
      </c>
      <c r="C8" s="334" t="n">
        <v>0</v>
      </c>
      <c r="D8" s="335" t="e">
        <f aca="false">(ROUND(('[3]'!H8/4),0))</f>
        <v>#N/A</v>
      </c>
      <c r="E8" s="336" t="e">
        <f aca="false">C8-D8</f>
        <v>#N/A</v>
      </c>
      <c r="G8" s="327"/>
      <c r="H8" s="328"/>
      <c r="I8" s="328"/>
      <c r="J8" s="329"/>
    </row>
    <row r="9" customFormat="false" ht="13.5" hidden="false" customHeight="false" outlineLevel="0" collapsed="false">
      <c r="A9" s="333" t="s">
        <v>13</v>
      </c>
      <c r="C9" s="334" t="n">
        <v>0</v>
      </c>
      <c r="D9" s="335" t="e">
        <f aca="false">(ROUND(('[3]'!H9/4),0))</f>
        <v>#N/A</v>
      </c>
      <c r="E9" s="336" t="e">
        <f aca="false">C9-D9</f>
        <v>#N/A</v>
      </c>
      <c r="G9" s="327"/>
      <c r="H9" s="328"/>
      <c r="I9" s="328"/>
      <c r="J9" s="329"/>
    </row>
    <row r="10" customFormat="false" ht="13.5" hidden="false" customHeight="false" outlineLevel="0" collapsed="false">
      <c r="A10" s="333" t="s">
        <v>14</v>
      </c>
      <c r="C10" s="334" t="n">
        <v>0</v>
      </c>
      <c r="D10" s="335" t="e">
        <f aca="false">(ROUND(('[3]'!H10/4),0))</f>
        <v>#N/A</v>
      </c>
      <c r="E10" s="336" t="e">
        <f aca="false">C10-D10</f>
        <v>#N/A</v>
      </c>
      <c r="G10" s="327"/>
      <c r="H10" s="328"/>
      <c r="I10" s="328"/>
      <c r="J10" s="329"/>
    </row>
    <row r="11" customFormat="false" ht="13.5" hidden="false" customHeight="false" outlineLevel="0" collapsed="false">
      <c r="A11" s="333" t="s">
        <v>15</v>
      </c>
      <c r="C11" s="334" t="n">
        <v>0</v>
      </c>
      <c r="D11" s="335" t="e">
        <f aca="false">(ROUND(('[3]'!H11/4),0))</f>
        <v>#N/A</v>
      </c>
      <c r="E11" s="336" t="e">
        <f aca="false">C11-D11</f>
        <v>#N/A</v>
      </c>
      <c r="G11" s="327"/>
      <c r="H11" s="328"/>
      <c r="I11" s="328"/>
      <c r="J11" s="329"/>
    </row>
    <row r="12" customFormat="false" ht="13.5" hidden="false" customHeight="false" outlineLevel="0" collapsed="false">
      <c r="A12" s="333" t="s">
        <v>16</v>
      </c>
      <c r="C12" s="334" t="n">
        <v>0</v>
      </c>
      <c r="D12" s="335" t="e">
        <f aca="false">(ROUND(('[3]'!H12/4),0))</f>
        <v>#N/A</v>
      </c>
      <c r="E12" s="336" t="e">
        <f aca="false">C12-D12</f>
        <v>#N/A</v>
      </c>
      <c r="G12" s="327"/>
      <c r="H12" s="328"/>
      <c r="I12" s="328"/>
      <c r="J12" s="329"/>
    </row>
    <row r="13" customFormat="false" ht="13.5" hidden="false" customHeight="false" outlineLevel="0" collapsed="false">
      <c r="A13" s="333" t="s">
        <v>17</v>
      </c>
      <c r="C13" s="334" t="n">
        <v>0</v>
      </c>
      <c r="D13" s="335" t="e">
        <f aca="false">(ROUND(('[3]'!H13/4),0))</f>
        <v>#N/A</v>
      </c>
      <c r="E13" s="336" t="e">
        <f aca="false">C13-D13</f>
        <v>#N/A</v>
      </c>
      <c r="G13" s="327"/>
      <c r="H13" s="328"/>
      <c r="I13" s="328"/>
      <c r="J13" s="329"/>
    </row>
    <row r="14" customFormat="false" ht="13.5" hidden="false" customHeight="false" outlineLevel="0" collapsed="false">
      <c r="A14" s="333" t="s">
        <v>18</v>
      </c>
      <c r="C14" s="334" t="n">
        <v>0</v>
      </c>
      <c r="D14" s="335" t="e">
        <f aca="false">(ROUND(('[3]'!H14/4),0))</f>
        <v>#N/A</v>
      </c>
      <c r="E14" s="336" t="e">
        <f aca="false">C14-D14</f>
        <v>#N/A</v>
      </c>
      <c r="G14" s="327"/>
      <c r="H14" s="328"/>
      <c r="I14" s="328"/>
      <c r="J14" s="329"/>
    </row>
    <row r="15" customFormat="false" ht="13.5" hidden="false" customHeight="false" outlineLevel="0" collapsed="false">
      <c r="A15" s="333" t="s">
        <v>19</v>
      </c>
      <c r="C15" s="334" t="n">
        <v>0</v>
      </c>
      <c r="D15" s="335" t="e">
        <f aca="false">(ROUND(('[3]'!H15/4),0))</f>
        <v>#N/A</v>
      </c>
      <c r="E15" s="336" t="e">
        <f aca="false">C15-D15</f>
        <v>#N/A</v>
      </c>
      <c r="G15" s="327"/>
      <c r="H15" s="328"/>
      <c r="I15" s="328"/>
      <c r="J15" s="329"/>
    </row>
    <row r="16" customFormat="false" ht="13.5" hidden="false" customHeight="false" outlineLevel="0" collapsed="false">
      <c r="A16" s="333" t="s">
        <v>20</v>
      </c>
      <c r="C16" s="334" t="n">
        <v>0</v>
      </c>
      <c r="D16" s="335" t="e">
        <f aca="false">(ROUND(('[3]'!H16/4),0))</f>
        <v>#N/A</v>
      </c>
      <c r="E16" s="336" t="e">
        <f aca="false">C16-D16</f>
        <v>#N/A</v>
      </c>
      <c r="G16" s="327"/>
      <c r="H16" s="328"/>
      <c r="I16" s="328"/>
      <c r="J16" s="329"/>
    </row>
    <row r="17" customFormat="false" ht="13.5" hidden="false" customHeight="false" outlineLevel="0" collapsed="false">
      <c r="A17" s="337" t="s">
        <v>21</v>
      </c>
      <c r="B17" s="338"/>
      <c r="C17" s="339" t="n">
        <f aca="false">SUM(C8:C16)</f>
        <v>0</v>
      </c>
      <c r="D17" s="340" t="e">
        <f aca="false">SUM(D8:D16)</f>
        <v>#N/A</v>
      </c>
      <c r="E17" s="341" t="e">
        <f aca="false">SUM(E8:E16)</f>
        <v>#N/A</v>
      </c>
      <c r="F17" s="338"/>
      <c r="G17" s="342"/>
      <c r="H17" s="343"/>
      <c r="I17" s="343"/>
      <c r="J17" s="344"/>
    </row>
    <row r="18" customFormat="false" ht="6.75" hidden="false" customHeight="true" outlineLevel="0" collapsed="false">
      <c r="A18" s="333"/>
      <c r="C18" s="334"/>
      <c r="D18" s="335"/>
      <c r="E18" s="336"/>
      <c r="G18" s="327"/>
      <c r="H18" s="328"/>
      <c r="I18" s="328"/>
      <c r="J18" s="329"/>
    </row>
    <row r="19" customFormat="false" ht="13.5" hidden="false" customHeight="false" outlineLevel="0" collapsed="false">
      <c r="A19" s="333" t="s">
        <v>22</v>
      </c>
      <c r="C19" s="334" t="n">
        <v>0</v>
      </c>
      <c r="D19" s="335" t="e">
        <f aca="false">(ROUND(('[3]'!H19/4),0))</f>
        <v>#N/A</v>
      </c>
      <c r="E19" s="336" t="e">
        <f aca="false">C19-D19</f>
        <v>#N/A</v>
      </c>
      <c r="G19" s="327"/>
      <c r="H19" s="328"/>
      <c r="I19" s="328"/>
      <c r="J19" s="329"/>
    </row>
    <row r="20" customFormat="false" ht="13.5" hidden="false" customHeight="false" outlineLevel="0" collapsed="false">
      <c r="A20" s="333" t="s">
        <v>23</v>
      </c>
      <c r="C20" s="334" t="n">
        <v>0</v>
      </c>
      <c r="D20" s="335" t="e">
        <f aca="false">(ROUND(('[3]'!H20/4),0))</f>
        <v>#N/A</v>
      </c>
      <c r="E20" s="336" t="e">
        <f aca="false">C20-D20</f>
        <v>#N/A</v>
      </c>
      <c r="G20" s="327"/>
      <c r="H20" s="328"/>
      <c r="I20" s="328"/>
      <c r="J20" s="329"/>
    </row>
    <row r="21" customFormat="false" ht="13.5" hidden="false" customHeight="false" outlineLevel="0" collapsed="false">
      <c r="A21" s="333" t="s">
        <v>24</v>
      </c>
      <c r="C21" s="334" t="n">
        <v>0</v>
      </c>
      <c r="D21" s="335" t="e">
        <f aca="false">(ROUND(('[3]'!H21/4),0))</f>
        <v>#N/A</v>
      </c>
      <c r="E21" s="336" t="e">
        <f aca="false">C21-D21</f>
        <v>#N/A</v>
      </c>
      <c r="G21" s="327"/>
      <c r="H21" s="328"/>
      <c r="I21" s="328"/>
      <c r="J21" s="329"/>
    </row>
    <row r="22" customFormat="false" ht="13.5" hidden="false" customHeight="false" outlineLevel="0" collapsed="false">
      <c r="A22" s="333" t="s">
        <v>25</v>
      </c>
      <c r="C22" s="334" t="n">
        <v>0</v>
      </c>
      <c r="D22" s="335" t="e">
        <f aca="false">(ROUND(('[3]'!H22/4),0))</f>
        <v>#N/A</v>
      </c>
      <c r="E22" s="336" t="e">
        <f aca="false">C22-D22</f>
        <v>#N/A</v>
      </c>
      <c r="G22" s="327"/>
      <c r="H22" s="328"/>
      <c r="I22" s="328"/>
      <c r="J22" s="329"/>
    </row>
    <row r="23" customFormat="false" ht="13.5" hidden="false" customHeight="false" outlineLevel="0" collapsed="false">
      <c r="A23" s="333" t="s">
        <v>26</v>
      </c>
      <c r="C23" s="334" t="n">
        <v>0</v>
      </c>
      <c r="D23" s="335" t="e">
        <f aca="false">(ROUND(('[3]'!H23/4),0))</f>
        <v>#N/A</v>
      </c>
      <c r="E23" s="336" t="e">
        <f aca="false">C23-D23</f>
        <v>#N/A</v>
      </c>
      <c r="G23" s="327"/>
      <c r="H23" s="328"/>
      <c r="I23" s="328"/>
      <c r="J23" s="329"/>
    </row>
    <row r="24" customFormat="false" ht="13.5" hidden="false" customHeight="false" outlineLevel="0" collapsed="false">
      <c r="A24" s="333" t="s">
        <v>27</v>
      </c>
      <c r="C24" s="334" t="n">
        <v>0</v>
      </c>
      <c r="D24" s="335" t="e">
        <f aca="false">(ROUND(('[3]'!H24/4),0))</f>
        <v>#N/A</v>
      </c>
      <c r="E24" s="336" t="e">
        <f aca="false">C24-D24</f>
        <v>#N/A</v>
      </c>
      <c r="G24" s="327"/>
      <c r="H24" s="328"/>
      <c r="I24" s="328"/>
      <c r="J24" s="329"/>
    </row>
    <row r="25" customFormat="false" ht="13.5" hidden="false" customHeight="false" outlineLevel="0" collapsed="false">
      <c r="A25" s="337" t="s">
        <v>28</v>
      </c>
      <c r="B25" s="338"/>
      <c r="C25" s="339" t="n">
        <f aca="false">SUM(C19:C24)</f>
        <v>0</v>
      </c>
      <c r="D25" s="340" t="e">
        <f aca="false">SUM(D19:D24)</f>
        <v>#N/A</v>
      </c>
      <c r="E25" s="341" t="e">
        <f aca="false">SUM(E19:E24)</f>
        <v>#N/A</v>
      </c>
      <c r="F25" s="338"/>
      <c r="G25" s="342"/>
      <c r="H25" s="343"/>
      <c r="I25" s="343"/>
      <c r="J25" s="344"/>
    </row>
    <row r="26" customFormat="false" ht="8.25" hidden="false" customHeight="true" outlineLevel="0" collapsed="false">
      <c r="A26" s="333"/>
      <c r="C26" s="334"/>
      <c r="D26" s="335"/>
      <c r="E26" s="336"/>
      <c r="G26" s="327"/>
      <c r="H26" s="328"/>
      <c r="I26" s="328"/>
      <c r="J26" s="329"/>
    </row>
    <row r="27" customFormat="false" ht="13.5" hidden="false" customHeight="false" outlineLevel="0" collapsed="false">
      <c r="A27" s="333" t="s">
        <v>29</v>
      </c>
      <c r="C27" s="334" t="n">
        <v>0</v>
      </c>
      <c r="D27" s="335" t="e">
        <f aca="false">(ROUND(('[3]'!H27/4),0))</f>
        <v>#N/A</v>
      </c>
      <c r="E27" s="336" t="e">
        <f aca="false">C27-D27</f>
        <v>#N/A</v>
      </c>
      <c r="G27" s="327"/>
      <c r="H27" s="328"/>
      <c r="I27" s="328"/>
      <c r="J27" s="329"/>
    </row>
    <row r="28" customFormat="false" ht="13.5" hidden="false" customHeight="false" outlineLevel="0" collapsed="false">
      <c r="A28" s="333" t="s">
        <v>30</v>
      </c>
      <c r="C28" s="334" t="n">
        <v>0</v>
      </c>
      <c r="D28" s="335" t="e">
        <f aca="false">(ROUND(('[3]'!H28/4),0))</f>
        <v>#N/A</v>
      </c>
      <c r="E28" s="336" t="e">
        <f aca="false">C28-D28</f>
        <v>#N/A</v>
      </c>
      <c r="G28" s="327"/>
      <c r="H28" s="328"/>
      <c r="I28" s="328"/>
      <c r="J28" s="329"/>
    </row>
    <row r="29" customFormat="false" ht="13.5" hidden="false" customHeight="false" outlineLevel="0" collapsed="false">
      <c r="A29" s="333" t="s">
        <v>31</v>
      </c>
      <c r="C29" s="334" t="n">
        <v>0</v>
      </c>
      <c r="D29" s="335" t="e">
        <f aca="false">(ROUND(('[3]'!H29/4),0))</f>
        <v>#N/A</v>
      </c>
      <c r="E29" s="336" t="e">
        <f aca="false">C29-D29</f>
        <v>#N/A</v>
      </c>
      <c r="G29" s="327"/>
      <c r="H29" s="328"/>
      <c r="I29" s="328"/>
      <c r="J29" s="329"/>
    </row>
    <row r="30" customFormat="false" ht="13.5" hidden="false" customHeight="false" outlineLevel="0" collapsed="false">
      <c r="A30" s="333" t="s">
        <v>32</v>
      </c>
      <c r="C30" s="334" t="n">
        <v>0</v>
      </c>
      <c r="D30" s="335" t="e">
        <f aca="false">(ROUND(('[3]'!H30/4),0))</f>
        <v>#N/A</v>
      </c>
      <c r="E30" s="336" t="e">
        <f aca="false">C30-D30</f>
        <v>#N/A</v>
      </c>
      <c r="G30" s="327"/>
      <c r="H30" s="328"/>
      <c r="I30" s="328"/>
      <c r="J30" s="329"/>
    </row>
    <row r="31" customFormat="false" ht="13.5" hidden="false" customHeight="false" outlineLevel="0" collapsed="false">
      <c r="A31" s="333" t="s">
        <v>33</v>
      </c>
      <c r="C31" s="334" t="n">
        <v>0</v>
      </c>
      <c r="D31" s="335" t="e">
        <f aca="false">(ROUND(('[3]'!H31/4),0))</f>
        <v>#N/A</v>
      </c>
      <c r="E31" s="336" t="e">
        <f aca="false">C31-D31</f>
        <v>#N/A</v>
      </c>
      <c r="G31" s="327"/>
      <c r="H31" s="328"/>
      <c r="I31" s="328"/>
      <c r="J31" s="329"/>
    </row>
    <row r="32" customFormat="false" ht="13.5" hidden="false" customHeight="false" outlineLevel="0" collapsed="false">
      <c r="A32" s="333" t="s">
        <v>34</v>
      </c>
      <c r="C32" s="334" t="n">
        <v>0</v>
      </c>
      <c r="D32" s="335" t="e">
        <f aca="false">(ROUND(('[3]'!H32/4),0))</f>
        <v>#N/A</v>
      </c>
      <c r="E32" s="336" t="e">
        <f aca="false">C32-D32</f>
        <v>#N/A</v>
      </c>
      <c r="G32" s="327"/>
      <c r="H32" s="328"/>
      <c r="I32" s="328"/>
      <c r="J32" s="329"/>
    </row>
    <row r="33" customFormat="false" ht="13.5" hidden="false" customHeight="false" outlineLevel="0" collapsed="false">
      <c r="A33" s="333" t="s">
        <v>35</v>
      </c>
      <c r="C33" s="334" t="n">
        <v>0</v>
      </c>
      <c r="D33" s="335" t="e">
        <f aca="false">(ROUND(('[3]'!H33/4),0))</f>
        <v>#N/A</v>
      </c>
      <c r="E33" s="336" t="e">
        <f aca="false">C33-D33</f>
        <v>#N/A</v>
      </c>
      <c r="G33" s="327"/>
      <c r="H33" s="328"/>
      <c r="I33" s="328"/>
      <c r="J33" s="329"/>
    </row>
    <row r="34" customFormat="false" ht="13.5" hidden="false" customHeight="false" outlineLevel="0" collapsed="false">
      <c r="A34" s="333" t="s">
        <v>36</v>
      </c>
      <c r="C34" s="334" t="n">
        <v>0</v>
      </c>
      <c r="D34" s="335" t="e">
        <f aca="false">(ROUND(('[3]'!H34/4),0))</f>
        <v>#N/A</v>
      </c>
      <c r="E34" s="336" t="e">
        <f aca="false">C34-D34</f>
        <v>#N/A</v>
      </c>
      <c r="G34" s="327"/>
      <c r="H34" s="328"/>
      <c r="I34" s="328"/>
      <c r="J34" s="329"/>
    </row>
    <row r="35" customFormat="false" ht="13.5" hidden="false" customHeight="false" outlineLevel="0" collapsed="false">
      <c r="A35" s="333" t="s">
        <v>37</v>
      </c>
      <c r="C35" s="334"/>
      <c r="D35" s="335" t="e">
        <f aca="false">(ROUND(('[3]'!H35/4),0))</f>
        <v>#N/A</v>
      </c>
      <c r="E35" s="336"/>
      <c r="G35" s="327"/>
      <c r="H35" s="328"/>
      <c r="I35" s="328"/>
      <c r="J35" s="329"/>
    </row>
    <row r="36" customFormat="false" ht="13.5" hidden="false" customHeight="false" outlineLevel="0" collapsed="false">
      <c r="A36" s="337" t="s">
        <v>38</v>
      </c>
      <c r="B36" s="338"/>
      <c r="C36" s="339" t="n">
        <f aca="false">SUM(C27:C34)</f>
        <v>0</v>
      </c>
      <c r="D36" s="340" t="e">
        <f aca="false">SUM(D27:D34)</f>
        <v>#N/A</v>
      </c>
      <c r="E36" s="341" t="e">
        <f aca="false">SUM(E27:E34)</f>
        <v>#N/A</v>
      </c>
      <c r="F36" s="338"/>
      <c r="G36" s="342"/>
      <c r="H36" s="343"/>
      <c r="I36" s="343"/>
      <c r="J36" s="344"/>
    </row>
    <row r="37" customFormat="false" ht="9" hidden="false" customHeight="true" outlineLevel="0" collapsed="false">
      <c r="A37" s="333"/>
      <c r="C37" s="334"/>
      <c r="D37" s="335"/>
      <c r="E37" s="336"/>
      <c r="G37" s="327"/>
      <c r="H37" s="328"/>
      <c r="I37" s="328"/>
      <c r="J37" s="329"/>
    </row>
    <row r="38" customFormat="false" ht="13.5" hidden="false" customHeight="false" outlineLevel="0" collapsed="false">
      <c r="A38" s="333" t="s">
        <v>39</v>
      </c>
      <c r="C38" s="334" t="n">
        <v>0</v>
      </c>
      <c r="D38" s="335" t="e">
        <f aca="false">(ROUND(('[3]'!H38/4),0))</f>
        <v>#N/A</v>
      </c>
      <c r="E38" s="336" t="e">
        <f aca="false">C38-D38</f>
        <v>#N/A</v>
      </c>
      <c r="G38" s="327"/>
      <c r="H38" s="328"/>
      <c r="I38" s="328"/>
      <c r="J38" s="329"/>
    </row>
    <row r="39" customFormat="false" ht="13.5" hidden="false" customHeight="false" outlineLevel="0" collapsed="false">
      <c r="A39" s="333" t="s">
        <v>40</v>
      </c>
      <c r="C39" s="334" t="n">
        <v>0</v>
      </c>
      <c r="D39" s="335" t="e">
        <f aca="false">(ROUND(('[3]'!H39/4),0))</f>
        <v>#N/A</v>
      </c>
      <c r="E39" s="336" t="e">
        <f aca="false">C39-D39</f>
        <v>#N/A</v>
      </c>
      <c r="G39" s="327"/>
      <c r="H39" s="328"/>
      <c r="I39" s="328"/>
      <c r="J39" s="329"/>
    </row>
    <row r="40" customFormat="false" ht="13.5" hidden="false" customHeight="false" outlineLevel="0" collapsed="false">
      <c r="A40" s="333" t="s">
        <v>41</v>
      </c>
      <c r="C40" s="334" t="n">
        <v>0</v>
      </c>
      <c r="D40" s="335" t="e">
        <f aca="false">(ROUND(('[3]'!H40/4),0))</f>
        <v>#N/A</v>
      </c>
      <c r="E40" s="336" t="e">
        <f aca="false">C40-D40</f>
        <v>#N/A</v>
      </c>
      <c r="G40" s="327"/>
      <c r="H40" s="328"/>
      <c r="I40" s="328"/>
      <c r="J40" s="329"/>
    </row>
    <row r="41" customFormat="false" ht="13.5" hidden="false" customHeight="false" outlineLevel="0" collapsed="false">
      <c r="A41" s="333" t="s">
        <v>42</v>
      </c>
      <c r="C41" s="334" t="n">
        <v>0</v>
      </c>
      <c r="D41" s="335" t="e">
        <f aca="false">(ROUND(('[3]'!H41/4),0))</f>
        <v>#N/A</v>
      </c>
      <c r="E41" s="336" t="e">
        <f aca="false">C41-D41</f>
        <v>#N/A</v>
      </c>
      <c r="G41" s="327"/>
      <c r="H41" s="328"/>
      <c r="I41" s="328"/>
      <c r="J41" s="329"/>
    </row>
    <row r="42" customFormat="false" ht="13.5" hidden="false" customHeight="false" outlineLevel="0" collapsed="false">
      <c r="A42" s="333" t="s">
        <v>43</v>
      </c>
      <c r="C42" s="334" t="n">
        <v>0</v>
      </c>
      <c r="D42" s="335" t="e">
        <f aca="false">(ROUND(('[3]'!H42/4),0))</f>
        <v>#N/A</v>
      </c>
      <c r="E42" s="336" t="e">
        <f aca="false">C42-D42</f>
        <v>#N/A</v>
      </c>
      <c r="G42" s="327"/>
      <c r="H42" s="328"/>
      <c r="I42" s="328"/>
      <c r="J42" s="329"/>
    </row>
    <row r="43" customFormat="false" ht="13.5" hidden="false" customHeight="false" outlineLevel="0" collapsed="false">
      <c r="A43" s="333" t="s">
        <v>44</v>
      </c>
      <c r="C43" s="334" t="n">
        <v>0</v>
      </c>
      <c r="D43" s="335" t="e">
        <f aca="false">(ROUND(('[3]'!H43/4),0))</f>
        <v>#N/A</v>
      </c>
      <c r="E43" s="336" t="e">
        <f aca="false">C43-D43</f>
        <v>#N/A</v>
      </c>
      <c r="G43" s="327"/>
      <c r="H43" s="328"/>
      <c r="I43" s="328"/>
      <c r="J43" s="329"/>
    </row>
    <row r="44" customFormat="false" ht="13.5" hidden="false" customHeight="false" outlineLevel="0" collapsed="false">
      <c r="A44" s="337" t="s">
        <v>45</v>
      </c>
      <c r="B44" s="338"/>
      <c r="C44" s="339" t="n">
        <f aca="false">SUM(C38:C43)</f>
        <v>0</v>
      </c>
      <c r="D44" s="340" t="e">
        <f aca="false">SUM(D38:D43)</f>
        <v>#N/A</v>
      </c>
      <c r="E44" s="341" t="e">
        <f aca="false">SUM(E38:E43)</f>
        <v>#N/A</v>
      </c>
      <c r="F44" s="338"/>
      <c r="G44" s="342"/>
      <c r="H44" s="343"/>
      <c r="I44" s="343"/>
      <c r="J44" s="344"/>
    </row>
    <row r="45" customFormat="false" ht="7.5" hidden="false" customHeight="true" outlineLevel="0" collapsed="false">
      <c r="A45" s="333"/>
      <c r="C45" s="334"/>
      <c r="D45" s="335"/>
      <c r="E45" s="336"/>
      <c r="G45" s="327"/>
      <c r="H45" s="328"/>
      <c r="I45" s="328"/>
      <c r="J45" s="329"/>
    </row>
    <row r="46" customFormat="false" ht="13.5" hidden="false" customHeight="false" outlineLevel="0" collapsed="false">
      <c r="A46" s="333" t="s">
        <v>46</v>
      </c>
      <c r="C46" s="334" t="n">
        <v>0</v>
      </c>
      <c r="D46" s="335" t="e">
        <f aca="false">(ROUND(('[3]'!H46/4),0))</f>
        <v>#N/A</v>
      </c>
      <c r="E46" s="336" t="e">
        <f aca="false">C46-D46</f>
        <v>#N/A</v>
      </c>
      <c r="G46" s="327"/>
      <c r="H46" s="328"/>
      <c r="I46" s="328"/>
      <c r="J46" s="329"/>
    </row>
    <row r="47" customFormat="false" ht="13.5" hidden="false" customHeight="false" outlineLevel="0" collapsed="false">
      <c r="A47" s="333" t="s">
        <v>47</v>
      </c>
      <c r="C47" s="334" t="n">
        <v>0</v>
      </c>
      <c r="D47" s="335" t="e">
        <f aca="false">(ROUND(('[3]'!H47/4),0))</f>
        <v>#N/A</v>
      </c>
      <c r="E47" s="336" t="e">
        <f aca="false">C47-D47</f>
        <v>#N/A</v>
      </c>
      <c r="G47" s="327"/>
      <c r="H47" s="328"/>
      <c r="I47" s="328"/>
      <c r="J47" s="329"/>
    </row>
    <row r="48" customFormat="false" ht="13.5" hidden="false" customHeight="false" outlineLevel="0" collapsed="false">
      <c r="A48" s="333" t="s">
        <v>48</v>
      </c>
      <c r="C48" s="334" t="n">
        <v>0</v>
      </c>
      <c r="D48" s="335" t="e">
        <f aca="false">(ROUND(('[3]'!H48/4),0))</f>
        <v>#N/A</v>
      </c>
      <c r="E48" s="336" t="e">
        <f aca="false">C48-D48</f>
        <v>#N/A</v>
      </c>
      <c r="G48" s="327"/>
      <c r="H48" s="328"/>
      <c r="I48" s="328"/>
      <c r="J48" s="329"/>
    </row>
    <row r="49" customFormat="false" ht="13.5" hidden="false" customHeight="false" outlineLevel="0" collapsed="false">
      <c r="A49" s="333" t="s">
        <v>49</v>
      </c>
      <c r="C49" s="334" t="n">
        <v>0</v>
      </c>
      <c r="D49" s="335" t="e">
        <f aca="false">(ROUND(('[3]'!H49/4),0))</f>
        <v>#N/A</v>
      </c>
      <c r="E49" s="336" t="e">
        <f aca="false">C49-D49</f>
        <v>#N/A</v>
      </c>
      <c r="G49" s="327"/>
      <c r="H49" s="328"/>
      <c r="I49" s="328"/>
      <c r="J49" s="329"/>
    </row>
    <row r="50" customFormat="false" ht="13.5" hidden="false" customHeight="false" outlineLevel="0" collapsed="false">
      <c r="A50" s="333" t="s">
        <v>50</v>
      </c>
      <c r="C50" s="334" t="n">
        <v>0</v>
      </c>
      <c r="D50" s="335" t="e">
        <f aca="false">(ROUND(('[3]'!H50/4),0))</f>
        <v>#N/A</v>
      </c>
      <c r="E50" s="336" t="e">
        <f aca="false">C50-D50</f>
        <v>#N/A</v>
      </c>
      <c r="G50" s="327"/>
      <c r="H50" s="328"/>
      <c r="I50" s="328"/>
      <c r="J50" s="329"/>
    </row>
    <row r="51" customFormat="false" ht="13.5" hidden="false" customHeight="false" outlineLevel="0" collapsed="false">
      <c r="A51" s="333" t="s">
        <v>51</v>
      </c>
      <c r="C51" s="334" t="n">
        <v>0</v>
      </c>
      <c r="D51" s="335" t="e">
        <f aca="false">(ROUND(('[3]'!H51/4),0))</f>
        <v>#N/A</v>
      </c>
      <c r="E51" s="336" t="e">
        <f aca="false">C51-D51</f>
        <v>#N/A</v>
      </c>
      <c r="G51" s="327"/>
      <c r="H51" s="328"/>
      <c r="I51" s="328"/>
      <c r="J51" s="329"/>
    </row>
    <row r="52" customFormat="false" ht="13.5" hidden="false" customHeight="false" outlineLevel="0" collapsed="false">
      <c r="A52" s="333" t="s">
        <v>52</v>
      </c>
      <c r="C52" s="334" t="n">
        <v>0</v>
      </c>
      <c r="D52" s="335" t="e">
        <f aca="false">(ROUND(('[3]'!H52/4),0))</f>
        <v>#N/A</v>
      </c>
      <c r="E52" s="336" t="e">
        <f aca="false">C52-D52</f>
        <v>#N/A</v>
      </c>
      <c r="G52" s="327"/>
      <c r="H52" s="328"/>
      <c r="I52" s="328"/>
      <c r="J52" s="329"/>
    </row>
    <row r="53" customFormat="false" ht="13.5" hidden="false" customHeight="false" outlineLevel="0" collapsed="false">
      <c r="A53" s="333" t="s">
        <v>53</v>
      </c>
      <c r="C53" s="334" t="n">
        <v>0</v>
      </c>
      <c r="D53" s="335" t="e">
        <f aca="false">(ROUND(('[3]'!H53/4),0))</f>
        <v>#N/A</v>
      </c>
      <c r="E53" s="336" t="e">
        <f aca="false">C53-D53</f>
        <v>#N/A</v>
      </c>
      <c r="G53" s="327"/>
      <c r="H53" s="328"/>
      <c r="I53" s="328"/>
      <c r="J53" s="329"/>
    </row>
    <row r="54" customFormat="false" ht="13.5" hidden="false" customHeight="false" outlineLevel="0" collapsed="false">
      <c r="A54" s="333" t="s">
        <v>54</v>
      </c>
      <c r="C54" s="334" t="n">
        <v>0</v>
      </c>
      <c r="D54" s="335" t="e">
        <f aca="false">(ROUND(('[3]'!H54/4),0))</f>
        <v>#N/A</v>
      </c>
      <c r="E54" s="336" t="e">
        <f aca="false">C54-D54</f>
        <v>#N/A</v>
      </c>
      <c r="G54" s="327"/>
      <c r="H54" s="328"/>
      <c r="I54" s="328"/>
      <c r="J54" s="329"/>
    </row>
    <row r="55" customFormat="false" ht="13.5" hidden="false" customHeight="false" outlineLevel="0" collapsed="false">
      <c r="A55" s="333" t="s">
        <v>55</v>
      </c>
      <c r="C55" s="334" t="n">
        <v>0</v>
      </c>
      <c r="D55" s="335" t="e">
        <f aca="false">(ROUND(('[3]'!H55/4),0))</f>
        <v>#N/A</v>
      </c>
      <c r="E55" s="336" t="e">
        <f aca="false">C55-D55</f>
        <v>#N/A</v>
      </c>
      <c r="G55" s="327"/>
      <c r="H55" s="328"/>
      <c r="I55" s="328"/>
      <c r="J55" s="329"/>
    </row>
    <row r="56" customFormat="false" ht="13.5" hidden="false" customHeight="false" outlineLevel="0" collapsed="false">
      <c r="A56" s="333" t="s">
        <v>56</v>
      </c>
      <c r="C56" s="334" t="n">
        <v>0</v>
      </c>
      <c r="D56" s="335" t="e">
        <f aca="false">(ROUND(('[3]'!H56/4),0))</f>
        <v>#N/A</v>
      </c>
      <c r="E56" s="336" t="e">
        <f aca="false">C56-D56</f>
        <v>#N/A</v>
      </c>
      <c r="G56" s="327"/>
      <c r="H56" s="328"/>
      <c r="I56" s="328"/>
      <c r="J56" s="329"/>
    </row>
    <row r="57" customFormat="false" ht="13.5" hidden="false" customHeight="false" outlineLevel="0" collapsed="false">
      <c r="A57" s="333" t="s">
        <v>57</v>
      </c>
      <c r="C57" s="334" t="n">
        <v>0</v>
      </c>
      <c r="D57" s="335" t="e">
        <f aca="false">(ROUND(('[3]'!H57/4),0))</f>
        <v>#N/A</v>
      </c>
      <c r="E57" s="336" t="e">
        <f aca="false">C57-D57</f>
        <v>#N/A</v>
      </c>
      <c r="G57" s="327"/>
      <c r="H57" s="328"/>
      <c r="I57" s="328"/>
      <c r="J57" s="329"/>
    </row>
    <row r="58" customFormat="false" ht="13.5" hidden="false" customHeight="false" outlineLevel="0" collapsed="false">
      <c r="A58" s="333" t="s">
        <v>58</v>
      </c>
      <c r="C58" s="334" t="n">
        <v>0</v>
      </c>
      <c r="D58" s="335" t="e">
        <f aca="false">(ROUND(('[3]'!H58/4),0))</f>
        <v>#N/A</v>
      </c>
      <c r="E58" s="336" t="e">
        <f aca="false">C58-D58</f>
        <v>#N/A</v>
      </c>
      <c r="G58" s="327"/>
      <c r="H58" s="328"/>
      <c r="I58" s="328"/>
      <c r="J58" s="329"/>
    </row>
    <row r="59" customFormat="false" ht="13.5" hidden="false" customHeight="false" outlineLevel="0" collapsed="false">
      <c r="A59" s="333" t="s">
        <v>59</v>
      </c>
      <c r="C59" s="334" t="n">
        <v>0</v>
      </c>
      <c r="D59" s="335" t="e">
        <f aca="false">(ROUND(('[3]'!H59/4),0))</f>
        <v>#N/A</v>
      </c>
      <c r="E59" s="336" t="e">
        <f aca="false">C59-D59</f>
        <v>#N/A</v>
      </c>
      <c r="G59" s="327"/>
      <c r="H59" s="328"/>
      <c r="I59" s="328"/>
      <c r="J59" s="329"/>
    </row>
    <row r="60" customFormat="false" ht="13.5" hidden="false" customHeight="false" outlineLevel="0" collapsed="false">
      <c r="A60" s="333" t="s">
        <v>60</v>
      </c>
      <c r="C60" s="334" t="n">
        <v>0</v>
      </c>
      <c r="D60" s="335" t="e">
        <f aca="false">(ROUND(('[3]'!H60/4),0))</f>
        <v>#N/A</v>
      </c>
      <c r="E60" s="336" t="e">
        <f aca="false">C60-D60</f>
        <v>#N/A</v>
      </c>
      <c r="G60" s="327"/>
      <c r="H60" s="328"/>
      <c r="I60" s="328"/>
      <c r="J60" s="329"/>
    </row>
    <row r="61" customFormat="false" ht="13.5" hidden="false" customHeight="false" outlineLevel="0" collapsed="false">
      <c r="A61" s="333" t="s">
        <v>61</v>
      </c>
      <c r="C61" s="334" t="n">
        <v>0</v>
      </c>
      <c r="D61" s="335" t="e">
        <f aca="false">(ROUND(('[3]'!H61/4),0))</f>
        <v>#N/A</v>
      </c>
      <c r="E61" s="336" t="e">
        <f aca="false">C61-D61</f>
        <v>#N/A</v>
      </c>
      <c r="G61" s="327"/>
      <c r="H61" s="328"/>
      <c r="I61" s="328"/>
      <c r="J61" s="329"/>
    </row>
    <row r="62" customFormat="false" ht="13.5" hidden="false" customHeight="false" outlineLevel="0" collapsed="false">
      <c r="A62" s="333" t="s">
        <v>62</v>
      </c>
      <c r="C62" s="334" t="n">
        <v>0</v>
      </c>
      <c r="D62" s="335" t="e">
        <f aca="false">(ROUND(('[3]'!H62/4),0))</f>
        <v>#N/A</v>
      </c>
      <c r="E62" s="336" t="e">
        <f aca="false">C62-D62</f>
        <v>#N/A</v>
      </c>
      <c r="G62" s="327"/>
      <c r="H62" s="328"/>
      <c r="I62" s="328"/>
      <c r="J62" s="329"/>
    </row>
    <row r="63" customFormat="false" ht="13.5" hidden="false" customHeight="false" outlineLevel="0" collapsed="false">
      <c r="A63" s="345" t="s">
        <v>63</v>
      </c>
      <c r="C63" s="334" t="n">
        <v>0</v>
      </c>
      <c r="D63" s="335" t="e">
        <f aca="false">(ROUND(('[3]'!H63/4),0))</f>
        <v>#N/A</v>
      </c>
      <c r="E63" s="336" t="e">
        <f aca="false">C63-D63</f>
        <v>#N/A</v>
      </c>
      <c r="G63" s="327"/>
      <c r="H63" s="328"/>
      <c r="I63" s="328"/>
      <c r="J63" s="329"/>
    </row>
    <row r="64" customFormat="false" ht="13.5" hidden="false" customHeight="false" outlineLevel="0" collapsed="false">
      <c r="A64" s="345" t="s">
        <v>65</v>
      </c>
      <c r="C64" s="334" t="n">
        <v>0</v>
      </c>
      <c r="D64" s="335" t="e">
        <f aca="false">(ROUND(('[3]'!H64/4),0))</f>
        <v>#N/A</v>
      </c>
      <c r="E64" s="336" t="e">
        <f aca="false">C64-D64</f>
        <v>#N/A</v>
      </c>
      <c r="G64" s="327"/>
      <c r="H64" s="328"/>
      <c r="I64" s="328"/>
      <c r="J64" s="329"/>
    </row>
    <row r="65" customFormat="false" ht="13.5" hidden="false" customHeight="false" outlineLevel="0" collapsed="false">
      <c r="A65" s="337" t="s">
        <v>66</v>
      </c>
      <c r="B65" s="338"/>
      <c r="C65" s="339" t="n">
        <f aca="false">SUM(C46:C64)+C44+C36+C25+C17</f>
        <v>0</v>
      </c>
      <c r="D65" s="340" t="e">
        <f aca="false">SUM(D46:D64)+D44+D36+D25+D17</f>
        <v>#N/A</v>
      </c>
      <c r="E65" s="341" t="e">
        <f aca="false">SUM(E46:E64)+E44+E36+E25+E17</f>
        <v>#N/A</v>
      </c>
      <c r="F65" s="338"/>
      <c r="G65" s="342"/>
      <c r="H65" s="343"/>
      <c r="I65" s="343"/>
      <c r="J65" s="344"/>
    </row>
    <row r="66" customFormat="false" ht="7.5" hidden="false" customHeight="true" outlineLevel="0" collapsed="false">
      <c r="A66" s="345"/>
      <c r="C66" s="334"/>
      <c r="D66" s="335"/>
      <c r="E66" s="336"/>
      <c r="G66" s="327"/>
      <c r="H66" s="328"/>
      <c r="I66" s="328"/>
      <c r="J66" s="329"/>
    </row>
    <row r="67" customFormat="false" ht="13.5" hidden="false" customHeight="false" outlineLevel="0" collapsed="false">
      <c r="A67" s="345" t="s">
        <v>67</v>
      </c>
      <c r="C67" s="334" t="n">
        <v>0</v>
      </c>
      <c r="D67" s="335" t="e">
        <f aca="false">(ROUND(('[3]'!H67/4),0))</f>
        <v>#N/A</v>
      </c>
      <c r="E67" s="336" t="e">
        <f aca="false">C67-D67</f>
        <v>#N/A</v>
      </c>
      <c r="G67" s="327"/>
      <c r="H67" s="328"/>
      <c r="I67" s="328"/>
      <c r="J67" s="329"/>
    </row>
    <row r="68" customFormat="false" ht="13.5" hidden="false" customHeight="false" outlineLevel="0" collapsed="false">
      <c r="A68" s="345" t="s">
        <v>68</v>
      </c>
      <c r="C68" s="334" t="n">
        <v>0</v>
      </c>
      <c r="D68" s="335" t="e">
        <f aca="false">(ROUND(('[3]'!H68/4),0))</f>
        <v>#N/A</v>
      </c>
      <c r="E68" s="336" t="e">
        <f aca="false">C68-D68</f>
        <v>#N/A</v>
      </c>
      <c r="G68" s="327"/>
      <c r="H68" s="328"/>
      <c r="I68" s="328"/>
      <c r="J68" s="329"/>
    </row>
    <row r="69" customFormat="false" ht="13.5" hidden="false" customHeight="false" outlineLevel="0" collapsed="false">
      <c r="A69" s="345" t="s">
        <v>69</v>
      </c>
      <c r="C69" s="334" t="n">
        <v>0</v>
      </c>
      <c r="D69" s="335" t="e">
        <f aca="false">(ROUND(('[3]'!H69/4),0))</f>
        <v>#N/A</v>
      </c>
      <c r="E69" s="336" t="e">
        <f aca="false">C69-D69</f>
        <v>#N/A</v>
      </c>
      <c r="G69" s="327"/>
      <c r="H69" s="328"/>
      <c r="I69" s="328"/>
      <c r="J69" s="329"/>
    </row>
    <row r="70" customFormat="false" ht="13.5" hidden="false" customHeight="false" outlineLevel="0" collapsed="false">
      <c r="A70" s="345" t="s">
        <v>70</v>
      </c>
      <c r="C70" s="334" t="n">
        <v>0</v>
      </c>
      <c r="D70" s="335" t="e">
        <f aca="false">(ROUND(('[3]'!H70/4),0))</f>
        <v>#N/A</v>
      </c>
      <c r="E70" s="336" t="e">
        <f aca="false">C70-D70</f>
        <v>#N/A</v>
      </c>
      <c r="G70" s="327"/>
      <c r="H70" s="328"/>
      <c r="I70" s="328"/>
      <c r="J70" s="329"/>
    </row>
    <row r="71" customFormat="false" ht="13.5" hidden="false" customHeight="false" outlineLevel="0" collapsed="false">
      <c r="A71" s="345" t="s">
        <v>71</v>
      </c>
      <c r="C71" s="334" t="n">
        <v>0</v>
      </c>
      <c r="D71" s="335" t="e">
        <f aca="false">(ROUND(('[3]'!H71/4),0))</f>
        <v>#N/A</v>
      </c>
      <c r="E71" s="336" t="e">
        <f aca="false">C71-D71</f>
        <v>#N/A</v>
      </c>
      <c r="G71" s="327"/>
      <c r="H71" s="328"/>
      <c r="I71" s="328"/>
      <c r="J71" s="329"/>
    </row>
    <row r="72" customFormat="false" ht="13.5" hidden="false" customHeight="false" outlineLevel="0" collapsed="false">
      <c r="A72" s="345" t="s">
        <v>72</v>
      </c>
      <c r="C72" s="334" t="n">
        <v>0</v>
      </c>
      <c r="D72" s="335" t="e">
        <f aca="false">(ROUND(('[3]'!H72/4),0))</f>
        <v>#N/A</v>
      </c>
      <c r="E72" s="336" t="e">
        <f aca="false">C72-D72</f>
        <v>#N/A</v>
      </c>
      <c r="G72" s="327"/>
      <c r="H72" s="328"/>
      <c r="I72" s="328"/>
      <c r="J72" s="329"/>
    </row>
    <row r="73" customFormat="false" ht="13.5" hidden="false" customHeight="false" outlineLevel="0" collapsed="false">
      <c r="A73" s="345" t="s">
        <v>73</v>
      </c>
      <c r="C73" s="334" t="n">
        <v>0</v>
      </c>
      <c r="D73" s="335" t="e">
        <f aca="false">(ROUND(('[3]'!H73/4),0))</f>
        <v>#N/A</v>
      </c>
      <c r="E73" s="336" t="e">
        <f aca="false">C73-D73</f>
        <v>#N/A</v>
      </c>
      <c r="G73" s="327"/>
      <c r="H73" s="328"/>
      <c r="I73" s="328"/>
      <c r="J73" s="329"/>
    </row>
    <row r="74" customFormat="false" ht="13.5" hidden="false" customHeight="false" outlineLevel="0" collapsed="false">
      <c r="A74" s="345" t="s">
        <v>74</v>
      </c>
      <c r="C74" s="334" t="n">
        <v>0</v>
      </c>
      <c r="D74" s="335" t="e">
        <f aca="false">(ROUND(('[3]'!H74/4),0))</f>
        <v>#N/A</v>
      </c>
      <c r="E74" s="336" t="e">
        <f aca="false">C74-D74</f>
        <v>#N/A</v>
      </c>
      <c r="G74" s="327"/>
      <c r="H74" s="328"/>
      <c r="I74" s="328"/>
      <c r="J74" s="329"/>
    </row>
    <row r="75" customFormat="false" ht="13.5" hidden="false" customHeight="false" outlineLevel="0" collapsed="false">
      <c r="A75" s="345" t="s">
        <v>75</v>
      </c>
      <c r="C75" s="334" t="n">
        <v>0</v>
      </c>
      <c r="D75" s="335" t="e">
        <f aca="false">(ROUND(('[3]'!H75/4),0))</f>
        <v>#N/A</v>
      </c>
      <c r="E75" s="336" t="e">
        <f aca="false">C75-D75</f>
        <v>#N/A</v>
      </c>
      <c r="G75" s="327"/>
      <c r="H75" s="328"/>
      <c r="I75" s="328"/>
      <c r="J75" s="329"/>
    </row>
    <row r="76" customFormat="false" ht="13.5" hidden="false" customHeight="false" outlineLevel="0" collapsed="false">
      <c r="A76" s="345" t="s">
        <v>76</v>
      </c>
      <c r="C76" s="334" t="n">
        <v>0</v>
      </c>
      <c r="D76" s="335" t="e">
        <f aca="false">(ROUND(('[3]'!H76/4),0))</f>
        <v>#N/A</v>
      </c>
      <c r="E76" s="336" t="e">
        <f aca="false">C76-D76</f>
        <v>#N/A</v>
      </c>
      <c r="G76" s="327"/>
      <c r="H76" s="328"/>
      <c r="I76" s="328"/>
      <c r="J76" s="329"/>
    </row>
    <row r="77" customFormat="false" ht="13.5" hidden="false" customHeight="false" outlineLevel="0" collapsed="false">
      <c r="A77" s="345" t="s">
        <v>77</v>
      </c>
      <c r="C77" s="334" t="n">
        <v>0</v>
      </c>
      <c r="D77" s="335" t="e">
        <f aca="false">(ROUND(('[3]'!H77/4),0))</f>
        <v>#N/A</v>
      </c>
      <c r="E77" s="336" t="e">
        <f aca="false">C77-D77</f>
        <v>#N/A</v>
      </c>
      <c r="G77" s="327"/>
      <c r="H77" s="328"/>
      <c r="I77" s="328"/>
      <c r="J77" s="329"/>
    </row>
    <row r="78" customFormat="false" ht="13.5" hidden="false" customHeight="false" outlineLevel="0" collapsed="false">
      <c r="A78" s="345" t="s">
        <v>78</v>
      </c>
      <c r="C78" s="334" t="n">
        <v>0</v>
      </c>
      <c r="D78" s="335" t="e">
        <f aca="false">(ROUND(('[3]'!H78/4),0))</f>
        <v>#N/A</v>
      </c>
      <c r="E78" s="336" t="e">
        <f aca="false">C78-D78</f>
        <v>#N/A</v>
      </c>
      <c r="G78" s="327"/>
      <c r="H78" s="328"/>
      <c r="I78" s="328"/>
      <c r="J78" s="329"/>
    </row>
    <row r="79" customFormat="false" ht="13.5" hidden="false" customHeight="false" outlineLevel="0" collapsed="false">
      <c r="A79" s="345" t="s">
        <v>79</v>
      </c>
      <c r="C79" s="334" t="n">
        <v>0</v>
      </c>
      <c r="D79" s="335" t="e">
        <f aca="false">(ROUND(('[3]'!H79/4),0))</f>
        <v>#N/A</v>
      </c>
      <c r="E79" s="336" t="e">
        <f aca="false">C79-D79</f>
        <v>#N/A</v>
      </c>
      <c r="G79" s="327"/>
      <c r="H79" s="328"/>
      <c r="I79" s="328"/>
      <c r="J79" s="329"/>
    </row>
    <row r="80" customFormat="false" ht="13.5" hidden="false" customHeight="false" outlineLevel="0" collapsed="false">
      <c r="A80" s="345" t="s">
        <v>80</v>
      </c>
      <c r="C80" s="334" t="n">
        <v>0</v>
      </c>
      <c r="D80" s="335" t="e">
        <f aca="false">(ROUND(('[3]'!H80/4),0))</f>
        <v>#N/A</v>
      </c>
      <c r="E80" s="336" t="e">
        <f aca="false">C80-D80</f>
        <v>#N/A</v>
      </c>
      <c r="G80" s="327"/>
      <c r="H80" s="328"/>
      <c r="I80" s="328"/>
      <c r="J80" s="329"/>
    </row>
    <row r="81" customFormat="false" ht="13.5" hidden="false" customHeight="false" outlineLevel="0" collapsed="false">
      <c r="A81" s="337" t="s">
        <v>81</v>
      </c>
      <c r="B81" s="338"/>
      <c r="C81" s="339" t="n">
        <f aca="false">SUM(C67:C80)</f>
        <v>0</v>
      </c>
      <c r="D81" s="340" t="e">
        <f aca="false">SUM(D67:D80)</f>
        <v>#N/A</v>
      </c>
      <c r="E81" s="341" t="e">
        <f aca="false">SUM(E67:E80)</f>
        <v>#N/A</v>
      </c>
      <c r="F81" s="338"/>
      <c r="G81" s="342"/>
      <c r="H81" s="343"/>
      <c r="I81" s="343"/>
      <c r="J81" s="344"/>
    </row>
    <row r="82" customFormat="false" ht="13.5" hidden="false" customHeight="false" outlineLevel="0" collapsed="false">
      <c r="A82" s="345" t="s">
        <v>194</v>
      </c>
      <c r="C82" s="334" t="n">
        <v>0</v>
      </c>
      <c r="D82" s="335" t="e">
        <f aca="false">(ROUND(('[3]'!H82/4),0))</f>
        <v>#N/A</v>
      </c>
      <c r="E82" s="336" t="e">
        <f aca="false">C82-D82</f>
        <v>#N/A</v>
      </c>
      <c r="G82" s="327"/>
      <c r="H82" s="328"/>
      <c r="I82" s="328"/>
      <c r="J82" s="329"/>
    </row>
    <row r="83" customFormat="false" ht="13.5" hidden="false" customHeight="false" outlineLevel="0" collapsed="false">
      <c r="A83" s="345" t="s">
        <v>195</v>
      </c>
      <c r="C83" s="334" t="n">
        <v>0</v>
      </c>
      <c r="D83" s="335" t="e">
        <f aca="false">(ROUND(('[3]'!H85/4),0))</f>
        <v>#N/A</v>
      </c>
      <c r="E83" s="336" t="e">
        <f aca="false">C83-D83</f>
        <v>#N/A</v>
      </c>
      <c r="G83" s="327"/>
      <c r="H83" s="328"/>
      <c r="I83" s="328"/>
      <c r="J83" s="329"/>
    </row>
    <row r="84" customFormat="false" ht="13.5" hidden="false" customHeight="false" outlineLevel="0" collapsed="false">
      <c r="A84" s="82" t="s">
        <v>86</v>
      </c>
      <c r="B84" s="338"/>
      <c r="C84" s="339" t="n">
        <f aca="false">C83+C82+C81+C65</f>
        <v>0</v>
      </c>
      <c r="D84" s="340" t="e">
        <f aca="false">D83+D82+D81+D65</f>
        <v>#N/A</v>
      </c>
      <c r="E84" s="341" t="e">
        <f aca="false">E83+E82+E81+E65</f>
        <v>#N/A</v>
      </c>
      <c r="F84" s="338"/>
      <c r="G84" s="342"/>
      <c r="H84" s="343"/>
      <c r="I84" s="343"/>
      <c r="J84" s="344"/>
    </row>
    <row r="85" customFormat="false" ht="13.5" hidden="false" customHeight="false" outlineLevel="0" collapsed="false">
      <c r="A85" s="345" t="s">
        <v>87</v>
      </c>
      <c r="C85" s="334" t="n">
        <v>0</v>
      </c>
      <c r="D85" s="335" t="e">
        <f aca="false">(ROUND(('[3]'!H87/4),0))</f>
        <v>#N/A</v>
      </c>
      <c r="E85" s="336" t="e">
        <f aca="false">C85-D85</f>
        <v>#N/A</v>
      </c>
      <c r="G85" s="327"/>
      <c r="H85" s="328"/>
      <c r="I85" s="328"/>
      <c r="J85" s="329"/>
    </row>
    <row r="86" customFormat="false" ht="13.5" hidden="false" customHeight="false" outlineLevel="0" collapsed="false">
      <c r="A86" s="346" t="s">
        <v>196</v>
      </c>
      <c r="B86" s="338"/>
      <c r="C86" s="339" t="n">
        <f aca="false">C85+C84</f>
        <v>0</v>
      </c>
      <c r="D86" s="340" t="e">
        <f aca="false">D85+D84</f>
        <v>#N/A</v>
      </c>
      <c r="E86" s="341" t="e">
        <f aca="false">E85+E84</f>
        <v>#N/A</v>
      </c>
      <c r="F86" s="338"/>
      <c r="G86" s="342"/>
      <c r="H86" s="343"/>
      <c r="I86" s="343"/>
      <c r="J86" s="344"/>
    </row>
  </sheetData>
  <mergeCells count="5">
    <mergeCell ref="A1:J1"/>
    <mergeCell ref="A2:J2"/>
    <mergeCell ref="A3:J3"/>
    <mergeCell ref="C5:E5"/>
    <mergeCell ref="G6:J6"/>
  </mergeCells>
  <printOptions headings="false" gridLines="false" gridLinesSet="true" horizontalCentered="true" verticalCentered="false"/>
  <pageMargins left="0.747916666666667" right="0.747916666666667" top="0.5" bottom="0.7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&amp;L&amp;8&amp;A
&amp;D&amp;T&amp;R&amp;8&amp;F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8" topLeftCell="BM9" activePane="bottomLeft" state="frozen"/>
      <selection pane="topLeft" activeCell="A1" activeCellId="0" sqref="A1"/>
      <selection pane="bottomLeft" activeCell="A9" activeCellId="0" sqref="A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8.99"/>
    <col collapsed="false" customWidth="true" hidden="false" outlineLevel="0" max="2" min="2" style="1" width="0.85"/>
    <col collapsed="false" customWidth="true" hidden="false" outlineLevel="0" max="4" min="3" style="1" width="8.7"/>
    <col collapsed="false" customWidth="false" hidden="false" outlineLevel="0" max="5" min="5" style="1" width="9.14"/>
    <col collapsed="false" customWidth="true" hidden="false" outlineLevel="0" max="6" min="6" style="2" width="9.28"/>
    <col collapsed="false" customWidth="true" hidden="false" outlineLevel="0" max="7" min="7" style="2" width="8.99"/>
    <col collapsed="false" customWidth="true" hidden="false" outlineLevel="0" max="10" min="8" style="2" width="8.7"/>
    <col collapsed="false" customWidth="true" hidden="false" outlineLevel="0" max="11" min="11" style="2" width="25.56"/>
    <col collapsed="false" customWidth="true" hidden="false" outlineLevel="0" max="12" min="12" style="1" width="0.85"/>
    <col collapsed="false" customWidth="true" hidden="false" outlineLevel="0" max="13" min="13" style="1" width="8.7"/>
    <col collapsed="false" customWidth="true" hidden="false" outlineLevel="0" max="17" min="14" style="1" width="7.7"/>
    <col collapsed="false" customWidth="true" hidden="false" outlineLevel="0" max="19" min="18" style="1" width="8.7"/>
    <col collapsed="false" customWidth="true" hidden="false" outlineLevel="0" max="20" min="20" style="1" width="0.85"/>
    <col collapsed="false" customWidth="false" hidden="false" outlineLevel="0" max="257" min="21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3"/>
      <c r="G1" s="3"/>
      <c r="H1" s="3"/>
      <c r="I1" s="3"/>
      <c r="J1" s="3"/>
      <c r="K1" s="3"/>
      <c r="L1" s="0"/>
      <c r="M1" s="0"/>
      <c r="N1" s="0"/>
      <c r="O1" s="0"/>
      <c r="P1" s="0"/>
      <c r="Q1" s="0"/>
      <c r="R1" s="0"/>
      <c r="S1" s="0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29.25" hidden="false" customHeight="true" outlineLevel="0" collapsed="false">
      <c r="A2" s="289" t="s">
        <v>0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7"/>
      <c r="M2" s="7"/>
      <c r="N2" s="7"/>
      <c r="O2" s="7"/>
      <c r="P2" s="7"/>
      <c r="Q2" s="7"/>
      <c r="R2" s="7"/>
      <c r="S2" s="9"/>
      <c r="T2" s="10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15.75" hidden="false" customHeight="true" outlineLevel="0" collapsed="false">
      <c r="A3" s="290" t="s">
        <v>197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0"/>
      <c r="M3" s="0"/>
      <c r="N3" s="0"/>
      <c r="O3" s="0"/>
      <c r="P3" s="0"/>
      <c r="Q3" s="0"/>
      <c r="R3" s="0"/>
      <c r="S3" s="5"/>
      <c r="T3" s="10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5.75" hidden="false" customHeight="true" outlineLevel="0" collapsed="false">
      <c r="A4" s="290" t="str">
        <f aca="false">'QTD Mgmt Summary'!Q3</f>
        <v>Results based on activity through Aug 3, 2001</v>
      </c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0"/>
      <c r="M4" s="0"/>
      <c r="N4" s="0"/>
      <c r="O4" s="0"/>
      <c r="P4" s="0"/>
      <c r="Q4" s="0"/>
      <c r="R4" s="0"/>
      <c r="S4" s="5"/>
      <c r="T4" s="10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</row>
    <row r="5" customFormat="false" ht="15" hidden="false" customHeight="true" outlineLevel="0" collapsed="false">
      <c r="A5" s="0"/>
      <c r="B5" s="0"/>
      <c r="C5" s="0"/>
      <c r="D5" s="0"/>
      <c r="E5" s="0"/>
      <c r="F5" s="3"/>
      <c r="G5" s="3"/>
      <c r="H5" s="3"/>
      <c r="I5" s="3"/>
      <c r="J5" s="3"/>
      <c r="K5" s="3"/>
      <c r="L5" s="0"/>
      <c r="M5" s="0"/>
      <c r="N5" s="0"/>
      <c r="O5" s="0"/>
      <c r="P5" s="0"/>
      <c r="Q5" s="0"/>
      <c r="R5" s="0"/>
      <c r="S5" s="0"/>
      <c r="T5" s="12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</row>
    <row r="6" customFormat="false" ht="15" hidden="false" customHeight="true" outlineLevel="0" collapsed="false">
      <c r="A6" s="13"/>
      <c r="B6" s="291"/>
      <c r="C6" s="15" t="s">
        <v>192</v>
      </c>
      <c r="D6" s="15"/>
      <c r="E6" s="15"/>
      <c r="F6" s="15" t="s">
        <v>4</v>
      </c>
      <c r="G6" s="15"/>
      <c r="H6" s="15"/>
      <c r="I6" s="17" t="s">
        <v>198</v>
      </c>
      <c r="J6" s="17"/>
      <c r="K6" s="17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</row>
    <row r="7" customFormat="false" ht="14.25" hidden="false" customHeight="true" outlineLevel="0" collapsed="false">
      <c r="A7" s="160" t="s">
        <v>7</v>
      </c>
      <c r="B7" s="33"/>
      <c r="C7" s="15"/>
      <c r="D7" s="15"/>
      <c r="E7" s="15"/>
      <c r="F7" s="15"/>
      <c r="G7" s="15"/>
      <c r="H7" s="15"/>
      <c r="I7" s="17"/>
      <c r="J7" s="17"/>
      <c r="K7" s="17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</row>
    <row r="8" customFormat="false" ht="18" hidden="false" customHeight="true" outlineLevel="0" collapsed="false">
      <c r="A8" s="32"/>
      <c r="B8" s="294"/>
      <c r="C8" s="295" t="s">
        <v>8</v>
      </c>
      <c r="D8" s="296" t="s">
        <v>9</v>
      </c>
      <c r="E8" s="347" t="s">
        <v>10</v>
      </c>
      <c r="F8" s="297" t="s">
        <v>8</v>
      </c>
      <c r="G8" s="297" t="s">
        <v>9</v>
      </c>
      <c r="H8" s="298" t="s">
        <v>10</v>
      </c>
      <c r="I8" s="38"/>
      <c r="J8" s="297"/>
      <c r="K8" s="298"/>
    </row>
    <row r="9" customFormat="false" ht="12.75" hidden="false" customHeight="true" outlineLevel="0" collapsed="false">
      <c r="A9" s="46" t="str">
        <f aca="false">'QTD Mgmt Summary'!A9</f>
        <v>Norteast Trading (Davis)</v>
      </c>
      <c r="B9" s="173"/>
      <c r="C9" s="59" t="n">
        <f aca="false">D9</f>
        <v>815</v>
      </c>
      <c r="D9" s="299" t="n">
        <v>815</v>
      </c>
      <c r="E9" s="180" t="n">
        <f aca="false">D9-C9</f>
        <v>0</v>
      </c>
      <c r="F9" s="299" t="n">
        <v>0</v>
      </c>
      <c r="G9" s="299" t="n">
        <v>0</v>
      </c>
      <c r="H9" s="180" t="n">
        <f aca="false">G9-F9</f>
        <v>0</v>
      </c>
      <c r="I9" s="348"/>
      <c r="J9" s="348"/>
      <c r="K9" s="348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</row>
    <row r="10" customFormat="false" ht="12.75" hidden="false" customHeight="true" outlineLevel="0" collapsed="false">
      <c r="A10" s="46" t="str">
        <f aca="false">'QTD Mgmt Summary'!A10</f>
        <v>Northeast Origination (Llodia)</v>
      </c>
      <c r="B10" s="173"/>
      <c r="C10" s="59" t="n">
        <f aca="false">D10</f>
        <v>990</v>
      </c>
      <c r="D10" s="114" t="n">
        <v>990</v>
      </c>
      <c r="E10" s="180" t="n">
        <f aca="false">D10-C10</f>
        <v>0</v>
      </c>
      <c r="F10" s="301" t="n">
        <v>0</v>
      </c>
      <c r="G10" s="301" t="n">
        <v>0</v>
      </c>
      <c r="H10" s="180" t="n">
        <f aca="false">G10-F10</f>
        <v>0</v>
      </c>
      <c r="I10" s="349"/>
      <c r="J10" s="349"/>
      <c r="K10" s="349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  <c r="IU10" s="72"/>
      <c r="IV10" s="72"/>
      <c r="IW10" s="72"/>
    </row>
    <row r="11" customFormat="false" ht="12.75" hidden="false" customHeight="true" outlineLevel="0" collapsed="false">
      <c r="A11" s="46" t="str">
        <f aca="false">'QTD Mgmt Summary'!A11</f>
        <v>Midwest Trading (Sturm/Baughman)</v>
      </c>
      <c r="B11" s="51"/>
      <c r="C11" s="74" t="n">
        <f aca="false">D11</f>
        <v>529</v>
      </c>
      <c r="D11" s="302" t="n">
        <v>529</v>
      </c>
      <c r="E11" s="180" t="n">
        <f aca="false">D11-C11</f>
        <v>0</v>
      </c>
      <c r="F11" s="302" t="n">
        <v>0</v>
      </c>
      <c r="G11" s="302" t="n">
        <v>0</v>
      </c>
      <c r="H11" s="180" t="n">
        <f aca="false">G11-F11</f>
        <v>0</v>
      </c>
      <c r="I11" s="349"/>
      <c r="J11" s="349"/>
      <c r="K11" s="349"/>
    </row>
    <row r="12" customFormat="false" ht="12.75" hidden="false" customHeight="true" outlineLevel="0" collapsed="false">
      <c r="A12" s="46" t="str">
        <f aca="false">'QTD Mgmt Summary'!A12</f>
        <v>Midwest Origination (Sturm/Baughman)</v>
      </c>
      <c r="B12" s="51"/>
      <c r="C12" s="74" t="n">
        <f aca="false">D12</f>
        <v>1067</v>
      </c>
      <c r="D12" s="302" t="n">
        <v>1067</v>
      </c>
      <c r="E12" s="180" t="n">
        <f aca="false">D12-C12</f>
        <v>0</v>
      </c>
      <c r="F12" s="302" t="n">
        <v>0</v>
      </c>
      <c r="G12" s="302" t="n">
        <v>0</v>
      </c>
      <c r="H12" s="180" t="n">
        <f aca="false">G12-F12</f>
        <v>0</v>
      </c>
      <c r="I12" s="349"/>
      <c r="J12" s="349"/>
      <c r="K12" s="349"/>
    </row>
    <row r="13" customFormat="false" ht="12.75" hidden="false" customHeight="true" outlineLevel="0" collapsed="false">
      <c r="A13" s="46" t="str">
        <f aca="false">'QTD Mgmt Summary'!A13</f>
        <v>Southeast Trading (Herndon/Kroll) </v>
      </c>
      <c r="B13" s="51"/>
      <c r="C13" s="74" t="n">
        <f aca="false">D13</f>
        <v>465</v>
      </c>
      <c r="D13" s="302" t="n">
        <v>465</v>
      </c>
      <c r="E13" s="180" t="n">
        <f aca="false">D13-C13</f>
        <v>0</v>
      </c>
      <c r="F13" s="302" t="n">
        <v>0</v>
      </c>
      <c r="G13" s="302" t="n">
        <v>0</v>
      </c>
      <c r="H13" s="180" t="n">
        <v>0</v>
      </c>
      <c r="I13" s="350"/>
      <c r="J13" s="350"/>
      <c r="K13" s="350"/>
    </row>
    <row r="14" customFormat="false" ht="12.75" hidden="false" customHeight="true" outlineLevel="0" collapsed="false">
      <c r="A14" s="46" t="str">
        <f aca="false">'QTD Mgmt Summary'!A14</f>
        <v>Southeast Orig (Herndon/Kroll) </v>
      </c>
      <c r="B14" s="51"/>
      <c r="C14" s="74" t="n">
        <f aca="false">D14</f>
        <v>968</v>
      </c>
      <c r="D14" s="302" t="n">
        <v>968</v>
      </c>
      <c r="E14" s="180" t="n">
        <f aca="false">D14-C14</f>
        <v>0</v>
      </c>
      <c r="F14" s="302" t="n">
        <v>0</v>
      </c>
      <c r="G14" s="302" t="n">
        <v>0</v>
      </c>
      <c r="H14" s="180" t="n">
        <f aca="false">G14-F14</f>
        <v>0</v>
      </c>
      <c r="I14" s="349"/>
      <c r="J14" s="349"/>
      <c r="K14" s="349"/>
    </row>
    <row r="15" customFormat="false" ht="12.75" hidden="false" customHeight="true" outlineLevel="0" collapsed="false">
      <c r="A15" s="46" t="str">
        <f aca="false">'QTD Mgmt Summary'!A15</f>
        <v>ERCOT Trading (Smith/Corry)</v>
      </c>
      <c r="B15" s="51"/>
      <c r="C15" s="74" t="n">
        <f aca="false">D15</f>
        <v>200</v>
      </c>
      <c r="D15" s="302" t="n">
        <v>200</v>
      </c>
      <c r="E15" s="180" t="n">
        <f aca="false">D15-C15</f>
        <v>0</v>
      </c>
      <c r="F15" s="302" t="n">
        <v>0</v>
      </c>
      <c r="G15" s="302" t="n">
        <v>0</v>
      </c>
      <c r="H15" s="180" t="n">
        <f aca="false">G15-F15</f>
        <v>0</v>
      </c>
      <c r="I15" s="349"/>
      <c r="J15" s="349"/>
      <c r="K15" s="349"/>
    </row>
    <row r="16" customFormat="false" ht="12.75" hidden="false" customHeight="true" outlineLevel="0" collapsed="false">
      <c r="A16" s="46" t="str">
        <f aca="false">'QTD Mgmt Summary'!A16</f>
        <v>ERCOT Orig (Smith/Corry)</v>
      </c>
      <c r="B16" s="51"/>
      <c r="C16" s="74" t="n">
        <f aca="false">D16</f>
        <v>727</v>
      </c>
      <c r="D16" s="302" t="n">
        <v>727</v>
      </c>
      <c r="E16" s="180" t="n">
        <f aca="false">D16-C16</f>
        <v>0</v>
      </c>
      <c r="F16" s="302" t="n">
        <v>0</v>
      </c>
      <c r="G16" s="302" t="n">
        <v>0</v>
      </c>
      <c r="H16" s="180" t="n">
        <f aca="false">G16-F16</f>
        <v>0</v>
      </c>
      <c r="I16" s="349"/>
      <c r="J16" s="349"/>
      <c r="K16" s="349"/>
    </row>
    <row r="17" customFormat="false" ht="12.75" hidden="false" customHeight="true" outlineLevel="0" collapsed="false">
      <c r="A17" s="46" t="str">
        <f aca="false">'QTD Mgmt Summary'!A17</f>
        <v>Options (Arora)</v>
      </c>
      <c r="B17" s="51"/>
      <c r="C17" s="204" t="n">
        <v>254</v>
      </c>
      <c r="D17" s="302" t="n">
        <v>0</v>
      </c>
      <c r="E17" s="180" t="n">
        <f aca="false">D17-C17</f>
        <v>-254</v>
      </c>
      <c r="F17" s="302" t="n">
        <v>0</v>
      </c>
      <c r="G17" s="302" t="n">
        <v>0</v>
      </c>
      <c r="H17" s="180" t="n">
        <f aca="false">G17-F17</f>
        <v>0</v>
      </c>
      <c r="I17" s="349"/>
      <c r="J17" s="349"/>
      <c r="K17" s="349"/>
    </row>
    <row r="18" customFormat="false" ht="12.75" hidden="false" customHeight="true" outlineLevel="0" collapsed="false">
      <c r="A18" s="46" t="str">
        <f aca="false">'QTD Mgmt Summary'!A18</f>
        <v>Management  Book (Presto)</v>
      </c>
      <c r="B18" s="51"/>
      <c r="C18" s="74" t="n">
        <f aca="false">D18</f>
        <v>2628</v>
      </c>
      <c r="D18" s="302" t="n">
        <v>2628</v>
      </c>
      <c r="E18" s="180" t="n">
        <f aca="false">D18-C18</f>
        <v>0</v>
      </c>
      <c r="F18" s="302" t="n">
        <v>0</v>
      </c>
      <c r="G18" s="302" t="n">
        <v>0</v>
      </c>
      <c r="H18" s="180" t="n">
        <f aca="false">G18-F18</f>
        <v>0</v>
      </c>
      <c r="I18" s="349"/>
      <c r="J18" s="349"/>
      <c r="K18" s="349"/>
    </row>
    <row r="19" customFormat="false" ht="12.75" hidden="false" customHeight="true" outlineLevel="0" collapsed="false">
      <c r="A19" s="46" t="str">
        <f aca="false">'QTD Mgmt Summary'!A19</f>
        <v>Services (Will)</v>
      </c>
      <c r="B19" s="51"/>
      <c r="C19" s="204" t="n">
        <v>112</v>
      </c>
      <c r="D19" s="302" t="n">
        <v>0</v>
      </c>
      <c r="E19" s="180" t="n">
        <f aca="false">D19-C19</f>
        <v>-112</v>
      </c>
      <c r="F19" s="302" t="n">
        <v>0</v>
      </c>
      <c r="G19" s="302" t="n">
        <v>0</v>
      </c>
      <c r="H19" s="180" t="n">
        <f aca="false">G19-F19</f>
        <v>0</v>
      </c>
      <c r="I19" s="349"/>
      <c r="J19" s="349"/>
      <c r="K19" s="349"/>
    </row>
    <row r="20" customFormat="false" ht="12.75" hidden="false" customHeight="true" outlineLevel="0" collapsed="false">
      <c r="A20" s="46" t="str">
        <f aca="false">'QTD Mgmt Summary'!A20</f>
        <v>Development (Jacoby)</v>
      </c>
      <c r="B20" s="51"/>
      <c r="C20" s="74" t="n">
        <f aca="false">D20</f>
        <v>2096</v>
      </c>
      <c r="D20" s="302" t="n">
        <v>2096</v>
      </c>
      <c r="E20" s="180" t="n">
        <f aca="false">D20-C20</f>
        <v>0</v>
      </c>
      <c r="F20" s="302" t="n">
        <v>0</v>
      </c>
      <c r="G20" s="302" t="n">
        <v>0</v>
      </c>
      <c r="H20" s="180" t="n">
        <f aca="false">G20-F20</f>
        <v>0</v>
      </c>
      <c r="I20" s="349"/>
      <c r="J20" s="349"/>
      <c r="K20" s="349"/>
    </row>
    <row r="21" customFormat="false" ht="12.75" hidden="false" customHeight="true" outlineLevel="0" collapsed="false">
      <c r="A21" s="46" t="str">
        <f aca="false">'QTD Mgmt Summary'!A21</f>
        <v>Generation Investments (Duran)</v>
      </c>
      <c r="B21" s="51"/>
      <c r="C21" s="74" t="n">
        <f aca="false">D21</f>
        <v>1770</v>
      </c>
      <c r="D21" s="302" t="n">
        <v>1770</v>
      </c>
      <c r="E21" s="180" t="n">
        <f aca="false">D21-C21</f>
        <v>0</v>
      </c>
      <c r="F21" s="302" t="n">
        <v>0</v>
      </c>
      <c r="G21" s="302" t="n">
        <v>0</v>
      </c>
      <c r="H21" s="180" t="n">
        <f aca="false">G21-F21</f>
        <v>0</v>
      </c>
      <c r="I21" s="349"/>
      <c r="J21" s="349"/>
      <c r="K21" s="349"/>
    </row>
    <row r="22" customFormat="false" ht="12.75" hidden="false" customHeight="true" outlineLevel="0" collapsed="false">
      <c r="A22" s="46" t="str">
        <f aca="false">'QTD Mgmt Summary'!A22</f>
        <v>Structuring/Fundamentals (Meyn/Will)</v>
      </c>
      <c r="B22" s="51"/>
      <c r="C22" s="74" t="n">
        <f aca="false">D22</f>
        <v>1404</v>
      </c>
      <c r="D22" s="302" t="n">
        <v>1404</v>
      </c>
      <c r="E22" s="180" t="n">
        <f aca="false">D22-C22</f>
        <v>0</v>
      </c>
      <c r="F22" s="302" t="n">
        <v>0</v>
      </c>
      <c r="G22" s="302" t="n">
        <v>0</v>
      </c>
      <c r="H22" s="180" t="n">
        <f aca="false">G22-F22</f>
        <v>0</v>
      </c>
      <c r="I22" s="349"/>
      <c r="J22" s="349"/>
      <c r="K22" s="349"/>
    </row>
    <row r="23" customFormat="false" ht="12.75" hidden="false" customHeight="true" outlineLevel="0" collapsed="false">
      <c r="A23" s="101" t="s">
        <v>21</v>
      </c>
      <c r="B23" s="191"/>
      <c r="C23" s="223" t="n">
        <f aca="false">SUM(C9:C22)</f>
        <v>14025</v>
      </c>
      <c r="D23" s="193" t="n">
        <f aca="false">SUM(D9:D22)</f>
        <v>13659</v>
      </c>
      <c r="E23" s="310" t="n">
        <f aca="false">SUM(E9:E22)</f>
        <v>-366</v>
      </c>
      <c r="F23" s="304" t="n">
        <f aca="false">SUM(F9:F22)</f>
        <v>0</v>
      </c>
      <c r="G23" s="304" t="n">
        <f aca="false">SUM(G9:G22)</f>
        <v>0</v>
      </c>
      <c r="H23" s="305" t="n">
        <f aca="false">SUM(H9:H22)</f>
        <v>0</v>
      </c>
      <c r="I23" s="195"/>
      <c r="J23" s="304"/>
      <c r="K23" s="305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  <c r="IQ23" s="94"/>
      <c r="IR23" s="94"/>
      <c r="IS23" s="94"/>
      <c r="IT23" s="94"/>
      <c r="IU23" s="94"/>
      <c r="IV23" s="94"/>
      <c r="IW23" s="94"/>
    </row>
    <row r="24" customFormat="false" ht="12.75" hidden="false" customHeight="true" outlineLevel="0" collapsed="false">
      <c r="A24" s="46" t="str">
        <f aca="false">'QTD Mgmt Summary'!A25</f>
        <v>Services (Foster/Wolfe)</v>
      </c>
      <c r="B24" s="33"/>
      <c r="C24" s="74" t="n">
        <f aca="false">D24</f>
        <v>134</v>
      </c>
      <c r="D24" s="302" t="n">
        <v>134</v>
      </c>
      <c r="E24" s="180" t="n">
        <f aca="false">D24-C24</f>
        <v>0</v>
      </c>
      <c r="F24" s="302" t="n">
        <v>0</v>
      </c>
      <c r="G24" s="302" t="n">
        <v>0</v>
      </c>
      <c r="H24" s="184" t="n">
        <f aca="false">G24-F24</f>
        <v>0</v>
      </c>
      <c r="I24" s="351"/>
      <c r="J24" s="351"/>
      <c r="K24" s="351"/>
    </row>
    <row r="25" customFormat="false" ht="12.75" hidden="false" customHeight="true" outlineLevel="0" collapsed="false">
      <c r="A25" s="46" t="str">
        <f aca="false">'QTD Mgmt Summary'!A24</f>
        <v>Trading (Belden)</v>
      </c>
      <c r="B25" s="33"/>
      <c r="C25" s="74" t="n">
        <f aca="false">D25</f>
        <v>2627</v>
      </c>
      <c r="D25" s="302" t="n">
        <v>2627</v>
      </c>
      <c r="E25" s="180" t="n">
        <f aca="false">D25-C25</f>
        <v>0</v>
      </c>
      <c r="F25" s="302" t="n">
        <v>0</v>
      </c>
      <c r="G25" s="302" t="n">
        <v>0</v>
      </c>
      <c r="H25" s="184" t="n">
        <f aca="false">G25-F25</f>
        <v>0</v>
      </c>
      <c r="I25" s="352"/>
      <c r="J25" s="352"/>
      <c r="K25" s="352"/>
    </row>
    <row r="26" customFormat="false" ht="12.75" hidden="false" customHeight="true" outlineLevel="0" collapsed="false">
      <c r="A26" s="46" t="str">
        <f aca="false">'QTD Mgmt Summary'!A26</f>
        <v>Middle Market Originations (Foster)</v>
      </c>
      <c r="B26" s="33"/>
      <c r="C26" s="74" t="n">
        <f aca="false">D26</f>
        <v>293</v>
      </c>
      <c r="D26" s="302" t="n">
        <v>293</v>
      </c>
      <c r="E26" s="180" t="n">
        <f aca="false">D26-C26</f>
        <v>0</v>
      </c>
      <c r="F26" s="302" t="n">
        <v>0</v>
      </c>
      <c r="G26" s="302" t="n">
        <v>0</v>
      </c>
      <c r="H26" s="184" t="n">
        <f aca="false">G26-F26</f>
        <v>0</v>
      </c>
      <c r="I26" s="352"/>
      <c r="J26" s="352"/>
      <c r="K26" s="352"/>
    </row>
    <row r="27" customFormat="false" ht="12.75" hidden="false" customHeight="true" outlineLevel="0" collapsed="false">
      <c r="A27" s="46" t="str">
        <f aca="false">'QTD Mgmt Summary'!A27</f>
        <v>Orginations (Thomas/McDonald)</v>
      </c>
      <c r="B27" s="33"/>
      <c r="C27" s="74" t="n">
        <f aca="false">D27</f>
        <v>1458</v>
      </c>
      <c r="D27" s="302" t="n">
        <v>1458</v>
      </c>
      <c r="E27" s="180" t="n">
        <f aca="false">D27-C27</f>
        <v>0</v>
      </c>
      <c r="F27" s="302" t="n">
        <v>0</v>
      </c>
      <c r="G27" s="302" t="n">
        <v>0</v>
      </c>
      <c r="H27" s="184" t="n">
        <f aca="false">G27-F27</f>
        <v>0</v>
      </c>
      <c r="I27" s="353"/>
      <c r="J27" s="353"/>
      <c r="K27" s="354"/>
    </row>
    <row r="28" customFormat="false" ht="12.75" hidden="false" customHeight="true" outlineLevel="0" collapsed="false">
      <c r="A28" s="46" t="str">
        <f aca="false">'QTD Mgmt Summary'!A28</f>
        <v>Executive (Calger)</v>
      </c>
      <c r="B28" s="33"/>
      <c r="C28" s="74" t="n">
        <f aca="false">D28</f>
        <v>530</v>
      </c>
      <c r="D28" s="302" t="n">
        <v>530</v>
      </c>
      <c r="E28" s="180" t="n">
        <f aca="false">D28-C28</f>
        <v>0</v>
      </c>
      <c r="F28" s="302" t="n">
        <v>0</v>
      </c>
      <c r="G28" s="302" t="n">
        <v>0</v>
      </c>
      <c r="H28" s="184" t="n">
        <f aca="false">G28-F28</f>
        <v>0</v>
      </c>
      <c r="I28" s="352"/>
      <c r="J28" s="352"/>
      <c r="K28" s="352"/>
    </row>
    <row r="29" customFormat="false" ht="12.75" hidden="false" customHeight="true" outlineLevel="0" collapsed="false">
      <c r="A29" s="46" t="str">
        <f aca="false">'QTD Mgmt Summary'!A29</f>
        <v>Generation (Parquet)</v>
      </c>
      <c r="B29" s="33"/>
      <c r="C29" s="74" t="n">
        <f aca="false">D29</f>
        <v>2094</v>
      </c>
      <c r="D29" s="302" t="n">
        <v>2094</v>
      </c>
      <c r="E29" s="180" t="n">
        <f aca="false">D29-C29</f>
        <v>0</v>
      </c>
      <c r="F29" s="302" t="n">
        <v>0</v>
      </c>
      <c r="G29" s="302" t="n">
        <v>0</v>
      </c>
      <c r="H29" s="184" t="n">
        <f aca="false">G29-F29</f>
        <v>0</v>
      </c>
      <c r="I29" s="353"/>
      <c r="J29" s="353"/>
      <c r="K29" s="354"/>
    </row>
    <row r="30" customFormat="false" ht="12.75" hidden="false" customHeight="true" outlineLevel="0" collapsed="false">
      <c r="A30" s="46" t="str">
        <f aca="false">'QTD Mgmt Summary'!A30</f>
        <v>Fundamentals (Heizenreiker)</v>
      </c>
      <c r="B30" s="33"/>
      <c r="C30" s="74" t="n">
        <f aca="false">D30</f>
        <v>273</v>
      </c>
      <c r="D30" s="226" t="n">
        <v>273</v>
      </c>
      <c r="E30" s="180" t="n">
        <f aca="false">D30-C30</f>
        <v>0</v>
      </c>
      <c r="F30" s="302" t="n">
        <v>0</v>
      </c>
      <c r="G30" s="302" t="n">
        <v>0</v>
      </c>
      <c r="H30" s="184" t="n">
        <f aca="false">G30-F30</f>
        <v>0</v>
      </c>
      <c r="I30" s="352"/>
      <c r="J30" s="352"/>
      <c r="K30" s="352"/>
    </row>
    <row r="31" customFormat="false" ht="12.75" hidden="false" customHeight="true" outlineLevel="0" collapsed="false">
      <c r="A31" s="101" t="s">
        <v>28</v>
      </c>
      <c r="B31" s="191"/>
      <c r="C31" s="223" t="n">
        <f aca="false">SUM(C24:C30)</f>
        <v>7409</v>
      </c>
      <c r="D31" s="193" t="n">
        <f aca="false">SUM(D24:D30)</f>
        <v>7409</v>
      </c>
      <c r="E31" s="310" t="n">
        <f aca="false">SUM(E25:E30)</f>
        <v>0</v>
      </c>
      <c r="F31" s="304" t="n">
        <f aca="false">SUM(F25:F30)</f>
        <v>0</v>
      </c>
      <c r="G31" s="304" t="n">
        <f aca="false">SUM(G25:G30)</f>
        <v>0</v>
      </c>
      <c r="H31" s="305" t="n">
        <f aca="false">SUM(H25:H30)</f>
        <v>0</v>
      </c>
      <c r="I31" s="195"/>
      <c r="J31" s="304"/>
      <c r="K31" s="305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94"/>
      <c r="CH31" s="94"/>
      <c r="CI31" s="94"/>
      <c r="CJ31" s="94"/>
      <c r="CK31" s="94"/>
      <c r="CL31" s="94"/>
      <c r="CM31" s="94"/>
      <c r="CN31" s="94"/>
      <c r="CO31" s="94"/>
      <c r="CP31" s="94"/>
      <c r="CQ31" s="94"/>
      <c r="CR31" s="94"/>
      <c r="CS31" s="94"/>
      <c r="CT31" s="94"/>
      <c r="CU31" s="94"/>
      <c r="CV31" s="94"/>
      <c r="CW31" s="94"/>
      <c r="CX31" s="94"/>
      <c r="CY31" s="94"/>
      <c r="CZ31" s="94"/>
      <c r="DA31" s="94"/>
      <c r="DB31" s="94"/>
      <c r="DC31" s="94"/>
      <c r="DD31" s="94"/>
      <c r="DE31" s="94"/>
      <c r="DF31" s="94"/>
      <c r="DG31" s="94"/>
      <c r="DH31" s="94"/>
      <c r="DI31" s="94"/>
      <c r="DJ31" s="94"/>
      <c r="DK31" s="94"/>
      <c r="DL31" s="94"/>
      <c r="DM31" s="94"/>
      <c r="DN31" s="94"/>
      <c r="DO31" s="94"/>
      <c r="DP31" s="94"/>
      <c r="DQ31" s="94"/>
      <c r="DR31" s="94"/>
      <c r="DS31" s="94"/>
      <c r="DT31" s="94"/>
      <c r="DU31" s="94"/>
      <c r="DV31" s="94"/>
      <c r="DW31" s="94"/>
      <c r="DX31" s="94"/>
      <c r="DY31" s="94"/>
      <c r="DZ31" s="94"/>
      <c r="EA31" s="94"/>
      <c r="EB31" s="94"/>
      <c r="EC31" s="94"/>
      <c r="ED31" s="94"/>
      <c r="EE31" s="94"/>
      <c r="EF31" s="94"/>
      <c r="EG31" s="94"/>
      <c r="EH31" s="94"/>
      <c r="EI31" s="94"/>
      <c r="EJ31" s="94"/>
      <c r="EK31" s="94"/>
      <c r="EL31" s="94"/>
      <c r="EM31" s="94"/>
      <c r="EN31" s="94"/>
      <c r="EO31" s="94"/>
      <c r="EP31" s="94"/>
      <c r="EQ31" s="94"/>
      <c r="ER31" s="94"/>
      <c r="ES31" s="94"/>
      <c r="ET31" s="94"/>
      <c r="EU31" s="94"/>
      <c r="EV31" s="94"/>
      <c r="EW31" s="94"/>
      <c r="EX31" s="94"/>
      <c r="EY31" s="94"/>
      <c r="EZ31" s="94"/>
      <c r="FA31" s="94"/>
      <c r="FB31" s="94"/>
      <c r="FC31" s="94"/>
      <c r="FD31" s="94"/>
      <c r="FE31" s="94"/>
      <c r="FF31" s="94"/>
      <c r="FG31" s="94"/>
      <c r="FH31" s="94"/>
      <c r="FI31" s="94"/>
      <c r="FJ31" s="94"/>
      <c r="FK31" s="94"/>
      <c r="FL31" s="94"/>
      <c r="FM31" s="94"/>
      <c r="FN31" s="94"/>
      <c r="FO31" s="94"/>
      <c r="FP31" s="94"/>
      <c r="FQ31" s="94"/>
      <c r="FR31" s="94"/>
      <c r="FS31" s="94"/>
      <c r="FT31" s="94"/>
      <c r="FU31" s="94"/>
      <c r="FV31" s="94"/>
      <c r="FW31" s="94"/>
      <c r="FX31" s="94"/>
      <c r="FY31" s="94"/>
      <c r="FZ31" s="94"/>
      <c r="GA31" s="94"/>
      <c r="GB31" s="94"/>
      <c r="GC31" s="94"/>
      <c r="GD31" s="94"/>
      <c r="GE31" s="94"/>
      <c r="GF31" s="94"/>
      <c r="GG31" s="94"/>
      <c r="GH31" s="94"/>
      <c r="GI31" s="94"/>
      <c r="GJ31" s="94"/>
      <c r="GK31" s="94"/>
      <c r="GL31" s="94"/>
      <c r="GM31" s="94"/>
      <c r="GN31" s="94"/>
      <c r="GO31" s="94"/>
      <c r="GP31" s="94"/>
      <c r="GQ31" s="94"/>
      <c r="GR31" s="94"/>
      <c r="GS31" s="94"/>
      <c r="GT31" s="94"/>
      <c r="GU31" s="94"/>
      <c r="GV31" s="94"/>
      <c r="GW31" s="94"/>
      <c r="GX31" s="94"/>
      <c r="GY31" s="94"/>
      <c r="GZ31" s="94"/>
      <c r="HA31" s="94"/>
      <c r="HB31" s="94"/>
      <c r="HC31" s="94"/>
      <c r="HD31" s="94"/>
      <c r="HE31" s="94"/>
      <c r="HF31" s="94"/>
      <c r="HG31" s="94"/>
      <c r="HH31" s="94"/>
      <c r="HI31" s="94"/>
      <c r="HJ31" s="94"/>
      <c r="HK31" s="94"/>
      <c r="HL31" s="94"/>
      <c r="HM31" s="94"/>
      <c r="HN31" s="94"/>
      <c r="HO31" s="94"/>
      <c r="HP31" s="94"/>
      <c r="HQ31" s="94"/>
      <c r="HR31" s="94"/>
      <c r="HS31" s="94"/>
      <c r="HT31" s="94"/>
      <c r="HU31" s="94"/>
      <c r="HV31" s="94"/>
      <c r="HW31" s="94"/>
      <c r="HX31" s="94"/>
      <c r="HY31" s="94"/>
      <c r="HZ31" s="94"/>
      <c r="IA31" s="94"/>
      <c r="IB31" s="94"/>
      <c r="IC31" s="94"/>
      <c r="ID31" s="94"/>
      <c r="IE31" s="94"/>
      <c r="IF31" s="94"/>
      <c r="IG31" s="94"/>
      <c r="IH31" s="94"/>
      <c r="II31" s="94"/>
      <c r="IJ31" s="94"/>
      <c r="IK31" s="94"/>
      <c r="IL31" s="94"/>
      <c r="IM31" s="94"/>
      <c r="IN31" s="94"/>
      <c r="IO31" s="94"/>
      <c r="IP31" s="94"/>
      <c r="IQ31" s="94"/>
      <c r="IR31" s="94"/>
      <c r="IS31" s="94"/>
      <c r="IT31" s="94"/>
      <c r="IU31" s="94"/>
      <c r="IV31" s="94"/>
      <c r="IW31" s="94"/>
    </row>
    <row r="32" customFormat="false" ht="12.75" hidden="false" customHeight="true" outlineLevel="0" collapsed="false">
      <c r="A32" s="46" t="str">
        <f aca="false">'QTD Mgmt Summary'!A32</f>
        <v>East Trading (Neal)</v>
      </c>
      <c r="B32" s="33"/>
      <c r="C32" s="74" t="n">
        <v>1902</v>
      </c>
      <c r="D32" s="302" t="n">
        <v>1902</v>
      </c>
      <c r="E32" s="180" t="n">
        <f aca="false">D32-C32</f>
        <v>0</v>
      </c>
      <c r="F32" s="355"/>
      <c r="G32" s="306" t="n">
        <v>0</v>
      </c>
      <c r="H32" s="356" t="n">
        <f aca="false">G32-F32</f>
        <v>0</v>
      </c>
      <c r="I32" s="308"/>
      <c r="J32" s="309"/>
      <c r="K32" s="307"/>
    </row>
    <row r="33" customFormat="false" ht="12.75" hidden="false" customHeight="true" outlineLevel="0" collapsed="false">
      <c r="A33" s="46" t="str">
        <f aca="false">'QTD Mgmt Summary'!A33</f>
        <v>East Origination (Vickors)</v>
      </c>
      <c r="B33" s="33"/>
      <c r="C33" s="74" t="n">
        <v>976</v>
      </c>
      <c r="D33" s="302" t="n">
        <v>976</v>
      </c>
      <c r="E33" s="180" t="n">
        <f aca="false">D33-C33</f>
        <v>0</v>
      </c>
      <c r="F33" s="74"/>
      <c r="G33" s="302" t="n">
        <v>0</v>
      </c>
      <c r="H33" s="180" t="n">
        <f aca="false">G33-F33</f>
        <v>0</v>
      </c>
      <c r="I33" s="204"/>
      <c r="J33" s="226"/>
      <c r="K33" s="184"/>
    </row>
    <row r="34" customFormat="false" ht="12.75" hidden="false" customHeight="true" outlineLevel="0" collapsed="false">
      <c r="A34" s="46" t="str">
        <f aca="false">'QTD Mgmt Summary'!A34</f>
        <v>Central Trading (Shively)</v>
      </c>
      <c r="B34" s="33"/>
      <c r="C34" s="74" t="n">
        <v>1640</v>
      </c>
      <c r="D34" s="302" t="n">
        <v>1640</v>
      </c>
      <c r="E34" s="180" t="n">
        <f aca="false">D34-C34</f>
        <v>0</v>
      </c>
      <c r="F34" s="355"/>
      <c r="G34" s="306" t="n">
        <v>0</v>
      </c>
      <c r="H34" s="356" t="n">
        <f aca="false">G34-F34</f>
        <v>0</v>
      </c>
      <c r="I34" s="308"/>
      <c r="J34" s="309"/>
      <c r="K34" s="307"/>
    </row>
    <row r="35" customFormat="false" ht="12.75" hidden="false" customHeight="true" outlineLevel="0" collapsed="false">
      <c r="A35" s="46" t="str">
        <f aca="false">'QTD Mgmt Summary'!A35</f>
        <v>Central Origination (Luce)</v>
      </c>
      <c r="B35" s="33"/>
      <c r="C35" s="74" t="n">
        <v>813</v>
      </c>
      <c r="D35" s="302" t="n">
        <v>813</v>
      </c>
      <c r="E35" s="180" t="n">
        <f aca="false">D35-C35</f>
        <v>0</v>
      </c>
      <c r="F35" s="74"/>
      <c r="G35" s="302" t="n">
        <v>0</v>
      </c>
      <c r="H35" s="180" t="n">
        <f aca="false">G35-F35</f>
        <v>0</v>
      </c>
      <c r="I35" s="204"/>
      <c r="J35" s="226"/>
      <c r="K35" s="184"/>
    </row>
    <row r="36" customFormat="false" ht="12.75" hidden="false" customHeight="true" outlineLevel="0" collapsed="false">
      <c r="A36" s="46" t="str">
        <f aca="false">'QTD Mgmt Summary'!A36</f>
        <v>Texas Trading (Martin)</v>
      </c>
      <c r="B36" s="33"/>
      <c r="C36" s="78" t="n">
        <v>1082</v>
      </c>
      <c r="D36" s="226" t="n">
        <v>1082</v>
      </c>
      <c r="E36" s="180" t="n">
        <f aca="false">D36-C36</f>
        <v>0</v>
      </c>
      <c r="F36" s="78" t="n">
        <v>0</v>
      </c>
      <c r="G36" s="226" t="n">
        <v>0</v>
      </c>
      <c r="H36" s="180" t="n">
        <f aca="false">G36-F36</f>
        <v>0</v>
      </c>
      <c r="I36" s="204"/>
      <c r="J36" s="226"/>
      <c r="K36" s="184"/>
    </row>
    <row r="37" customFormat="false" ht="12.75" hidden="false" customHeight="true" outlineLevel="0" collapsed="false">
      <c r="A37" s="46" t="str">
        <f aca="false">'QTD Mgmt Summary'!A37</f>
        <v>Texas Origination (Redmond)</v>
      </c>
      <c r="B37" s="33"/>
      <c r="C37" s="78" t="n">
        <v>0</v>
      </c>
      <c r="D37" s="226" t="n">
        <v>0</v>
      </c>
      <c r="E37" s="180" t="n">
        <f aca="false">D37-C37</f>
        <v>0</v>
      </c>
      <c r="F37" s="78" t="n">
        <v>0</v>
      </c>
      <c r="G37" s="226" t="n">
        <v>0</v>
      </c>
      <c r="H37" s="180" t="n">
        <f aca="false">G37-F37</f>
        <v>0</v>
      </c>
      <c r="I37" s="204"/>
      <c r="J37" s="226"/>
      <c r="K37" s="184"/>
    </row>
    <row r="38" customFormat="false" ht="12.75" hidden="false" customHeight="true" outlineLevel="0" collapsed="false">
      <c r="A38" s="46" t="str">
        <f aca="false">'QTD Mgmt Summary'!A38</f>
        <v>West Trading (Allen)</v>
      </c>
      <c r="B38" s="33"/>
      <c r="C38" s="78" t="n">
        <v>1106</v>
      </c>
      <c r="D38" s="226" t="n">
        <v>1106</v>
      </c>
      <c r="E38" s="180" t="n">
        <f aca="false">D38-C38</f>
        <v>0</v>
      </c>
      <c r="F38" s="78" t="n">
        <v>0</v>
      </c>
      <c r="G38" s="226" t="n">
        <v>0</v>
      </c>
      <c r="H38" s="180" t="n">
        <f aca="false">G38-F38</f>
        <v>0</v>
      </c>
      <c r="I38" s="204"/>
      <c r="J38" s="226"/>
      <c r="K38" s="184"/>
    </row>
    <row r="39" customFormat="false" ht="12.75" hidden="false" customHeight="true" outlineLevel="0" collapsed="false">
      <c r="A39" s="46" t="str">
        <f aca="false">'QTD Mgmt Summary'!A39</f>
        <v>West Origination (Tycholiz)</v>
      </c>
      <c r="B39" s="33"/>
      <c r="C39" s="78" t="n">
        <v>624</v>
      </c>
      <c r="D39" s="226" t="n">
        <v>624</v>
      </c>
      <c r="E39" s="180" t="n">
        <f aca="false">D39-C39</f>
        <v>0</v>
      </c>
      <c r="F39" s="78" t="n">
        <v>0</v>
      </c>
      <c r="G39" s="226" t="n">
        <v>0</v>
      </c>
      <c r="H39" s="180" t="n">
        <f aca="false">G39-F39</f>
        <v>0</v>
      </c>
      <c r="I39" s="204"/>
      <c r="J39" s="226"/>
      <c r="K39" s="184"/>
    </row>
    <row r="40" customFormat="false" ht="12.75" hidden="false" customHeight="true" outlineLevel="0" collapsed="false">
      <c r="A40" s="46" t="str">
        <f aca="false">'QTD Mgmt Summary'!A40</f>
        <v>Financial Gas (Arnold)</v>
      </c>
      <c r="B40" s="33"/>
      <c r="C40" s="78" t="n">
        <v>402</v>
      </c>
      <c r="D40" s="226" t="n">
        <v>402</v>
      </c>
      <c r="E40" s="180" t="n">
        <f aca="false">D40-C40</f>
        <v>0</v>
      </c>
      <c r="F40" s="78" t="n">
        <v>0</v>
      </c>
      <c r="G40" s="226" t="n">
        <v>0</v>
      </c>
      <c r="H40" s="180" t="n">
        <f aca="false">G40-F40</f>
        <v>0</v>
      </c>
      <c r="I40" s="204"/>
      <c r="J40" s="226"/>
      <c r="K40" s="184"/>
    </row>
    <row r="41" customFormat="false" ht="12.75" hidden="false" customHeight="true" outlineLevel="0" collapsed="false">
      <c r="A41" s="46" t="str">
        <f aca="false">'QTD Mgmt Summary'!A41</f>
        <v>Derivative (Lagrasta)</v>
      </c>
      <c r="B41" s="33"/>
      <c r="C41" s="78" t="n">
        <v>1084</v>
      </c>
      <c r="D41" s="226" t="n">
        <v>1084</v>
      </c>
      <c r="E41" s="180" t="n">
        <f aca="false">D41-C41</f>
        <v>0</v>
      </c>
      <c r="F41" s="78" t="n">
        <v>0</v>
      </c>
      <c r="G41" s="226" t="n">
        <v>0</v>
      </c>
      <c r="H41" s="180" t="n">
        <f aca="false">G41-F41</f>
        <v>0</v>
      </c>
      <c r="I41" s="204"/>
      <c r="J41" s="226"/>
      <c r="K41" s="184"/>
    </row>
    <row r="42" customFormat="false" ht="12.75" hidden="false" customHeight="true" outlineLevel="0" collapsed="false">
      <c r="A42" s="46" t="str">
        <f aca="false">'QTD Mgmt Summary'!A42</f>
        <v>NG Structuring (McMichael)</v>
      </c>
      <c r="B42" s="33"/>
      <c r="C42" s="78" t="n">
        <v>734</v>
      </c>
      <c r="D42" s="226" t="n">
        <v>734</v>
      </c>
      <c r="E42" s="180" t="n">
        <f aca="false">D42-C42</f>
        <v>0</v>
      </c>
      <c r="F42" s="78" t="n">
        <v>0</v>
      </c>
      <c r="G42" s="226" t="n">
        <v>0</v>
      </c>
      <c r="H42" s="180" t="n">
        <f aca="false">G42-F42</f>
        <v>0</v>
      </c>
      <c r="I42" s="204"/>
      <c r="J42" s="226"/>
      <c r="K42" s="184"/>
    </row>
    <row r="43" customFormat="false" ht="12.75" hidden="false" customHeight="true" outlineLevel="0" collapsed="false">
      <c r="A43" s="46" t="str">
        <f aca="false">'QTD Mgmt Summary'!A43</f>
        <v>NG Fundamentals (Gaskill)</v>
      </c>
      <c r="B43" s="33"/>
      <c r="C43" s="78" t="n">
        <v>508</v>
      </c>
      <c r="D43" s="226" t="n">
        <v>508</v>
      </c>
      <c r="E43" s="180" t="n">
        <f aca="false">D43-C43</f>
        <v>0</v>
      </c>
      <c r="F43" s="78" t="n">
        <v>0</v>
      </c>
      <c r="G43" s="226" t="n">
        <v>0</v>
      </c>
      <c r="H43" s="180" t="n">
        <f aca="false">G43-F43</f>
        <v>0</v>
      </c>
      <c r="I43" s="204"/>
      <c r="J43" s="226"/>
      <c r="K43" s="184"/>
    </row>
    <row r="44" customFormat="false" ht="12.75" hidden="false" customHeight="true" outlineLevel="0" collapsed="false">
      <c r="A44" s="46" t="str">
        <f aca="false">'QTD Mgmt Summary'!A44</f>
        <v>Management</v>
      </c>
      <c r="B44" s="33"/>
      <c r="C44" s="78" t="n">
        <v>0</v>
      </c>
      <c r="D44" s="226"/>
      <c r="E44" s="180" t="n">
        <f aca="false">D44-C44</f>
        <v>0</v>
      </c>
      <c r="F44" s="78" t="n">
        <v>0</v>
      </c>
      <c r="G44" s="226"/>
      <c r="H44" s="180" t="n">
        <f aca="false">G44-F44</f>
        <v>0</v>
      </c>
      <c r="I44" s="204"/>
      <c r="J44" s="226"/>
      <c r="K44" s="184"/>
    </row>
    <row r="45" customFormat="false" ht="12.75" hidden="false" customHeight="true" outlineLevel="0" collapsed="false">
      <c r="A45" s="101" t="s">
        <v>38</v>
      </c>
      <c r="B45" s="191"/>
      <c r="C45" s="223" t="n">
        <f aca="false">SUM(C32:C44)</f>
        <v>10871</v>
      </c>
      <c r="D45" s="193" t="n">
        <f aca="false">SUM(D32:D44)</f>
        <v>10871</v>
      </c>
      <c r="E45" s="310" t="n">
        <f aca="false">SUM(E32:E44)</f>
        <v>0</v>
      </c>
      <c r="F45" s="304" t="n">
        <f aca="false">SUM(F32:F44)</f>
        <v>0</v>
      </c>
      <c r="G45" s="304" t="n">
        <f aca="false">SUM(G32:G44)</f>
        <v>0</v>
      </c>
      <c r="H45" s="305" t="n">
        <f aca="false">SUM(H32:H44)</f>
        <v>0</v>
      </c>
      <c r="I45" s="195"/>
      <c r="J45" s="304"/>
      <c r="K45" s="305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94"/>
      <c r="CD45" s="94"/>
      <c r="CE45" s="94"/>
      <c r="CF45" s="94"/>
      <c r="CG45" s="94"/>
      <c r="CH45" s="94"/>
      <c r="CI45" s="94"/>
      <c r="CJ45" s="94"/>
      <c r="CK45" s="94"/>
      <c r="CL45" s="94"/>
      <c r="CM45" s="94"/>
      <c r="CN45" s="94"/>
      <c r="CO45" s="94"/>
      <c r="CP45" s="94"/>
      <c r="CQ45" s="94"/>
      <c r="CR45" s="94"/>
      <c r="CS45" s="94"/>
      <c r="CT45" s="94"/>
      <c r="CU45" s="94"/>
      <c r="CV45" s="94"/>
      <c r="CW45" s="94"/>
      <c r="CX45" s="94"/>
      <c r="CY45" s="94"/>
      <c r="CZ45" s="94"/>
      <c r="DA45" s="94"/>
      <c r="DB45" s="94"/>
      <c r="DC45" s="94"/>
      <c r="DD45" s="94"/>
      <c r="DE45" s="94"/>
      <c r="DF45" s="94"/>
      <c r="DG45" s="94"/>
      <c r="DH45" s="94"/>
      <c r="DI45" s="94"/>
      <c r="DJ45" s="94"/>
      <c r="DK45" s="94"/>
      <c r="DL45" s="94"/>
      <c r="DM45" s="94"/>
      <c r="DN45" s="94"/>
      <c r="DO45" s="94"/>
      <c r="DP45" s="94"/>
      <c r="DQ45" s="94"/>
      <c r="DR45" s="94"/>
      <c r="DS45" s="94"/>
      <c r="DT45" s="94"/>
      <c r="DU45" s="94"/>
      <c r="DV45" s="94"/>
      <c r="DW45" s="94"/>
      <c r="DX45" s="94"/>
      <c r="DY45" s="94"/>
      <c r="DZ45" s="94"/>
      <c r="EA45" s="94"/>
      <c r="EB45" s="94"/>
      <c r="EC45" s="94"/>
      <c r="ED45" s="94"/>
      <c r="EE45" s="94"/>
      <c r="EF45" s="94"/>
      <c r="EG45" s="94"/>
      <c r="EH45" s="94"/>
      <c r="EI45" s="94"/>
      <c r="EJ45" s="94"/>
      <c r="EK45" s="94"/>
      <c r="EL45" s="94"/>
      <c r="EM45" s="94"/>
      <c r="EN45" s="94"/>
      <c r="EO45" s="94"/>
      <c r="EP45" s="94"/>
      <c r="EQ45" s="94"/>
      <c r="ER45" s="94"/>
      <c r="ES45" s="94"/>
      <c r="ET45" s="94"/>
      <c r="EU45" s="94"/>
      <c r="EV45" s="94"/>
      <c r="EW45" s="94"/>
      <c r="EX45" s="94"/>
      <c r="EY45" s="94"/>
      <c r="EZ45" s="94"/>
      <c r="FA45" s="94"/>
      <c r="FB45" s="94"/>
      <c r="FC45" s="94"/>
      <c r="FD45" s="94"/>
      <c r="FE45" s="94"/>
      <c r="FF45" s="94"/>
      <c r="FG45" s="94"/>
      <c r="FH45" s="94"/>
      <c r="FI45" s="94"/>
      <c r="FJ45" s="94"/>
      <c r="FK45" s="94"/>
      <c r="FL45" s="94"/>
      <c r="FM45" s="94"/>
      <c r="FN45" s="94"/>
      <c r="FO45" s="94"/>
      <c r="FP45" s="94"/>
      <c r="FQ45" s="94"/>
      <c r="FR45" s="94"/>
      <c r="FS45" s="94"/>
      <c r="FT45" s="94"/>
      <c r="FU45" s="94"/>
      <c r="FV45" s="94"/>
      <c r="FW45" s="94"/>
      <c r="FX45" s="94"/>
      <c r="FY45" s="94"/>
      <c r="FZ45" s="94"/>
      <c r="GA45" s="94"/>
      <c r="GB45" s="94"/>
      <c r="GC45" s="94"/>
      <c r="GD45" s="94"/>
      <c r="GE45" s="94"/>
      <c r="GF45" s="94"/>
      <c r="GG45" s="94"/>
      <c r="GH45" s="94"/>
      <c r="GI45" s="94"/>
      <c r="GJ45" s="94"/>
      <c r="GK45" s="94"/>
      <c r="GL45" s="94"/>
      <c r="GM45" s="94"/>
      <c r="GN45" s="94"/>
      <c r="GO45" s="94"/>
      <c r="GP45" s="94"/>
      <c r="GQ45" s="94"/>
      <c r="GR45" s="94"/>
      <c r="GS45" s="94"/>
      <c r="GT45" s="94"/>
      <c r="GU45" s="94"/>
      <c r="GV45" s="94"/>
      <c r="GW45" s="94"/>
      <c r="GX45" s="94"/>
      <c r="GY45" s="94"/>
      <c r="GZ45" s="94"/>
      <c r="HA45" s="94"/>
      <c r="HB45" s="94"/>
      <c r="HC45" s="94"/>
      <c r="HD45" s="94"/>
      <c r="HE45" s="94"/>
      <c r="HF45" s="94"/>
      <c r="HG45" s="94"/>
      <c r="HH45" s="94"/>
      <c r="HI45" s="94"/>
      <c r="HJ45" s="94"/>
      <c r="HK45" s="94"/>
      <c r="HL45" s="94"/>
      <c r="HM45" s="94"/>
      <c r="HN45" s="94"/>
      <c r="HO45" s="94"/>
      <c r="HP45" s="94"/>
      <c r="HQ45" s="94"/>
      <c r="HR45" s="94"/>
      <c r="HS45" s="94"/>
      <c r="HT45" s="94"/>
      <c r="HU45" s="94"/>
      <c r="HV45" s="94"/>
      <c r="HW45" s="94"/>
      <c r="HX45" s="94"/>
      <c r="HY45" s="94"/>
      <c r="HZ45" s="94"/>
      <c r="IA45" s="94"/>
      <c r="IB45" s="94"/>
      <c r="IC45" s="94"/>
      <c r="ID45" s="94"/>
      <c r="IE45" s="94"/>
      <c r="IF45" s="94"/>
      <c r="IG45" s="94"/>
      <c r="IH45" s="94"/>
      <c r="II45" s="94"/>
      <c r="IJ45" s="94"/>
      <c r="IK45" s="94"/>
      <c r="IL45" s="94"/>
      <c r="IM45" s="94"/>
      <c r="IN45" s="94"/>
      <c r="IO45" s="94"/>
      <c r="IP45" s="94"/>
      <c r="IQ45" s="94"/>
      <c r="IR45" s="94"/>
      <c r="IS45" s="94"/>
      <c r="IT45" s="94"/>
      <c r="IU45" s="94"/>
      <c r="IV45" s="94"/>
      <c r="IW45" s="94"/>
    </row>
    <row r="46" customFormat="false" ht="12.75" hidden="false" customHeight="true" outlineLevel="0" collapsed="false">
      <c r="A46" s="46" t="str">
        <f aca="false">'QTD Mgmt Summary'!A46</f>
        <v>Natural Gas Trading (Zufferli)</v>
      </c>
      <c r="B46" s="33"/>
      <c r="C46" s="74" t="n">
        <v>730</v>
      </c>
      <c r="D46" s="302" t="n">
        <v>730</v>
      </c>
      <c r="E46" s="180" t="n">
        <f aca="false">D46-C46</f>
        <v>0</v>
      </c>
      <c r="F46" s="355" t="n">
        <v>0</v>
      </c>
      <c r="G46" s="306" t="n">
        <v>0</v>
      </c>
      <c r="H46" s="356" t="n">
        <f aca="false">G46-F46</f>
        <v>0</v>
      </c>
      <c r="I46" s="308"/>
      <c r="J46" s="309"/>
      <c r="K46" s="307"/>
    </row>
    <row r="47" customFormat="false" ht="12.75" hidden="false" customHeight="true" outlineLevel="0" collapsed="false">
      <c r="A47" s="46" t="str">
        <f aca="false">'QTD Mgmt Summary'!A47</f>
        <v>Natural Gas Origination (LeDain)</v>
      </c>
      <c r="B47" s="33"/>
      <c r="C47" s="74" t="n">
        <v>487</v>
      </c>
      <c r="D47" s="302" t="n">
        <v>487</v>
      </c>
      <c r="E47" s="180" t="n">
        <f aca="false">D47-C47</f>
        <v>0</v>
      </c>
      <c r="F47" s="302" t="n">
        <v>0</v>
      </c>
      <c r="G47" s="302" t="n">
        <v>0</v>
      </c>
      <c r="H47" s="180" t="n">
        <f aca="false">G47-F47</f>
        <v>0</v>
      </c>
      <c r="I47" s="204"/>
      <c r="J47" s="226"/>
      <c r="K47" s="184"/>
    </row>
    <row r="48" customFormat="false" ht="12.75" hidden="false" customHeight="true" outlineLevel="0" collapsed="false">
      <c r="A48" s="46" t="str">
        <f aca="false">'QTD Mgmt Summary'!A48</f>
        <v>Finance (Kitagawa)</v>
      </c>
      <c r="B48" s="33"/>
      <c r="C48" s="74" t="n">
        <v>423</v>
      </c>
      <c r="D48" s="302" t="n">
        <v>423</v>
      </c>
      <c r="E48" s="180" t="n">
        <f aca="false">D48-C48</f>
        <v>0</v>
      </c>
      <c r="F48" s="306" t="n">
        <v>0</v>
      </c>
      <c r="G48" s="306" t="n">
        <v>0</v>
      </c>
      <c r="H48" s="356" t="n">
        <f aca="false">G48-F48</f>
        <v>0</v>
      </c>
      <c r="I48" s="308"/>
      <c r="J48" s="309"/>
      <c r="K48" s="307"/>
    </row>
    <row r="49" customFormat="false" ht="12.75" hidden="false" customHeight="true" outlineLevel="0" collapsed="false">
      <c r="A49" s="46" t="str">
        <f aca="false">'QTD Mgmt Summary'!A49</f>
        <v>Alberta Power (Zufferli/Davies)</v>
      </c>
      <c r="B49" s="33"/>
      <c r="C49" s="74" t="n">
        <v>574</v>
      </c>
      <c r="D49" s="302" t="n">
        <v>574</v>
      </c>
      <c r="E49" s="180" t="n">
        <f aca="false">D49-C49</f>
        <v>0</v>
      </c>
      <c r="F49" s="302" t="n">
        <v>0</v>
      </c>
      <c r="G49" s="302" t="n">
        <v>0</v>
      </c>
      <c r="H49" s="180" t="n">
        <f aca="false">G49-F49</f>
        <v>0</v>
      </c>
      <c r="I49" s="78"/>
      <c r="J49" s="226"/>
      <c r="K49" s="184"/>
    </row>
    <row r="50" customFormat="false" ht="12.75" hidden="false" customHeight="true" outlineLevel="0" collapsed="false">
      <c r="A50" s="46" t="str">
        <f aca="false">'QTD Mgmt Summary'!A50</f>
        <v>Ontario Power (Devries)</v>
      </c>
      <c r="B50" s="33"/>
      <c r="C50" s="74" t="n">
        <v>1155</v>
      </c>
      <c r="D50" s="302" t="n">
        <v>1155</v>
      </c>
      <c r="E50" s="180" t="n">
        <f aca="false">D50-C50</f>
        <v>0</v>
      </c>
      <c r="F50" s="302" t="n">
        <v>0</v>
      </c>
      <c r="G50" s="302" t="n">
        <v>0</v>
      </c>
      <c r="H50" s="180" t="n">
        <f aca="false">G50-F50</f>
        <v>0</v>
      </c>
      <c r="I50" s="78"/>
      <c r="J50" s="226"/>
      <c r="K50" s="184"/>
    </row>
    <row r="51" customFormat="false" ht="12.75" hidden="false" customHeight="true" outlineLevel="0" collapsed="false">
      <c r="A51" s="46" t="str">
        <f aca="false">'QTD Mgmt Summary'!A51</f>
        <v>Executive (Milnthorp)</v>
      </c>
      <c r="B51" s="33"/>
      <c r="C51" s="74" t="n">
        <v>1314</v>
      </c>
      <c r="D51" s="302" t="n">
        <v>1314</v>
      </c>
      <c r="E51" s="180" t="n">
        <f aca="false">D51-C51</f>
        <v>0</v>
      </c>
      <c r="F51" s="302" t="n">
        <v>0</v>
      </c>
      <c r="G51" s="302" t="n">
        <v>0</v>
      </c>
      <c r="H51" s="180" t="n">
        <f aca="false">G51-F51</f>
        <v>0</v>
      </c>
      <c r="I51" s="204"/>
      <c r="J51" s="226"/>
      <c r="K51" s="184"/>
    </row>
    <row r="52" customFormat="false" ht="12.75" hidden="false" customHeight="true" outlineLevel="0" collapsed="false">
      <c r="A52" s="101" t="s">
        <v>45</v>
      </c>
      <c r="B52" s="191"/>
      <c r="C52" s="223" t="n">
        <f aca="false">SUM(C46:C51)</f>
        <v>4683</v>
      </c>
      <c r="D52" s="193" t="n">
        <f aca="false">SUM(D46:D51)</f>
        <v>4683</v>
      </c>
      <c r="E52" s="310" t="n">
        <f aca="false">SUM(E46:E51)</f>
        <v>0</v>
      </c>
      <c r="F52" s="193" t="n">
        <f aca="false">SUM(F46:F51)</f>
        <v>0</v>
      </c>
      <c r="G52" s="193" t="n">
        <f aca="false">SUM(G46:G51)</f>
        <v>0</v>
      </c>
      <c r="H52" s="310" t="n">
        <f aca="false">SUM(H46:H51)</f>
        <v>0</v>
      </c>
      <c r="I52" s="223"/>
      <c r="J52" s="193"/>
      <c r="K52" s="310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4"/>
      <c r="BR52" s="94"/>
      <c r="BS52" s="94"/>
      <c r="BT52" s="94"/>
      <c r="BU52" s="94"/>
      <c r="BV52" s="94"/>
      <c r="BW52" s="94"/>
      <c r="BX52" s="94"/>
      <c r="BY52" s="94"/>
      <c r="BZ52" s="94"/>
      <c r="CA52" s="94"/>
      <c r="CB52" s="94"/>
      <c r="CC52" s="94"/>
      <c r="CD52" s="94"/>
      <c r="CE52" s="94"/>
      <c r="CF52" s="94"/>
      <c r="CG52" s="94"/>
      <c r="CH52" s="94"/>
      <c r="CI52" s="94"/>
      <c r="CJ52" s="94"/>
      <c r="CK52" s="94"/>
      <c r="CL52" s="94"/>
      <c r="CM52" s="94"/>
      <c r="CN52" s="94"/>
      <c r="CO52" s="94"/>
      <c r="CP52" s="94"/>
      <c r="CQ52" s="94"/>
      <c r="CR52" s="94"/>
      <c r="CS52" s="94"/>
      <c r="CT52" s="94"/>
      <c r="CU52" s="94"/>
      <c r="CV52" s="94"/>
      <c r="CW52" s="94"/>
      <c r="CX52" s="94"/>
      <c r="CY52" s="94"/>
      <c r="CZ52" s="94"/>
      <c r="DA52" s="94"/>
      <c r="DB52" s="94"/>
      <c r="DC52" s="94"/>
      <c r="DD52" s="94"/>
      <c r="DE52" s="94"/>
      <c r="DF52" s="94"/>
      <c r="DG52" s="94"/>
      <c r="DH52" s="94"/>
      <c r="DI52" s="94"/>
      <c r="DJ52" s="94"/>
      <c r="DK52" s="94"/>
      <c r="DL52" s="94"/>
      <c r="DM52" s="94"/>
      <c r="DN52" s="94"/>
      <c r="DO52" s="94"/>
      <c r="DP52" s="94"/>
      <c r="DQ52" s="94"/>
      <c r="DR52" s="94"/>
      <c r="DS52" s="94"/>
      <c r="DT52" s="94"/>
      <c r="DU52" s="94"/>
      <c r="DV52" s="94"/>
      <c r="DW52" s="94"/>
      <c r="DX52" s="94"/>
      <c r="DY52" s="94"/>
      <c r="DZ52" s="94"/>
      <c r="EA52" s="94"/>
      <c r="EB52" s="94"/>
      <c r="EC52" s="94"/>
      <c r="ED52" s="94"/>
      <c r="EE52" s="94"/>
      <c r="EF52" s="94"/>
      <c r="EG52" s="94"/>
      <c r="EH52" s="94"/>
      <c r="EI52" s="94"/>
      <c r="EJ52" s="94"/>
      <c r="EK52" s="94"/>
      <c r="EL52" s="94"/>
      <c r="EM52" s="94"/>
      <c r="EN52" s="94"/>
      <c r="EO52" s="94"/>
      <c r="EP52" s="94"/>
      <c r="EQ52" s="94"/>
      <c r="ER52" s="94"/>
      <c r="ES52" s="94"/>
      <c r="ET52" s="94"/>
      <c r="EU52" s="94"/>
      <c r="EV52" s="94"/>
      <c r="EW52" s="94"/>
      <c r="EX52" s="94"/>
      <c r="EY52" s="94"/>
      <c r="EZ52" s="94"/>
      <c r="FA52" s="94"/>
      <c r="FB52" s="94"/>
      <c r="FC52" s="94"/>
      <c r="FD52" s="94"/>
      <c r="FE52" s="94"/>
      <c r="FF52" s="94"/>
      <c r="FG52" s="94"/>
      <c r="FH52" s="94"/>
      <c r="FI52" s="94"/>
      <c r="FJ52" s="94"/>
      <c r="FK52" s="94"/>
      <c r="FL52" s="94"/>
      <c r="FM52" s="94"/>
      <c r="FN52" s="94"/>
      <c r="FO52" s="94"/>
      <c r="FP52" s="94"/>
      <c r="FQ52" s="94"/>
      <c r="FR52" s="94"/>
      <c r="FS52" s="94"/>
      <c r="FT52" s="94"/>
      <c r="FU52" s="94"/>
      <c r="FV52" s="94"/>
      <c r="FW52" s="94"/>
      <c r="FX52" s="94"/>
      <c r="FY52" s="94"/>
      <c r="FZ52" s="94"/>
      <c r="GA52" s="94"/>
      <c r="GB52" s="94"/>
      <c r="GC52" s="94"/>
      <c r="GD52" s="94"/>
      <c r="GE52" s="94"/>
      <c r="GF52" s="94"/>
      <c r="GG52" s="94"/>
      <c r="GH52" s="94"/>
      <c r="GI52" s="94"/>
      <c r="GJ52" s="94"/>
      <c r="GK52" s="94"/>
      <c r="GL52" s="94"/>
      <c r="GM52" s="94"/>
      <c r="GN52" s="94"/>
      <c r="GO52" s="94"/>
      <c r="GP52" s="94"/>
      <c r="GQ52" s="94"/>
      <c r="GR52" s="94"/>
      <c r="GS52" s="94"/>
      <c r="GT52" s="94"/>
      <c r="GU52" s="94"/>
      <c r="GV52" s="94"/>
      <c r="GW52" s="94"/>
      <c r="GX52" s="94"/>
      <c r="GY52" s="94"/>
      <c r="GZ52" s="94"/>
      <c r="HA52" s="94"/>
      <c r="HB52" s="94"/>
      <c r="HC52" s="94"/>
      <c r="HD52" s="94"/>
      <c r="HE52" s="94"/>
      <c r="HF52" s="94"/>
      <c r="HG52" s="94"/>
      <c r="HH52" s="94"/>
      <c r="HI52" s="94"/>
      <c r="HJ52" s="94"/>
      <c r="HK52" s="94"/>
      <c r="HL52" s="94"/>
      <c r="HM52" s="94"/>
      <c r="HN52" s="94"/>
      <c r="HO52" s="94"/>
      <c r="HP52" s="94"/>
      <c r="HQ52" s="94"/>
      <c r="HR52" s="94"/>
      <c r="HS52" s="94"/>
      <c r="HT52" s="94"/>
      <c r="HU52" s="94"/>
      <c r="HV52" s="94"/>
      <c r="HW52" s="94"/>
      <c r="HX52" s="94"/>
      <c r="HY52" s="94"/>
      <c r="HZ52" s="94"/>
      <c r="IA52" s="94"/>
      <c r="IB52" s="94"/>
      <c r="IC52" s="94"/>
      <c r="ID52" s="94"/>
      <c r="IE52" s="94"/>
      <c r="IF52" s="94"/>
      <c r="IG52" s="94"/>
      <c r="IH52" s="94"/>
      <c r="II52" s="94"/>
      <c r="IJ52" s="94"/>
      <c r="IK52" s="94"/>
      <c r="IL52" s="94"/>
      <c r="IM52" s="94"/>
      <c r="IN52" s="94"/>
      <c r="IO52" s="94"/>
      <c r="IP52" s="94"/>
      <c r="IQ52" s="94"/>
      <c r="IR52" s="94"/>
      <c r="IS52" s="94"/>
      <c r="IT52" s="94"/>
      <c r="IU52" s="94"/>
      <c r="IV52" s="94"/>
      <c r="IW52" s="94"/>
    </row>
    <row r="53" customFormat="false" ht="12.75" hidden="false" customHeight="true" outlineLevel="0" collapsed="false">
      <c r="A53" s="46" t="str">
        <f aca="false">'QTD Mgmt Summary'!A53</f>
        <v>Upstream Products (Mrha)</v>
      </c>
      <c r="B53" s="33"/>
      <c r="C53" s="74" t="n">
        <v>1646</v>
      </c>
      <c r="D53" s="114" t="n">
        <v>1646</v>
      </c>
      <c r="E53" s="180" t="n">
        <f aca="false">D53-C53</f>
        <v>0</v>
      </c>
      <c r="F53" s="226" t="n">
        <v>302</v>
      </c>
      <c r="G53" s="226" t="n">
        <v>302</v>
      </c>
      <c r="H53" s="184" t="n">
        <f aca="false">G53-F53</f>
        <v>0</v>
      </c>
      <c r="I53" s="78"/>
      <c r="J53" s="226"/>
      <c r="K53" s="312"/>
    </row>
    <row r="54" customFormat="false" ht="12.75" hidden="false" customHeight="true" outlineLevel="0" collapsed="false">
      <c r="A54" s="46" t="str">
        <f aca="false">'QTD Mgmt Summary'!A54</f>
        <v>Bridgeline (Redmond)</v>
      </c>
      <c r="B54" s="33"/>
      <c r="C54" s="74" t="n">
        <v>0</v>
      </c>
      <c r="D54" s="114" t="n">
        <v>0</v>
      </c>
      <c r="E54" s="180" t="n">
        <f aca="false">D54-C54</f>
        <v>0</v>
      </c>
      <c r="F54" s="226" t="n">
        <v>0</v>
      </c>
      <c r="G54" s="226" t="n">
        <v>0</v>
      </c>
      <c r="H54" s="184" t="n">
        <f aca="false">G54-F54</f>
        <v>0</v>
      </c>
      <c r="I54" s="204"/>
      <c r="J54" s="226"/>
      <c r="K54" s="184"/>
    </row>
    <row r="55" customFormat="false" ht="12.75" hidden="false" customHeight="true" outlineLevel="0" collapsed="false">
      <c r="A55" s="46" t="str">
        <f aca="false">'QTD Mgmt Summary'!A55</f>
        <v>HPL (Redmond)</v>
      </c>
      <c r="B55" s="33"/>
      <c r="C55" s="74" t="n">
        <v>507</v>
      </c>
      <c r="D55" s="114" t="n">
        <v>94</v>
      </c>
      <c r="E55" s="180" t="n">
        <f aca="false">D55-C55</f>
        <v>-413</v>
      </c>
      <c r="F55" s="226" t="n">
        <v>17825</v>
      </c>
      <c r="G55" s="226" t="n">
        <v>11763</v>
      </c>
      <c r="H55" s="184" t="n">
        <f aca="false">G55-F55</f>
        <v>-6062</v>
      </c>
      <c r="I55" s="204"/>
      <c r="J55" s="226"/>
      <c r="K55" s="184"/>
    </row>
    <row r="56" customFormat="false" ht="12.75" hidden="false" customHeight="true" outlineLevel="0" collapsed="false">
      <c r="A56" s="46" t="str">
        <f aca="false">'QTD Mgmt Summary'!A56</f>
        <v>Mexico (Irvin/Williams)</v>
      </c>
      <c r="B56" s="33"/>
      <c r="C56" s="74" t="n">
        <v>1311</v>
      </c>
      <c r="D56" s="114" t="n">
        <v>1311</v>
      </c>
      <c r="E56" s="180" t="n">
        <f aca="false">D56-C56</f>
        <v>0</v>
      </c>
      <c r="F56" s="226" t="n">
        <v>0</v>
      </c>
      <c r="G56" s="226" t="n">
        <v>0</v>
      </c>
      <c r="H56" s="184" t="n">
        <f aca="false">G56-F56</f>
        <v>0</v>
      </c>
      <c r="I56" s="221"/>
      <c r="J56" s="309"/>
      <c r="K56" s="307"/>
    </row>
    <row r="57" customFormat="false" ht="12.75" hidden="false" customHeight="true" outlineLevel="0" collapsed="false">
      <c r="A57" s="46" t="str">
        <f aca="false">'QTD Mgmt Summary'!A57</f>
        <v>Energy Capital Svcs (Thompson/Josey)</v>
      </c>
      <c r="B57" s="33"/>
      <c r="C57" s="74" t="n">
        <f aca="false">D57</f>
        <v>1945</v>
      </c>
      <c r="D57" s="114" t="n">
        <v>1945</v>
      </c>
      <c r="E57" s="180" t="n">
        <f aca="false">D57-C57</f>
        <v>0</v>
      </c>
      <c r="F57" s="226" t="n">
        <v>0</v>
      </c>
      <c r="G57" s="226" t="n">
        <v>0</v>
      </c>
      <c r="H57" s="184" t="n">
        <f aca="false">G57-F57</f>
        <v>0</v>
      </c>
      <c r="I57" s="308"/>
      <c r="J57" s="309"/>
      <c r="K57" s="307"/>
    </row>
    <row r="58" customFormat="false" ht="12.75" hidden="false" customHeight="true" outlineLevel="0" collapsed="false">
      <c r="A58" s="46" t="str">
        <f aca="false">'QTD Mgmt Summary'!A58</f>
        <v>Mariner</v>
      </c>
      <c r="B58" s="33"/>
      <c r="C58" s="74" t="n">
        <v>0</v>
      </c>
      <c r="D58" s="114" t="n">
        <v>0</v>
      </c>
      <c r="E58" s="180" t="n">
        <f aca="false">D58-C58</f>
        <v>0</v>
      </c>
      <c r="F58" s="226" t="n">
        <v>0</v>
      </c>
      <c r="G58" s="226" t="n">
        <v>0</v>
      </c>
      <c r="H58" s="184" t="n">
        <f aca="false">G58-F58</f>
        <v>0</v>
      </c>
      <c r="I58" s="308"/>
      <c r="J58" s="309"/>
      <c r="K58" s="307"/>
    </row>
    <row r="59" customFormat="false" ht="12.75" hidden="false" customHeight="true" outlineLevel="0" collapsed="false">
      <c r="A59" s="46" t="str">
        <f aca="false">'QTD Mgmt Summary'!A59</f>
        <v>Asset Marketing (D. Miller)</v>
      </c>
      <c r="B59" s="51"/>
      <c r="C59" s="74" t="n">
        <v>336</v>
      </c>
      <c r="D59" s="114" t="n">
        <v>336</v>
      </c>
      <c r="E59" s="180" t="n">
        <f aca="false">D59-C59</f>
        <v>0</v>
      </c>
      <c r="F59" s="226" t="n">
        <v>0</v>
      </c>
      <c r="G59" s="226" t="n">
        <v>0</v>
      </c>
      <c r="H59" s="184" t="n">
        <f aca="false">G59-F59</f>
        <v>0</v>
      </c>
      <c r="I59" s="204"/>
      <c r="J59" s="226"/>
      <c r="K59" s="184"/>
    </row>
    <row r="60" customFormat="false" ht="12.75" hidden="false" customHeight="true" outlineLevel="0" collapsed="false">
      <c r="A60" s="46" t="str">
        <f aca="false">'QTD Mgmt Summary'!A60</f>
        <v>Sold Peakers</v>
      </c>
      <c r="B60" s="51"/>
      <c r="C60" s="74" t="n">
        <v>994</v>
      </c>
      <c r="D60" s="114" t="n">
        <v>994</v>
      </c>
      <c r="E60" s="180" t="n">
        <f aca="false">D60-C60</f>
        <v>0</v>
      </c>
      <c r="F60" s="226" t="n">
        <v>0</v>
      </c>
      <c r="G60" s="226" t="n">
        <v>0</v>
      </c>
      <c r="H60" s="184" t="n">
        <f aca="false">G60-F60</f>
        <v>0</v>
      </c>
      <c r="I60" s="204"/>
      <c r="J60" s="226"/>
      <c r="K60" s="184"/>
    </row>
    <row r="61" customFormat="false" ht="12.75" hidden="false" customHeight="true" outlineLevel="0" collapsed="false">
      <c r="A61" s="46" t="str">
        <f aca="false">'QTD Mgmt Summary'!A61</f>
        <v>Cross Commodity (Lavorato)</v>
      </c>
      <c r="B61" s="51"/>
      <c r="C61" s="74" t="n">
        <v>0</v>
      </c>
      <c r="D61" s="114" t="n">
        <v>0</v>
      </c>
      <c r="E61" s="180" t="n">
        <f aca="false">D61-C61</f>
        <v>0</v>
      </c>
      <c r="F61" s="226" t="n">
        <v>0</v>
      </c>
      <c r="G61" s="226" t="n">
        <v>0</v>
      </c>
      <c r="H61" s="184" t="n">
        <f aca="false">G61-F61</f>
        <v>0</v>
      </c>
      <c r="I61" s="78"/>
      <c r="J61" s="226"/>
      <c r="K61" s="184"/>
    </row>
    <row r="62" customFormat="false" ht="12.75" hidden="false" customHeight="true" outlineLevel="0" collapsed="false">
      <c r="A62" s="46" t="str">
        <f aca="false">'QTD Mgmt Summary'!A62</f>
        <v>Office of the Chairman (Lavorato/Kitchen)</v>
      </c>
      <c r="B62" s="33"/>
      <c r="C62" s="74" t="n">
        <v>1292</v>
      </c>
      <c r="D62" s="114" t="n">
        <v>1292</v>
      </c>
      <c r="E62" s="180" t="n">
        <f aca="false">D62-C62</f>
        <v>0</v>
      </c>
      <c r="F62" s="226" t="n">
        <v>0</v>
      </c>
      <c r="G62" s="226" t="n">
        <v>0</v>
      </c>
      <c r="H62" s="184" t="n">
        <f aca="false">G62-F62</f>
        <v>0</v>
      </c>
      <c r="I62" s="78"/>
      <c r="J62" s="226"/>
      <c r="K62" s="184"/>
    </row>
    <row r="63" customFormat="false" ht="12.75" hidden="false" customHeight="true" outlineLevel="0" collapsed="false">
      <c r="A63" s="46" t="str">
        <f aca="false">'QTD Mgmt Summary'!A63</f>
        <v>TVA Settlement</v>
      </c>
      <c r="B63" s="33"/>
      <c r="C63" s="74" t="n">
        <v>0</v>
      </c>
      <c r="D63" s="114" t="n">
        <v>0</v>
      </c>
      <c r="E63" s="180" t="n">
        <f aca="false">D63-C63</f>
        <v>0</v>
      </c>
      <c r="F63" s="226" t="n">
        <v>0</v>
      </c>
      <c r="G63" s="226" t="n">
        <v>0</v>
      </c>
      <c r="H63" s="184" t="n">
        <f aca="false">G63-F63</f>
        <v>0</v>
      </c>
      <c r="I63" s="78"/>
      <c r="J63" s="226"/>
      <c r="K63" s="184"/>
    </row>
    <row r="64" customFormat="false" ht="12.75" hidden="false" customHeight="true" outlineLevel="0" collapsed="false">
      <c r="A64" s="46" t="str">
        <f aca="false">'QTD Mgmt Summary'!A64</f>
        <v>Other *</v>
      </c>
      <c r="B64" s="33"/>
      <c r="C64" s="74" t="n">
        <v>608</v>
      </c>
      <c r="D64" s="114" t="n">
        <v>608</v>
      </c>
      <c r="E64" s="180" t="n">
        <f aca="false">D64-C64</f>
        <v>0</v>
      </c>
      <c r="F64" s="226" t="n">
        <v>0</v>
      </c>
      <c r="G64" s="226" t="n">
        <v>0</v>
      </c>
      <c r="H64" s="184" t="n">
        <f aca="false">G64-F64</f>
        <v>0</v>
      </c>
      <c r="I64" s="221"/>
      <c r="J64" s="309"/>
      <c r="K64" s="307"/>
    </row>
    <row r="65" customFormat="false" ht="12.75" hidden="false" customHeight="true" outlineLevel="0" collapsed="false">
      <c r="A65" s="101" t="s">
        <v>66</v>
      </c>
      <c r="B65" s="191"/>
      <c r="C65" s="304" t="n">
        <f aca="false">(SUM(C53:C64))+C23+C31+C45+C52</f>
        <v>45627</v>
      </c>
      <c r="D65" s="193" t="n">
        <f aca="false">(SUM(D53:D64))+D23+D31+D45+D52</f>
        <v>44848</v>
      </c>
      <c r="E65" s="310" t="n">
        <f aca="false">(SUM(E53:E64))+E23+E31+E45+E52</f>
        <v>-779</v>
      </c>
      <c r="F65" s="304" t="n">
        <f aca="false">(SUM(F53:F64))+F23+F31+F45+F52</f>
        <v>18127</v>
      </c>
      <c r="G65" s="304" t="n">
        <f aca="false">(SUM(G53:G64))+G23+G31+G45+G52</f>
        <v>12065</v>
      </c>
      <c r="H65" s="305" t="n">
        <f aca="false">(SUM(H53:H64))+H23+H31+H45+H52</f>
        <v>-6062</v>
      </c>
      <c r="I65" s="195"/>
      <c r="J65" s="304"/>
      <c r="K65" s="305"/>
      <c r="L65" s="98"/>
      <c r="M65" s="98"/>
      <c r="N65" s="225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98"/>
      <c r="BD65" s="98"/>
      <c r="BE65" s="98"/>
      <c r="BF65" s="98"/>
      <c r="BG65" s="98"/>
      <c r="BH65" s="98"/>
      <c r="BI65" s="98"/>
      <c r="BJ65" s="98"/>
      <c r="BK65" s="98"/>
      <c r="BL65" s="98"/>
      <c r="BM65" s="98"/>
      <c r="BN65" s="98"/>
      <c r="BO65" s="98"/>
      <c r="BP65" s="98"/>
      <c r="BQ65" s="98"/>
      <c r="BR65" s="98"/>
      <c r="BS65" s="98"/>
      <c r="BT65" s="98"/>
      <c r="BU65" s="98"/>
      <c r="BV65" s="98"/>
      <c r="BW65" s="98"/>
      <c r="BX65" s="98"/>
      <c r="BY65" s="98"/>
      <c r="BZ65" s="98"/>
      <c r="CA65" s="98"/>
      <c r="CB65" s="98"/>
      <c r="CC65" s="98"/>
      <c r="CD65" s="98"/>
      <c r="CE65" s="98"/>
      <c r="CF65" s="98"/>
      <c r="CG65" s="98"/>
      <c r="CH65" s="98"/>
      <c r="CI65" s="98"/>
      <c r="CJ65" s="98"/>
      <c r="CK65" s="98"/>
      <c r="CL65" s="98"/>
      <c r="CM65" s="98"/>
      <c r="CN65" s="98"/>
      <c r="CO65" s="98"/>
      <c r="CP65" s="98"/>
      <c r="CQ65" s="98"/>
      <c r="CR65" s="98"/>
      <c r="CS65" s="98"/>
      <c r="CT65" s="98"/>
      <c r="CU65" s="98"/>
      <c r="CV65" s="98"/>
      <c r="CW65" s="98"/>
      <c r="CX65" s="98"/>
      <c r="CY65" s="98"/>
      <c r="CZ65" s="98"/>
      <c r="DA65" s="98"/>
      <c r="DB65" s="98"/>
      <c r="DC65" s="98"/>
      <c r="DD65" s="98"/>
      <c r="DE65" s="98"/>
      <c r="DF65" s="98"/>
      <c r="DG65" s="98"/>
      <c r="DH65" s="98"/>
      <c r="DI65" s="98"/>
      <c r="DJ65" s="98"/>
      <c r="DK65" s="98"/>
      <c r="DL65" s="98"/>
      <c r="DM65" s="98"/>
      <c r="DN65" s="98"/>
      <c r="DO65" s="98"/>
      <c r="DP65" s="98"/>
      <c r="DQ65" s="98"/>
      <c r="DR65" s="98"/>
      <c r="DS65" s="98"/>
      <c r="DT65" s="98"/>
      <c r="DU65" s="98"/>
      <c r="DV65" s="98"/>
      <c r="DW65" s="98"/>
      <c r="DX65" s="98"/>
      <c r="DY65" s="98"/>
      <c r="DZ65" s="98"/>
      <c r="EA65" s="98"/>
      <c r="EB65" s="98"/>
      <c r="EC65" s="98"/>
      <c r="ED65" s="98"/>
      <c r="EE65" s="98"/>
      <c r="EF65" s="98"/>
      <c r="EG65" s="98"/>
      <c r="EH65" s="98"/>
      <c r="EI65" s="98"/>
      <c r="EJ65" s="98"/>
      <c r="EK65" s="98"/>
      <c r="EL65" s="98"/>
      <c r="EM65" s="98"/>
      <c r="EN65" s="98"/>
      <c r="EO65" s="98"/>
      <c r="EP65" s="98"/>
      <c r="EQ65" s="98"/>
      <c r="ER65" s="98"/>
      <c r="ES65" s="98"/>
      <c r="ET65" s="98"/>
      <c r="EU65" s="98"/>
      <c r="EV65" s="98"/>
      <c r="EW65" s="98"/>
      <c r="EX65" s="98"/>
      <c r="EY65" s="98"/>
      <c r="EZ65" s="98"/>
      <c r="FA65" s="98"/>
      <c r="FB65" s="98"/>
      <c r="FC65" s="98"/>
      <c r="FD65" s="98"/>
      <c r="FE65" s="98"/>
      <c r="FF65" s="98"/>
      <c r="FG65" s="98"/>
      <c r="FH65" s="98"/>
      <c r="FI65" s="98"/>
      <c r="FJ65" s="98"/>
      <c r="FK65" s="98"/>
      <c r="FL65" s="98"/>
      <c r="FM65" s="98"/>
      <c r="FN65" s="98"/>
      <c r="FO65" s="98"/>
      <c r="FP65" s="98"/>
      <c r="FQ65" s="98"/>
      <c r="FR65" s="98"/>
      <c r="FS65" s="98"/>
      <c r="FT65" s="98"/>
      <c r="FU65" s="98"/>
      <c r="FV65" s="98"/>
      <c r="FW65" s="98"/>
      <c r="FX65" s="98"/>
      <c r="FY65" s="98"/>
      <c r="FZ65" s="98"/>
      <c r="GA65" s="98"/>
      <c r="GB65" s="98"/>
      <c r="GC65" s="98"/>
      <c r="GD65" s="98"/>
      <c r="GE65" s="98"/>
      <c r="GF65" s="98"/>
      <c r="GG65" s="98"/>
      <c r="GH65" s="98"/>
      <c r="GI65" s="98"/>
      <c r="GJ65" s="98"/>
      <c r="GK65" s="98"/>
      <c r="GL65" s="98"/>
      <c r="GM65" s="98"/>
      <c r="GN65" s="98"/>
      <c r="GO65" s="98"/>
      <c r="GP65" s="98"/>
      <c r="GQ65" s="98"/>
      <c r="GR65" s="98"/>
      <c r="GS65" s="98"/>
      <c r="GT65" s="98"/>
      <c r="GU65" s="98"/>
      <c r="GV65" s="98"/>
      <c r="GW65" s="98"/>
      <c r="GX65" s="98"/>
      <c r="GY65" s="98"/>
      <c r="GZ65" s="98"/>
      <c r="HA65" s="98"/>
      <c r="HB65" s="98"/>
      <c r="HC65" s="98"/>
      <c r="HD65" s="98"/>
      <c r="HE65" s="98"/>
      <c r="HF65" s="98"/>
      <c r="HG65" s="98"/>
      <c r="HH65" s="98"/>
      <c r="HI65" s="98"/>
      <c r="HJ65" s="98"/>
      <c r="HK65" s="98"/>
      <c r="HL65" s="98"/>
      <c r="HM65" s="98"/>
      <c r="HN65" s="98"/>
      <c r="HO65" s="98"/>
      <c r="HP65" s="98"/>
      <c r="HQ65" s="98"/>
      <c r="HR65" s="98"/>
      <c r="HS65" s="98"/>
      <c r="HT65" s="98"/>
      <c r="HU65" s="98"/>
      <c r="HV65" s="98"/>
      <c r="HW65" s="98"/>
      <c r="HX65" s="98"/>
      <c r="HY65" s="98"/>
      <c r="HZ65" s="98"/>
      <c r="IA65" s="98"/>
      <c r="IB65" s="98"/>
      <c r="IC65" s="98"/>
      <c r="ID65" s="98"/>
      <c r="IE65" s="98"/>
      <c r="IF65" s="98"/>
      <c r="IG65" s="98"/>
      <c r="IH65" s="98"/>
      <c r="II65" s="98"/>
      <c r="IJ65" s="98"/>
      <c r="IK65" s="98"/>
      <c r="IL65" s="98"/>
      <c r="IM65" s="98"/>
      <c r="IN65" s="98"/>
      <c r="IO65" s="98"/>
      <c r="IP65" s="98"/>
      <c r="IQ65" s="98"/>
      <c r="IR65" s="98"/>
      <c r="IS65" s="98"/>
      <c r="IT65" s="98"/>
      <c r="IU65" s="98"/>
      <c r="IV65" s="98"/>
      <c r="IW65" s="98"/>
    </row>
    <row r="66" customFormat="false" ht="7.5" hidden="false" customHeight="true" outlineLevel="0" collapsed="false">
      <c r="A66" s="97"/>
      <c r="B66" s="33"/>
      <c r="C66" s="74"/>
      <c r="D66" s="114"/>
      <c r="E66" s="357"/>
      <c r="F66" s="226"/>
      <c r="G66" s="226"/>
      <c r="H66" s="184"/>
      <c r="I66" s="78"/>
      <c r="J66" s="226"/>
      <c r="K66" s="312"/>
    </row>
    <row r="67" customFormat="false" ht="12.75" hidden="false" customHeight="true" outlineLevel="0" collapsed="false">
      <c r="A67" s="97" t="s">
        <v>67</v>
      </c>
      <c r="B67" s="33"/>
      <c r="C67" s="302" t="n">
        <f aca="false">D67</f>
        <v>2629</v>
      </c>
      <c r="D67" s="302" t="n">
        <v>2629</v>
      </c>
      <c r="E67" s="184" t="n">
        <f aca="false">D67-C67</f>
        <v>0</v>
      </c>
      <c r="F67" s="114" t="n">
        <v>0</v>
      </c>
      <c r="G67" s="114" t="n">
        <v>0</v>
      </c>
      <c r="H67" s="114" t="n">
        <f aca="false">G67-F67</f>
        <v>0</v>
      </c>
      <c r="I67" s="358"/>
      <c r="J67" s="359"/>
      <c r="K67" s="184"/>
    </row>
    <row r="68" customFormat="false" ht="12.75" hidden="false" customHeight="true" outlineLevel="0" collapsed="false">
      <c r="A68" s="97" t="s">
        <v>68</v>
      </c>
      <c r="B68" s="33"/>
      <c r="C68" s="302" t="n">
        <f aca="false">D68</f>
        <v>499</v>
      </c>
      <c r="D68" s="302" t="n">
        <v>499</v>
      </c>
      <c r="E68" s="184" t="n">
        <f aca="false">D68-C68</f>
        <v>0</v>
      </c>
      <c r="F68" s="114" t="n">
        <v>0</v>
      </c>
      <c r="G68" s="114" t="n">
        <v>0</v>
      </c>
      <c r="H68" s="114" t="n">
        <f aca="false">G68-F68</f>
        <v>0</v>
      </c>
      <c r="I68" s="358"/>
      <c r="J68" s="359"/>
      <c r="K68" s="184"/>
    </row>
    <row r="69" customFormat="false" ht="12.75" hidden="false" customHeight="true" outlineLevel="0" collapsed="false">
      <c r="A69" s="97" t="s">
        <v>69</v>
      </c>
      <c r="B69" s="33"/>
      <c r="C69" s="302" t="n">
        <f aca="false">D69</f>
        <v>1419</v>
      </c>
      <c r="D69" s="302" t="n">
        <v>1419</v>
      </c>
      <c r="E69" s="184" t="n">
        <f aca="false">D69-C69</f>
        <v>0</v>
      </c>
      <c r="F69" s="114" t="n">
        <v>0</v>
      </c>
      <c r="G69" s="114" t="n">
        <v>0</v>
      </c>
      <c r="H69" s="114" t="n">
        <f aca="false">G69-F69</f>
        <v>0</v>
      </c>
      <c r="I69" s="358"/>
      <c r="J69" s="359"/>
      <c r="K69" s="184"/>
    </row>
    <row r="70" customFormat="false" ht="12.75" hidden="false" customHeight="true" outlineLevel="0" collapsed="false">
      <c r="A70" s="97" t="s">
        <v>70</v>
      </c>
      <c r="B70" s="33"/>
      <c r="C70" s="302" t="n">
        <f aca="false">D70</f>
        <v>10143</v>
      </c>
      <c r="D70" s="302" t="n">
        <v>10143</v>
      </c>
      <c r="E70" s="184" t="n">
        <f aca="false">D70-C70</f>
        <v>0</v>
      </c>
      <c r="F70" s="114" t="n">
        <v>0</v>
      </c>
      <c r="G70" s="114" t="n">
        <v>0</v>
      </c>
      <c r="H70" s="114" t="n">
        <f aca="false">G70-F70</f>
        <v>0</v>
      </c>
      <c r="I70" s="358"/>
      <c r="J70" s="359"/>
      <c r="K70" s="184"/>
    </row>
    <row r="71" customFormat="false" ht="12.75" hidden="false" customHeight="true" outlineLevel="0" collapsed="false">
      <c r="A71" s="97" t="s">
        <v>71</v>
      </c>
      <c r="B71" s="33"/>
      <c r="C71" s="302" t="n">
        <f aca="false">D71</f>
        <v>1204</v>
      </c>
      <c r="D71" s="302" t="n">
        <v>1204</v>
      </c>
      <c r="E71" s="184" t="n">
        <f aca="false">D71-C71</f>
        <v>0</v>
      </c>
      <c r="F71" s="114" t="n">
        <v>0</v>
      </c>
      <c r="G71" s="114" t="n">
        <v>0</v>
      </c>
      <c r="H71" s="114" t="n">
        <f aca="false">G71-F71</f>
        <v>0</v>
      </c>
      <c r="I71" s="358"/>
      <c r="J71" s="359"/>
      <c r="K71" s="184"/>
    </row>
    <row r="72" customFormat="false" ht="12.75" hidden="false" customHeight="true" outlineLevel="0" collapsed="false">
      <c r="A72" s="97" t="s">
        <v>72</v>
      </c>
      <c r="B72" s="33"/>
      <c r="C72" s="302" t="n">
        <f aca="false">D72</f>
        <v>2251</v>
      </c>
      <c r="D72" s="302" t="n">
        <v>2251</v>
      </c>
      <c r="E72" s="184" t="n">
        <f aca="false">D72-C72</f>
        <v>0</v>
      </c>
      <c r="F72" s="114" t="n">
        <v>0</v>
      </c>
      <c r="G72" s="114" t="n">
        <v>0</v>
      </c>
      <c r="H72" s="114" t="n">
        <f aca="false">G72-F72</f>
        <v>0</v>
      </c>
      <c r="I72" s="358"/>
      <c r="J72" s="359"/>
      <c r="K72" s="184"/>
    </row>
    <row r="73" customFormat="false" ht="12.75" hidden="false" customHeight="true" outlineLevel="0" collapsed="false">
      <c r="A73" s="97" t="s">
        <v>73</v>
      </c>
      <c r="B73" s="33"/>
      <c r="C73" s="302" t="n">
        <f aca="false">D73</f>
        <v>318</v>
      </c>
      <c r="D73" s="302" t="n">
        <v>318</v>
      </c>
      <c r="E73" s="184" t="n">
        <f aca="false">D73-C73</f>
        <v>0</v>
      </c>
      <c r="F73" s="114" t="n">
        <v>0</v>
      </c>
      <c r="G73" s="114" t="n">
        <v>0</v>
      </c>
      <c r="H73" s="114" t="n">
        <f aca="false">G73-F73</f>
        <v>0</v>
      </c>
      <c r="I73" s="358"/>
      <c r="J73" s="359"/>
      <c r="K73" s="184"/>
    </row>
    <row r="74" customFormat="false" ht="12.75" hidden="false" customHeight="true" outlineLevel="0" collapsed="false">
      <c r="A74" s="97" t="s">
        <v>74</v>
      </c>
      <c r="B74" s="33"/>
      <c r="C74" s="302" t="n">
        <f aca="false">D74</f>
        <v>575</v>
      </c>
      <c r="D74" s="302" t="n">
        <v>575</v>
      </c>
      <c r="E74" s="184" t="n">
        <f aca="false">D74-C74</f>
        <v>0</v>
      </c>
      <c r="F74" s="114" t="n">
        <v>0</v>
      </c>
      <c r="G74" s="114" t="n">
        <v>0</v>
      </c>
      <c r="H74" s="114" t="n">
        <f aca="false">G74-F74</f>
        <v>0</v>
      </c>
      <c r="I74" s="358"/>
      <c r="J74" s="359"/>
      <c r="K74" s="184"/>
    </row>
    <row r="75" customFormat="false" ht="12.75" hidden="false" customHeight="true" outlineLevel="0" collapsed="false">
      <c r="A75" s="97" t="s">
        <v>75</v>
      </c>
      <c r="B75" s="33"/>
      <c r="C75" s="302" t="n">
        <f aca="false">D75</f>
        <v>545</v>
      </c>
      <c r="D75" s="302" t="n">
        <v>545</v>
      </c>
      <c r="E75" s="184" t="n">
        <f aca="false">D75-C75</f>
        <v>0</v>
      </c>
      <c r="F75" s="114" t="n">
        <v>0</v>
      </c>
      <c r="G75" s="114" t="n">
        <v>0</v>
      </c>
      <c r="H75" s="114" t="n">
        <f aca="false">G75-F75</f>
        <v>0</v>
      </c>
      <c r="I75" s="358"/>
      <c r="J75" s="359"/>
      <c r="K75" s="184"/>
    </row>
    <row r="76" customFormat="false" ht="12.75" hidden="false" customHeight="true" outlineLevel="0" collapsed="false">
      <c r="A76" s="97" t="s">
        <v>76</v>
      </c>
      <c r="B76" s="33"/>
      <c r="C76" s="302" t="n">
        <f aca="false">D76</f>
        <v>198</v>
      </c>
      <c r="D76" s="302" t="n">
        <v>198</v>
      </c>
      <c r="E76" s="184" t="n">
        <f aca="false">D76-C76</f>
        <v>0</v>
      </c>
      <c r="F76" s="114" t="n">
        <v>0</v>
      </c>
      <c r="G76" s="114" t="n">
        <v>0</v>
      </c>
      <c r="H76" s="114" t="n">
        <f aca="false">G76-F76</f>
        <v>0</v>
      </c>
      <c r="I76" s="358"/>
      <c r="J76" s="359"/>
      <c r="K76" s="184"/>
    </row>
    <row r="77" customFormat="false" ht="12.75" hidden="false" customHeight="true" outlineLevel="0" collapsed="false">
      <c r="A77" s="97" t="s">
        <v>77</v>
      </c>
      <c r="B77" s="33"/>
      <c r="C77" s="302" t="n">
        <f aca="false">D77</f>
        <v>682</v>
      </c>
      <c r="D77" s="302" t="n">
        <v>682</v>
      </c>
      <c r="E77" s="184" t="n">
        <f aca="false">D77-C77</f>
        <v>0</v>
      </c>
      <c r="F77" s="114" t="n">
        <v>0</v>
      </c>
      <c r="G77" s="114" t="n">
        <v>0</v>
      </c>
      <c r="H77" s="114" t="n">
        <f aca="false">G77-F77</f>
        <v>0</v>
      </c>
      <c r="I77" s="358"/>
      <c r="J77" s="359"/>
      <c r="K77" s="184"/>
    </row>
    <row r="78" customFormat="false" ht="12.75" hidden="false" customHeight="true" outlineLevel="0" collapsed="false">
      <c r="A78" s="97" t="s">
        <v>78</v>
      </c>
      <c r="B78" s="33"/>
      <c r="C78" s="302" t="n">
        <f aca="false">D78</f>
        <v>1419</v>
      </c>
      <c r="D78" s="302" t="n">
        <v>1419</v>
      </c>
      <c r="E78" s="184" t="n">
        <f aca="false">D78-C78</f>
        <v>0</v>
      </c>
      <c r="F78" s="114" t="n">
        <v>0</v>
      </c>
      <c r="G78" s="114" t="n">
        <v>0</v>
      </c>
      <c r="H78" s="114" t="n">
        <f aca="false">G78-F78</f>
        <v>0</v>
      </c>
      <c r="I78" s="358"/>
      <c r="J78" s="359"/>
      <c r="K78" s="184"/>
    </row>
    <row r="79" customFormat="false" ht="12.75" hidden="false" customHeight="true" outlineLevel="0" collapsed="false">
      <c r="A79" s="97" t="s">
        <v>79</v>
      </c>
      <c r="B79" s="33"/>
      <c r="C79" s="302" t="n">
        <f aca="false">D79</f>
        <v>23075</v>
      </c>
      <c r="D79" s="302" t="n">
        <v>23075</v>
      </c>
      <c r="E79" s="184" t="n">
        <f aca="false">D79-C79</f>
        <v>0</v>
      </c>
      <c r="F79" s="114" t="n">
        <v>0</v>
      </c>
      <c r="G79" s="114" t="n">
        <v>0</v>
      </c>
      <c r="H79" s="114" t="n">
        <f aca="false">G79-F79</f>
        <v>0</v>
      </c>
      <c r="I79" s="358"/>
      <c r="J79" s="359"/>
      <c r="K79" s="184"/>
    </row>
    <row r="80" customFormat="false" ht="12.75" hidden="false" customHeight="true" outlineLevel="0" collapsed="false">
      <c r="A80" s="97" t="s">
        <v>80</v>
      </c>
      <c r="B80" s="33"/>
      <c r="C80" s="302" t="n">
        <f aca="false">D80+750</f>
        <v>47362</v>
      </c>
      <c r="D80" s="302" t="n">
        <v>46612</v>
      </c>
      <c r="E80" s="184" t="n">
        <f aca="false">D80-C80</f>
        <v>-750</v>
      </c>
      <c r="F80" s="114" t="n">
        <v>0</v>
      </c>
      <c r="G80" s="114" t="n">
        <v>0</v>
      </c>
      <c r="H80" s="114" t="n">
        <f aca="false">G80-F80</f>
        <v>0</v>
      </c>
      <c r="I80" s="358"/>
      <c r="J80" s="359"/>
      <c r="K80" s="184"/>
    </row>
    <row r="81" customFormat="false" ht="12.75" hidden="false" customHeight="true" outlineLevel="0" collapsed="false">
      <c r="A81" s="101" t="s">
        <v>81</v>
      </c>
      <c r="B81" s="191"/>
      <c r="C81" s="223" t="n">
        <f aca="false">SUM(C67:C80)</f>
        <v>92319</v>
      </c>
      <c r="D81" s="193" t="n">
        <f aca="false">SUM(D67:D80)</f>
        <v>91569</v>
      </c>
      <c r="E81" s="310" t="n">
        <f aca="false">SUM(E67:E80)</f>
        <v>-750</v>
      </c>
      <c r="F81" s="223" t="n">
        <f aca="false">SUM(F67:F80)</f>
        <v>0</v>
      </c>
      <c r="G81" s="193" t="n">
        <f aca="false">SUM(G67:G80)</f>
        <v>0</v>
      </c>
      <c r="H81" s="310" t="n">
        <f aca="false">SUM(H67:H80)</f>
        <v>0</v>
      </c>
      <c r="I81" s="195"/>
      <c r="J81" s="304"/>
      <c r="K81" s="305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98"/>
      <c r="AG81" s="98"/>
      <c r="AH81" s="98"/>
      <c r="AI81" s="98"/>
      <c r="AJ81" s="98"/>
      <c r="AK81" s="98"/>
      <c r="AL81" s="98"/>
      <c r="AM81" s="98"/>
      <c r="AN81" s="98"/>
      <c r="AO81" s="98"/>
      <c r="AP81" s="98"/>
      <c r="AQ81" s="98"/>
      <c r="AR81" s="98"/>
      <c r="AS81" s="98"/>
      <c r="AT81" s="98"/>
      <c r="AU81" s="98"/>
      <c r="AV81" s="98"/>
      <c r="AW81" s="98"/>
      <c r="AX81" s="98"/>
      <c r="AY81" s="98"/>
      <c r="AZ81" s="98"/>
      <c r="BA81" s="98"/>
      <c r="BB81" s="98"/>
      <c r="BC81" s="98"/>
      <c r="BD81" s="98"/>
      <c r="BE81" s="98"/>
      <c r="BF81" s="98"/>
      <c r="BG81" s="98"/>
      <c r="BH81" s="98"/>
      <c r="BI81" s="98"/>
      <c r="BJ81" s="98"/>
      <c r="BK81" s="98"/>
      <c r="BL81" s="98"/>
      <c r="BM81" s="98"/>
      <c r="BN81" s="98"/>
      <c r="BO81" s="98"/>
      <c r="BP81" s="98"/>
      <c r="BQ81" s="98"/>
      <c r="BR81" s="98"/>
      <c r="BS81" s="98"/>
      <c r="BT81" s="98"/>
      <c r="BU81" s="98"/>
      <c r="BV81" s="98"/>
      <c r="BW81" s="98"/>
      <c r="BX81" s="98"/>
      <c r="BY81" s="98"/>
      <c r="BZ81" s="98"/>
      <c r="CA81" s="98"/>
      <c r="CB81" s="98"/>
      <c r="CC81" s="98"/>
      <c r="CD81" s="98"/>
      <c r="CE81" s="98"/>
      <c r="CF81" s="98"/>
      <c r="CG81" s="98"/>
      <c r="CH81" s="98"/>
      <c r="CI81" s="98"/>
      <c r="CJ81" s="98"/>
      <c r="CK81" s="98"/>
      <c r="CL81" s="98"/>
      <c r="CM81" s="98"/>
      <c r="CN81" s="98"/>
      <c r="CO81" s="98"/>
      <c r="CP81" s="98"/>
      <c r="CQ81" s="98"/>
      <c r="CR81" s="98"/>
      <c r="CS81" s="98"/>
      <c r="CT81" s="98"/>
      <c r="CU81" s="98"/>
      <c r="CV81" s="98"/>
      <c r="CW81" s="98"/>
      <c r="CX81" s="98"/>
      <c r="CY81" s="98"/>
      <c r="CZ81" s="98"/>
      <c r="DA81" s="98"/>
      <c r="DB81" s="98"/>
      <c r="DC81" s="98"/>
      <c r="DD81" s="98"/>
      <c r="DE81" s="98"/>
      <c r="DF81" s="98"/>
      <c r="DG81" s="98"/>
      <c r="DH81" s="98"/>
      <c r="DI81" s="98"/>
      <c r="DJ81" s="98"/>
      <c r="DK81" s="98"/>
      <c r="DL81" s="98"/>
      <c r="DM81" s="98"/>
      <c r="DN81" s="98"/>
      <c r="DO81" s="98"/>
      <c r="DP81" s="98"/>
      <c r="DQ81" s="98"/>
      <c r="DR81" s="98"/>
      <c r="DS81" s="98"/>
      <c r="DT81" s="98"/>
      <c r="DU81" s="98"/>
      <c r="DV81" s="98"/>
      <c r="DW81" s="98"/>
      <c r="DX81" s="98"/>
      <c r="DY81" s="98"/>
      <c r="DZ81" s="98"/>
      <c r="EA81" s="98"/>
      <c r="EB81" s="98"/>
      <c r="EC81" s="98"/>
      <c r="ED81" s="98"/>
      <c r="EE81" s="98"/>
      <c r="EF81" s="98"/>
      <c r="EG81" s="98"/>
      <c r="EH81" s="98"/>
      <c r="EI81" s="98"/>
      <c r="EJ81" s="98"/>
      <c r="EK81" s="98"/>
      <c r="EL81" s="98"/>
      <c r="EM81" s="98"/>
      <c r="EN81" s="98"/>
      <c r="EO81" s="98"/>
      <c r="EP81" s="98"/>
      <c r="EQ81" s="98"/>
      <c r="ER81" s="98"/>
      <c r="ES81" s="98"/>
      <c r="ET81" s="98"/>
      <c r="EU81" s="98"/>
      <c r="EV81" s="98"/>
      <c r="EW81" s="98"/>
      <c r="EX81" s="98"/>
      <c r="EY81" s="98"/>
      <c r="EZ81" s="98"/>
      <c r="FA81" s="98"/>
      <c r="FB81" s="98"/>
      <c r="FC81" s="98"/>
      <c r="FD81" s="98"/>
      <c r="FE81" s="98"/>
      <c r="FF81" s="98"/>
      <c r="FG81" s="98"/>
      <c r="FH81" s="98"/>
      <c r="FI81" s="98"/>
      <c r="FJ81" s="98"/>
      <c r="FK81" s="98"/>
      <c r="FL81" s="98"/>
      <c r="FM81" s="98"/>
      <c r="FN81" s="98"/>
      <c r="FO81" s="98"/>
      <c r="FP81" s="98"/>
      <c r="FQ81" s="98"/>
      <c r="FR81" s="98"/>
      <c r="FS81" s="98"/>
      <c r="FT81" s="98"/>
      <c r="FU81" s="98"/>
      <c r="FV81" s="98"/>
      <c r="FW81" s="98"/>
      <c r="FX81" s="98"/>
      <c r="FY81" s="98"/>
      <c r="FZ81" s="98"/>
      <c r="GA81" s="98"/>
      <c r="GB81" s="98"/>
      <c r="GC81" s="98"/>
      <c r="GD81" s="98"/>
      <c r="GE81" s="98"/>
      <c r="GF81" s="98"/>
      <c r="GG81" s="98"/>
      <c r="GH81" s="98"/>
      <c r="GI81" s="98"/>
      <c r="GJ81" s="98"/>
      <c r="GK81" s="98"/>
      <c r="GL81" s="98"/>
      <c r="GM81" s="98"/>
      <c r="GN81" s="98"/>
      <c r="GO81" s="98"/>
      <c r="GP81" s="98"/>
      <c r="GQ81" s="98"/>
      <c r="GR81" s="98"/>
      <c r="GS81" s="98"/>
      <c r="GT81" s="98"/>
      <c r="GU81" s="98"/>
      <c r="GV81" s="98"/>
      <c r="GW81" s="98"/>
      <c r="GX81" s="98"/>
      <c r="GY81" s="98"/>
      <c r="GZ81" s="98"/>
      <c r="HA81" s="98"/>
      <c r="HB81" s="98"/>
      <c r="HC81" s="98"/>
      <c r="HD81" s="98"/>
      <c r="HE81" s="98"/>
      <c r="HF81" s="98"/>
      <c r="HG81" s="98"/>
      <c r="HH81" s="98"/>
      <c r="HI81" s="98"/>
      <c r="HJ81" s="98"/>
      <c r="HK81" s="98"/>
      <c r="HL81" s="98"/>
      <c r="HM81" s="98"/>
      <c r="HN81" s="98"/>
      <c r="HO81" s="98"/>
      <c r="HP81" s="98"/>
      <c r="HQ81" s="98"/>
      <c r="HR81" s="98"/>
      <c r="HS81" s="98"/>
      <c r="HT81" s="98"/>
      <c r="HU81" s="98"/>
      <c r="HV81" s="98"/>
      <c r="HW81" s="98"/>
      <c r="HX81" s="98"/>
      <c r="HY81" s="98"/>
      <c r="HZ81" s="98"/>
      <c r="IA81" s="98"/>
      <c r="IB81" s="98"/>
      <c r="IC81" s="98"/>
      <c r="ID81" s="98"/>
      <c r="IE81" s="98"/>
      <c r="IF81" s="98"/>
      <c r="IG81" s="98"/>
      <c r="IH81" s="98"/>
      <c r="II81" s="98"/>
      <c r="IJ81" s="98"/>
      <c r="IK81" s="98"/>
      <c r="IL81" s="98"/>
      <c r="IM81" s="98"/>
      <c r="IN81" s="98"/>
      <c r="IO81" s="98"/>
      <c r="IP81" s="98"/>
      <c r="IQ81" s="98"/>
      <c r="IR81" s="98"/>
      <c r="IS81" s="98"/>
      <c r="IT81" s="98"/>
      <c r="IU81" s="98"/>
      <c r="IV81" s="98"/>
      <c r="IW81" s="98"/>
    </row>
    <row r="82" customFormat="false" ht="12.75" hidden="false" customHeight="true" outlineLevel="0" collapsed="false">
      <c r="A82" s="99" t="str">
        <f aca="false">'QTD Mgmt Summary'!A82</f>
        <v>Prepay Expenses</v>
      </c>
      <c r="B82" s="33"/>
      <c r="C82" s="78" t="n">
        <v>37132</v>
      </c>
      <c r="D82" s="226" t="n">
        <v>37132</v>
      </c>
      <c r="E82" s="180" t="n">
        <f aca="false">-D82+C82</f>
        <v>0</v>
      </c>
      <c r="F82" s="78" t="n">
        <v>0</v>
      </c>
      <c r="G82" s="226" t="n">
        <v>0</v>
      </c>
      <c r="H82" s="180" t="n">
        <f aca="false">-G82+F82</f>
        <v>0</v>
      </c>
      <c r="I82" s="78"/>
      <c r="J82" s="226"/>
      <c r="K82" s="184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100"/>
      <c r="AM82" s="100"/>
      <c r="AN82" s="100"/>
      <c r="AO82" s="100"/>
      <c r="AP82" s="100"/>
      <c r="AQ82" s="100"/>
      <c r="AR82" s="100"/>
      <c r="AS82" s="100"/>
      <c r="AT82" s="100"/>
      <c r="AU82" s="100"/>
      <c r="AV82" s="100"/>
      <c r="AW82" s="100"/>
      <c r="AX82" s="100"/>
      <c r="AY82" s="100"/>
      <c r="AZ82" s="100"/>
      <c r="BA82" s="100"/>
      <c r="BB82" s="100"/>
      <c r="BC82" s="100"/>
      <c r="BD82" s="100"/>
      <c r="BE82" s="100"/>
      <c r="BF82" s="100"/>
      <c r="BG82" s="100"/>
      <c r="BH82" s="100"/>
      <c r="BI82" s="100"/>
      <c r="BJ82" s="100"/>
      <c r="BK82" s="100"/>
      <c r="BL82" s="100"/>
      <c r="BM82" s="100"/>
      <c r="BN82" s="100"/>
      <c r="BO82" s="100"/>
      <c r="BP82" s="100"/>
      <c r="BQ82" s="100"/>
      <c r="BR82" s="100"/>
      <c r="BS82" s="100"/>
      <c r="BT82" s="100"/>
      <c r="BU82" s="100"/>
      <c r="BV82" s="100"/>
      <c r="BW82" s="100"/>
      <c r="BX82" s="100"/>
      <c r="BY82" s="100"/>
      <c r="BZ82" s="100"/>
      <c r="CA82" s="100"/>
      <c r="CB82" s="100"/>
      <c r="CC82" s="100"/>
      <c r="CD82" s="100"/>
      <c r="CE82" s="100"/>
      <c r="CF82" s="100"/>
      <c r="CG82" s="100"/>
      <c r="CH82" s="100"/>
      <c r="CI82" s="100"/>
      <c r="CJ82" s="100"/>
      <c r="CK82" s="100"/>
      <c r="CL82" s="100"/>
      <c r="CM82" s="100"/>
      <c r="CN82" s="100"/>
      <c r="CO82" s="100"/>
      <c r="CP82" s="100"/>
      <c r="CQ82" s="100"/>
      <c r="CR82" s="100"/>
      <c r="CS82" s="100"/>
      <c r="CT82" s="100"/>
      <c r="CU82" s="100"/>
      <c r="CV82" s="100"/>
      <c r="CW82" s="100"/>
      <c r="CX82" s="100"/>
      <c r="CY82" s="100"/>
      <c r="CZ82" s="100"/>
      <c r="DA82" s="100"/>
      <c r="DB82" s="100"/>
      <c r="DC82" s="100"/>
      <c r="DD82" s="100"/>
      <c r="DE82" s="100"/>
      <c r="DF82" s="100"/>
      <c r="DG82" s="100"/>
      <c r="DH82" s="100"/>
      <c r="DI82" s="100"/>
      <c r="DJ82" s="100"/>
      <c r="DK82" s="100"/>
      <c r="DL82" s="100"/>
      <c r="DM82" s="100"/>
      <c r="DN82" s="100"/>
      <c r="DO82" s="100"/>
      <c r="DP82" s="100"/>
      <c r="DQ82" s="100"/>
      <c r="DR82" s="100"/>
      <c r="DS82" s="100"/>
      <c r="DT82" s="100"/>
      <c r="DU82" s="100"/>
      <c r="DV82" s="100"/>
      <c r="DW82" s="100"/>
      <c r="DX82" s="100"/>
      <c r="DY82" s="100"/>
      <c r="DZ82" s="100"/>
      <c r="EA82" s="100"/>
      <c r="EB82" s="100"/>
      <c r="EC82" s="100"/>
      <c r="ED82" s="100"/>
      <c r="EE82" s="100"/>
      <c r="EF82" s="100"/>
      <c r="EG82" s="100"/>
      <c r="EH82" s="100"/>
      <c r="EI82" s="100"/>
      <c r="EJ82" s="100"/>
      <c r="EK82" s="100"/>
      <c r="EL82" s="100"/>
      <c r="EM82" s="100"/>
      <c r="EN82" s="100"/>
      <c r="EO82" s="100"/>
      <c r="EP82" s="100"/>
      <c r="EQ82" s="100"/>
      <c r="ER82" s="100"/>
      <c r="ES82" s="100"/>
      <c r="ET82" s="100"/>
      <c r="EU82" s="100"/>
      <c r="EV82" s="100"/>
      <c r="EW82" s="100"/>
      <c r="EX82" s="100"/>
      <c r="EY82" s="100"/>
      <c r="EZ82" s="100"/>
      <c r="FA82" s="100"/>
      <c r="FB82" s="100"/>
      <c r="FC82" s="100"/>
      <c r="FD82" s="100"/>
      <c r="FE82" s="100"/>
      <c r="FF82" s="100"/>
      <c r="FG82" s="100"/>
      <c r="FH82" s="100"/>
      <c r="FI82" s="100"/>
      <c r="FJ82" s="100"/>
      <c r="FK82" s="100"/>
      <c r="FL82" s="100"/>
      <c r="FM82" s="100"/>
      <c r="FN82" s="100"/>
      <c r="FO82" s="100"/>
      <c r="FP82" s="100"/>
      <c r="FQ82" s="100"/>
      <c r="FR82" s="100"/>
      <c r="FS82" s="100"/>
      <c r="FT82" s="100"/>
      <c r="FU82" s="100"/>
      <c r="FV82" s="100"/>
      <c r="FW82" s="100"/>
      <c r="FX82" s="100"/>
      <c r="FY82" s="100"/>
      <c r="FZ82" s="100"/>
      <c r="GA82" s="100"/>
      <c r="GB82" s="100"/>
      <c r="GC82" s="100"/>
      <c r="GD82" s="100"/>
      <c r="GE82" s="100"/>
      <c r="GF82" s="100"/>
      <c r="GG82" s="100"/>
      <c r="GH82" s="100"/>
      <c r="GI82" s="100"/>
      <c r="GJ82" s="100"/>
      <c r="GK82" s="100"/>
      <c r="GL82" s="100"/>
      <c r="GM82" s="100"/>
      <c r="GN82" s="100"/>
      <c r="GO82" s="100"/>
      <c r="GP82" s="100"/>
      <c r="GQ82" s="100"/>
      <c r="GR82" s="100"/>
      <c r="GS82" s="100"/>
      <c r="GT82" s="100"/>
      <c r="GU82" s="100"/>
      <c r="GV82" s="100"/>
      <c r="GW82" s="100"/>
      <c r="GX82" s="100"/>
      <c r="GY82" s="100"/>
      <c r="GZ82" s="100"/>
      <c r="HA82" s="100"/>
      <c r="HB82" s="100"/>
      <c r="HC82" s="100"/>
      <c r="HD82" s="100"/>
      <c r="HE82" s="100"/>
      <c r="HF82" s="100"/>
      <c r="HG82" s="100"/>
      <c r="HH82" s="100"/>
      <c r="HI82" s="100"/>
      <c r="HJ82" s="100"/>
      <c r="HK82" s="100"/>
      <c r="HL82" s="100"/>
      <c r="HM82" s="100"/>
      <c r="HN82" s="100"/>
      <c r="HO82" s="100"/>
      <c r="HP82" s="100"/>
      <c r="HQ82" s="100"/>
      <c r="HR82" s="100"/>
      <c r="HS82" s="100"/>
      <c r="HT82" s="100"/>
      <c r="HU82" s="100"/>
      <c r="HV82" s="100"/>
      <c r="HW82" s="100"/>
      <c r="HX82" s="100"/>
      <c r="HY82" s="100"/>
      <c r="HZ82" s="100"/>
      <c r="IA82" s="100"/>
      <c r="IB82" s="100"/>
      <c r="IC82" s="100"/>
      <c r="ID82" s="100"/>
      <c r="IE82" s="100"/>
      <c r="IF82" s="100"/>
      <c r="IG82" s="100"/>
      <c r="IH82" s="100"/>
      <c r="II82" s="100"/>
      <c r="IJ82" s="100"/>
      <c r="IK82" s="100"/>
      <c r="IL82" s="100"/>
      <c r="IM82" s="100"/>
      <c r="IN82" s="100"/>
      <c r="IO82" s="100"/>
      <c r="IP82" s="100"/>
      <c r="IQ82" s="100"/>
      <c r="IR82" s="100"/>
      <c r="IS82" s="100"/>
      <c r="IT82" s="100"/>
      <c r="IU82" s="100"/>
      <c r="IV82" s="100"/>
      <c r="IW82" s="100"/>
    </row>
    <row r="83" customFormat="false" ht="12.75" hidden="false" customHeight="true" outlineLevel="0" collapsed="false">
      <c r="A83" s="99" t="str">
        <f aca="false">'QTD Mgmt Summary'!A83</f>
        <v>U.S. Drift</v>
      </c>
      <c r="B83" s="33"/>
      <c r="C83" s="74" t="n">
        <v>600</v>
      </c>
      <c r="D83" s="226" t="n">
        <v>600</v>
      </c>
      <c r="E83" s="180" t="n">
        <f aca="false">-D83+C83</f>
        <v>0</v>
      </c>
      <c r="F83" s="74" t="n">
        <v>0</v>
      </c>
      <c r="G83" s="226" t="n">
        <v>0</v>
      </c>
      <c r="H83" s="180" t="n">
        <f aca="false">-G83+F83</f>
        <v>0</v>
      </c>
      <c r="I83" s="78"/>
      <c r="J83" s="226"/>
      <c r="K83" s="184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100"/>
      <c r="AM83" s="100"/>
      <c r="AN83" s="100"/>
      <c r="AO83" s="100"/>
      <c r="AP83" s="100"/>
      <c r="AQ83" s="100"/>
      <c r="AR83" s="100"/>
      <c r="AS83" s="100"/>
      <c r="AT83" s="100"/>
      <c r="AU83" s="100"/>
      <c r="AV83" s="100"/>
      <c r="AW83" s="100"/>
      <c r="AX83" s="100"/>
      <c r="AY83" s="100"/>
      <c r="AZ83" s="100"/>
      <c r="BA83" s="100"/>
      <c r="BB83" s="100"/>
      <c r="BC83" s="100"/>
      <c r="BD83" s="100"/>
      <c r="BE83" s="100"/>
      <c r="BF83" s="100"/>
      <c r="BG83" s="100"/>
      <c r="BH83" s="100"/>
      <c r="BI83" s="100"/>
      <c r="BJ83" s="100"/>
      <c r="BK83" s="100"/>
      <c r="BL83" s="100"/>
      <c r="BM83" s="100"/>
      <c r="BN83" s="100"/>
      <c r="BO83" s="100"/>
      <c r="BP83" s="100"/>
      <c r="BQ83" s="100"/>
      <c r="BR83" s="100"/>
      <c r="BS83" s="100"/>
      <c r="BT83" s="100"/>
      <c r="BU83" s="100"/>
      <c r="BV83" s="100"/>
      <c r="BW83" s="100"/>
      <c r="BX83" s="100"/>
      <c r="BY83" s="100"/>
      <c r="BZ83" s="100"/>
      <c r="CA83" s="100"/>
      <c r="CB83" s="100"/>
      <c r="CC83" s="100"/>
      <c r="CD83" s="100"/>
      <c r="CE83" s="100"/>
      <c r="CF83" s="100"/>
      <c r="CG83" s="100"/>
      <c r="CH83" s="100"/>
      <c r="CI83" s="100"/>
      <c r="CJ83" s="100"/>
      <c r="CK83" s="100"/>
      <c r="CL83" s="100"/>
      <c r="CM83" s="100"/>
      <c r="CN83" s="100"/>
      <c r="CO83" s="100"/>
      <c r="CP83" s="100"/>
      <c r="CQ83" s="100"/>
      <c r="CR83" s="100"/>
      <c r="CS83" s="100"/>
      <c r="CT83" s="100"/>
      <c r="CU83" s="100"/>
      <c r="CV83" s="100"/>
      <c r="CW83" s="100"/>
      <c r="CX83" s="100"/>
      <c r="CY83" s="100"/>
      <c r="CZ83" s="100"/>
      <c r="DA83" s="100"/>
      <c r="DB83" s="100"/>
      <c r="DC83" s="100"/>
      <c r="DD83" s="100"/>
      <c r="DE83" s="100"/>
      <c r="DF83" s="100"/>
      <c r="DG83" s="100"/>
      <c r="DH83" s="100"/>
      <c r="DI83" s="100"/>
      <c r="DJ83" s="100"/>
      <c r="DK83" s="100"/>
      <c r="DL83" s="100"/>
      <c r="DM83" s="100"/>
      <c r="DN83" s="100"/>
      <c r="DO83" s="100"/>
      <c r="DP83" s="100"/>
      <c r="DQ83" s="100"/>
      <c r="DR83" s="100"/>
      <c r="DS83" s="100"/>
      <c r="DT83" s="100"/>
      <c r="DU83" s="100"/>
      <c r="DV83" s="100"/>
      <c r="DW83" s="100"/>
      <c r="DX83" s="100"/>
      <c r="DY83" s="100"/>
      <c r="DZ83" s="100"/>
      <c r="EA83" s="100"/>
      <c r="EB83" s="100"/>
      <c r="EC83" s="100"/>
      <c r="ED83" s="100"/>
      <c r="EE83" s="100"/>
      <c r="EF83" s="100"/>
      <c r="EG83" s="100"/>
      <c r="EH83" s="100"/>
      <c r="EI83" s="100"/>
      <c r="EJ83" s="100"/>
      <c r="EK83" s="100"/>
      <c r="EL83" s="100"/>
      <c r="EM83" s="100"/>
      <c r="EN83" s="100"/>
      <c r="EO83" s="100"/>
      <c r="EP83" s="100"/>
      <c r="EQ83" s="100"/>
      <c r="ER83" s="100"/>
      <c r="ES83" s="100"/>
      <c r="ET83" s="100"/>
      <c r="EU83" s="100"/>
      <c r="EV83" s="100"/>
      <c r="EW83" s="100"/>
      <c r="EX83" s="100"/>
      <c r="EY83" s="100"/>
      <c r="EZ83" s="100"/>
      <c r="FA83" s="100"/>
      <c r="FB83" s="100"/>
      <c r="FC83" s="100"/>
      <c r="FD83" s="100"/>
      <c r="FE83" s="100"/>
      <c r="FF83" s="100"/>
      <c r="FG83" s="100"/>
      <c r="FH83" s="100"/>
      <c r="FI83" s="100"/>
      <c r="FJ83" s="100"/>
      <c r="FK83" s="100"/>
      <c r="FL83" s="100"/>
      <c r="FM83" s="100"/>
      <c r="FN83" s="100"/>
      <c r="FO83" s="100"/>
      <c r="FP83" s="100"/>
      <c r="FQ83" s="100"/>
      <c r="FR83" s="100"/>
      <c r="FS83" s="100"/>
      <c r="FT83" s="100"/>
      <c r="FU83" s="100"/>
      <c r="FV83" s="100"/>
      <c r="FW83" s="100"/>
      <c r="FX83" s="100"/>
      <c r="FY83" s="100"/>
      <c r="FZ83" s="100"/>
      <c r="GA83" s="100"/>
      <c r="GB83" s="100"/>
      <c r="GC83" s="100"/>
      <c r="GD83" s="100"/>
      <c r="GE83" s="100"/>
      <c r="GF83" s="100"/>
      <c r="GG83" s="100"/>
      <c r="GH83" s="100"/>
      <c r="GI83" s="100"/>
      <c r="GJ83" s="100"/>
      <c r="GK83" s="100"/>
      <c r="GL83" s="100"/>
      <c r="GM83" s="100"/>
      <c r="GN83" s="100"/>
      <c r="GO83" s="100"/>
      <c r="GP83" s="100"/>
      <c r="GQ83" s="100"/>
      <c r="GR83" s="100"/>
      <c r="GS83" s="100"/>
      <c r="GT83" s="100"/>
      <c r="GU83" s="100"/>
      <c r="GV83" s="100"/>
      <c r="GW83" s="100"/>
      <c r="GX83" s="100"/>
      <c r="GY83" s="100"/>
      <c r="GZ83" s="100"/>
      <c r="HA83" s="100"/>
      <c r="HB83" s="100"/>
      <c r="HC83" s="100"/>
      <c r="HD83" s="100"/>
      <c r="HE83" s="100"/>
      <c r="HF83" s="100"/>
      <c r="HG83" s="100"/>
      <c r="HH83" s="100"/>
      <c r="HI83" s="100"/>
      <c r="HJ83" s="100"/>
      <c r="HK83" s="100"/>
      <c r="HL83" s="100"/>
      <c r="HM83" s="100"/>
      <c r="HN83" s="100"/>
      <c r="HO83" s="100"/>
      <c r="HP83" s="100"/>
      <c r="HQ83" s="100"/>
      <c r="HR83" s="100"/>
      <c r="HS83" s="100"/>
      <c r="HT83" s="100"/>
      <c r="HU83" s="100"/>
      <c r="HV83" s="100"/>
      <c r="HW83" s="100"/>
      <c r="HX83" s="100"/>
      <c r="HY83" s="100"/>
      <c r="HZ83" s="100"/>
      <c r="IA83" s="100"/>
      <c r="IB83" s="100"/>
      <c r="IC83" s="100"/>
      <c r="ID83" s="100"/>
      <c r="IE83" s="100"/>
      <c r="IF83" s="100"/>
      <c r="IG83" s="100"/>
      <c r="IH83" s="100"/>
      <c r="II83" s="100"/>
      <c r="IJ83" s="100"/>
      <c r="IK83" s="100"/>
      <c r="IL83" s="100"/>
      <c r="IM83" s="100"/>
      <c r="IN83" s="100"/>
      <c r="IO83" s="100"/>
      <c r="IP83" s="100"/>
      <c r="IQ83" s="100"/>
      <c r="IR83" s="100"/>
      <c r="IS83" s="100"/>
      <c r="IT83" s="100"/>
      <c r="IU83" s="100"/>
      <c r="IV83" s="100"/>
      <c r="IW83" s="100"/>
    </row>
    <row r="84" customFormat="false" ht="12.75" hidden="false" customHeight="true" outlineLevel="0" collapsed="false">
      <c r="A84" s="99" t="str">
        <f aca="false">'QTD Mgmt Summary'!A84</f>
        <v>Facility Costs</v>
      </c>
      <c r="B84" s="33"/>
      <c r="C84" s="78" t="n">
        <v>0</v>
      </c>
      <c r="D84" s="226" t="n">
        <v>0</v>
      </c>
      <c r="E84" s="180" t="n">
        <f aca="false">-D84+C84</f>
        <v>0</v>
      </c>
      <c r="F84" s="78" t="n">
        <v>0</v>
      </c>
      <c r="G84" s="226" t="n">
        <v>0</v>
      </c>
      <c r="H84" s="180" t="n">
        <f aca="false">-G84+F84</f>
        <v>0</v>
      </c>
      <c r="I84" s="78"/>
      <c r="J84" s="226"/>
      <c r="K84" s="184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  <c r="AS84" s="100"/>
      <c r="AT84" s="100"/>
      <c r="AU84" s="100"/>
      <c r="AV84" s="100"/>
      <c r="AW84" s="100"/>
      <c r="AX84" s="100"/>
      <c r="AY84" s="100"/>
      <c r="AZ84" s="100"/>
      <c r="BA84" s="100"/>
      <c r="BB84" s="100"/>
      <c r="BC84" s="100"/>
      <c r="BD84" s="100"/>
      <c r="BE84" s="100"/>
      <c r="BF84" s="100"/>
      <c r="BG84" s="100"/>
      <c r="BH84" s="100"/>
      <c r="BI84" s="100"/>
      <c r="BJ84" s="100"/>
      <c r="BK84" s="100"/>
      <c r="BL84" s="100"/>
      <c r="BM84" s="100"/>
      <c r="BN84" s="100"/>
      <c r="BO84" s="100"/>
      <c r="BP84" s="100"/>
      <c r="BQ84" s="100"/>
      <c r="BR84" s="100"/>
      <c r="BS84" s="100"/>
      <c r="BT84" s="100"/>
      <c r="BU84" s="100"/>
      <c r="BV84" s="100"/>
      <c r="BW84" s="100"/>
      <c r="BX84" s="100"/>
      <c r="BY84" s="100"/>
      <c r="BZ84" s="100"/>
      <c r="CA84" s="100"/>
      <c r="CB84" s="100"/>
      <c r="CC84" s="100"/>
      <c r="CD84" s="100"/>
      <c r="CE84" s="100"/>
      <c r="CF84" s="100"/>
      <c r="CG84" s="100"/>
      <c r="CH84" s="100"/>
      <c r="CI84" s="100"/>
      <c r="CJ84" s="100"/>
      <c r="CK84" s="100"/>
      <c r="CL84" s="100"/>
      <c r="CM84" s="100"/>
      <c r="CN84" s="100"/>
      <c r="CO84" s="100"/>
      <c r="CP84" s="100"/>
      <c r="CQ84" s="100"/>
      <c r="CR84" s="100"/>
      <c r="CS84" s="100"/>
      <c r="CT84" s="100"/>
      <c r="CU84" s="100"/>
      <c r="CV84" s="100"/>
      <c r="CW84" s="100"/>
      <c r="CX84" s="100"/>
      <c r="CY84" s="100"/>
      <c r="CZ84" s="100"/>
      <c r="DA84" s="100"/>
      <c r="DB84" s="100"/>
      <c r="DC84" s="100"/>
      <c r="DD84" s="100"/>
      <c r="DE84" s="100"/>
      <c r="DF84" s="100"/>
      <c r="DG84" s="100"/>
      <c r="DH84" s="100"/>
      <c r="DI84" s="100"/>
      <c r="DJ84" s="100"/>
      <c r="DK84" s="100"/>
      <c r="DL84" s="100"/>
      <c r="DM84" s="100"/>
      <c r="DN84" s="100"/>
      <c r="DO84" s="100"/>
      <c r="DP84" s="100"/>
      <c r="DQ84" s="100"/>
      <c r="DR84" s="100"/>
      <c r="DS84" s="100"/>
      <c r="DT84" s="100"/>
      <c r="DU84" s="100"/>
      <c r="DV84" s="100"/>
      <c r="DW84" s="100"/>
      <c r="DX84" s="100"/>
      <c r="DY84" s="100"/>
      <c r="DZ84" s="100"/>
      <c r="EA84" s="100"/>
      <c r="EB84" s="100"/>
      <c r="EC84" s="100"/>
      <c r="ED84" s="100"/>
      <c r="EE84" s="100"/>
      <c r="EF84" s="100"/>
      <c r="EG84" s="100"/>
      <c r="EH84" s="100"/>
      <c r="EI84" s="100"/>
      <c r="EJ84" s="100"/>
      <c r="EK84" s="100"/>
      <c r="EL84" s="100"/>
      <c r="EM84" s="100"/>
      <c r="EN84" s="100"/>
      <c r="EO84" s="100"/>
      <c r="EP84" s="100"/>
      <c r="EQ84" s="100"/>
      <c r="ER84" s="100"/>
      <c r="ES84" s="100"/>
      <c r="ET84" s="100"/>
      <c r="EU84" s="100"/>
      <c r="EV84" s="100"/>
      <c r="EW84" s="100"/>
      <c r="EX84" s="100"/>
      <c r="EY84" s="100"/>
      <c r="EZ84" s="100"/>
      <c r="FA84" s="100"/>
      <c r="FB84" s="100"/>
      <c r="FC84" s="100"/>
      <c r="FD84" s="100"/>
      <c r="FE84" s="100"/>
      <c r="FF84" s="100"/>
      <c r="FG84" s="100"/>
      <c r="FH84" s="100"/>
      <c r="FI84" s="100"/>
      <c r="FJ84" s="100"/>
      <c r="FK84" s="100"/>
      <c r="FL84" s="100"/>
      <c r="FM84" s="100"/>
      <c r="FN84" s="100"/>
      <c r="FO84" s="100"/>
      <c r="FP84" s="100"/>
      <c r="FQ84" s="100"/>
      <c r="FR84" s="100"/>
      <c r="FS84" s="100"/>
      <c r="FT84" s="100"/>
      <c r="FU84" s="100"/>
      <c r="FV84" s="100"/>
      <c r="FW84" s="100"/>
      <c r="FX84" s="100"/>
      <c r="FY84" s="100"/>
      <c r="FZ84" s="100"/>
      <c r="GA84" s="100"/>
      <c r="GB84" s="100"/>
      <c r="GC84" s="100"/>
      <c r="GD84" s="100"/>
      <c r="GE84" s="100"/>
      <c r="GF84" s="100"/>
      <c r="GG84" s="100"/>
      <c r="GH84" s="100"/>
      <c r="GI84" s="100"/>
      <c r="GJ84" s="100"/>
      <c r="GK84" s="100"/>
      <c r="GL84" s="100"/>
      <c r="GM84" s="100"/>
      <c r="GN84" s="100"/>
      <c r="GO84" s="100"/>
      <c r="GP84" s="100"/>
      <c r="GQ84" s="100"/>
      <c r="GR84" s="100"/>
      <c r="GS84" s="100"/>
      <c r="GT84" s="100"/>
      <c r="GU84" s="100"/>
      <c r="GV84" s="100"/>
      <c r="GW84" s="100"/>
      <c r="GX84" s="100"/>
      <c r="GY84" s="100"/>
      <c r="GZ84" s="100"/>
      <c r="HA84" s="100"/>
      <c r="HB84" s="100"/>
      <c r="HC84" s="100"/>
      <c r="HD84" s="100"/>
      <c r="HE84" s="100"/>
      <c r="HF84" s="100"/>
      <c r="HG84" s="100"/>
      <c r="HH84" s="100"/>
      <c r="HI84" s="100"/>
      <c r="HJ84" s="100"/>
      <c r="HK84" s="100"/>
      <c r="HL84" s="100"/>
      <c r="HM84" s="100"/>
      <c r="HN84" s="100"/>
      <c r="HO84" s="100"/>
      <c r="HP84" s="100"/>
      <c r="HQ84" s="100"/>
      <c r="HR84" s="100"/>
      <c r="HS84" s="100"/>
      <c r="HT84" s="100"/>
      <c r="HU84" s="100"/>
      <c r="HV84" s="100"/>
      <c r="HW84" s="100"/>
      <c r="HX84" s="100"/>
      <c r="HY84" s="100"/>
      <c r="HZ84" s="100"/>
      <c r="IA84" s="100"/>
      <c r="IB84" s="100"/>
      <c r="IC84" s="100"/>
      <c r="ID84" s="100"/>
      <c r="IE84" s="100"/>
      <c r="IF84" s="100"/>
      <c r="IG84" s="100"/>
      <c r="IH84" s="100"/>
      <c r="II84" s="100"/>
      <c r="IJ84" s="100"/>
      <c r="IK84" s="100"/>
      <c r="IL84" s="100"/>
      <c r="IM84" s="100"/>
      <c r="IN84" s="100"/>
      <c r="IO84" s="100"/>
      <c r="IP84" s="100"/>
      <c r="IQ84" s="100"/>
      <c r="IR84" s="100"/>
      <c r="IS84" s="100"/>
      <c r="IT84" s="100"/>
      <c r="IU84" s="100"/>
      <c r="IV84" s="100"/>
      <c r="IW84" s="100"/>
    </row>
    <row r="85" customFormat="false" ht="12.75" hidden="false" customHeight="true" outlineLevel="0" collapsed="false">
      <c r="A85" s="99" t="str">
        <f aca="false">'QTD Mgmt Summary'!A85</f>
        <v>Capital Charge Offset</v>
      </c>
      <c r="B85" s="33"/>
      <c r="C85" s="78" t="n">
        <v>0</v>
      </c>
      <c r="D85" s="226" t="n">
        <v>0</v>
      </c>
      <c r="E85" s="180" t="n">
        <f aca="false">-D85+C85</f>
        <v>0</v>
      </c>
      <c r="F85" s="78" t="n">
        <v>0</v>
      </c>
      <c r="G85" s="226" t="n">
        <v>0</v>
      </c>
      <c r="H85" s="180" t="n">
        <f aca="false">-G85+F85</f>
        <v>0</v>
      </c>
      <c r="I85" s="204"/>
      <c r="J85" s="302"/>
      <c r="K85" s="184"/>
    </row>
    <row r="86" customFormat="false" ht="12.75" hidden="false" customHeight="true" outlineLevel="0" collapsed="false">
      <c r="A86" s="101" t="s">
        <v>199</v>
      </c>
      <c r="B86" s="191"/>
      <c r="C86" s="223" t="n">
        <f aca="false">C65+C81+C82+C83+C84+C85</f>
        <v>175678</v>
      </c>
      <c r="D86" s="193" t="n">
        <f aca="false">D65+D81+D82+D83+D84+D85</f>
        <v>174149</v>
      </c>
      <c r="E86" s="310" t="n">
        <f aca="false">E65+E81+E82+E83+E84+E85</f>
        <v>-1529</v>
      </c>
      <c r="F86" s="193" t="n">
        <f aca="false">F65+F81+F82+F83+F84+F85</f>
        <v>18127</v>
      </c>
      <c r="G86" s="193" t="n">
        <f aca="false">G65+G81+G82+G83+G84+G85</f>
        <v>12065</v>
      </c>
      <c r="H86" s="310" t="n">
        <f aca="false">H65+H81+H82+H83+H84+H85</f>
        <v>-6062</v>
      </c>
      <c r="I86" s="223"/>
      <c r="J86" s="193"/>
      <c r="K86" s="310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  <c r="AD86" s="98"/>
      <c r="AE86" s="98"/>
      <c r="AF86" s="98"/>
      <c r="AG86" s="98"/>
      <c r="AH86" s="98"/>
      <c r="AI86" s="98"/>
      <c r="AJ86" s="98"/>
      <c r="AK86" s="98"/>
      <c r="AL86" s="98"/>
      <c r="AM86" s="98"/>
      <c r="AN86" s="98"/>
      <c r="AO86" s="98"/>
      <c r="AP86" s="98"/>
      <c r="AQ86" s="98"/>
      <c r="AR86" s="98"/>
      <c r="AS86" s="98"/>
      <c r="AT86" s="98"/>
      <c r="AU86" s="98"/>
      <c r="AV86" s="98"/>
      <c r="AW86" s="98"/>
      <c r="AX86" s="98"/>
      <c r="AY86" s="98"/>
      <c r="AZ86" s="98"/>
      <c r="BA86" s="98"/>
      <c r="BB86" s="98"/>
      <c r="BC86" s="98"/>
      <c r="BD86" s="98"/>
      <c r="BE86" s="98"/>
      <c r="BF86" s="98"/>
      <c r="BG86" s="98"/>
      <c r="BH86" s="98"/>
      <c r="BI86" s="98"/>
      <c r="BJ86" s="98"/>
      <c r="BK86" s="98"/>
      <c r="BL86" s="98"/>
      <c r="BM86" s="98"/>
      <c r="BN86" s="98"/>
      <c r="BO86" s="98"/>
      <c r="BP86" s="98"/>
      <c r="BQ86" s="98"/>
      <c r="BR86" s="98"/>
      <c r="BS86" s="98"/>
      <c r="BT86" s="98"/>
      <c r="BU86" s="98"/>
      <c r="BV86" s="98"/>
      <c r="BW86" s="98"/>
      <c r="BX86" s="98"/>
      <c r="BY86" s="98"/>
      <c r="BZ86" s="98"/>
      <c r="CA86" s="98"/>
      <c r="CB86" s="98"/>
      <c r="CC86" s="98"/>
      <c r="CD86" s="98"/>
      <c r="CE86" s="98"/>
      <c r="CF86" s="98"/>
      <c r="CG86" s="98"/>
      <c r="CH86" s="98"/>
      <c r="CI86" s="98"/>
      <c r="CJ86" s="98"/>
      <c r="CK86" s="98"/>
      <c r="CL86" s="98"/>
      <c r="CM86" s="98"/>
      <c r="CN86" s="98"/>
      <c r="CO86" s="98"/>
      <c r="CP86" s="98"/>
      <c r="CQ86" s="98"/>
      <c r="CR86" s="98"/>
      <c r="CS86" s="98"/>
      <c r="CT86" s="98"/>
      <c r="CU86" s="98"/>
      <c r="CV86" s="98"/>
      <c r="CW86" s="98"/>
      <c r="CX86" s="98"/>
      <c r="CY86" s="98"/>
      <c r="CZ86" s="98"/>
      <c r="DA86" s="98"/>
      <c r="DB86" s="98"/>
      <c r="DC86" s="98"/>
      <c r="DD86" s="98"/>
      <c r="DE86" s="98"/>
      <c r="DF86" s="98"/>
      <c r="DG86" s="98"/>
      <c r="DH86" s="98"/>
      <c r="DI86" s="98"/>
      <c r="DJ86" s="98"/>
      <c r="DK86" s="98"/>
      <c r="DL86" s="98"/>
      <c r="DM86" s="98"/>
      <c r="DN86" s="98"/>
      <c r="DO86" s="98"/>
      <c r="DP86" s="98"/>
      <c r="DQ86" s="98"/>
      <c r="DR86" s="98"/>
      <c r="DS86" s="98"/>
      <c r="DT86" s="98"/>
      <c r="DU86" s="98"/>
      <c r="DV86" s="98"/>
      <c r="DW86" s="98"/>
      <c r="DX86" s="98"/>
      <c r="DY86" s="98"/>
      <c r="DZ86" s="98"/>
      <c r="EA86" s="98"/>
      <c r="EB86" s="98"/>
      <c r="EC86" s="98"/>
      <c r="ED86" s="98"/>
      <c r="EE86" s="98"/>
      <c r="EF86" s="98"/>
      <c r="EG86" s="98"/>
      <c r="EH86" s="98"/>
      <c r="EI86" s="98"/>
      <c r="EJ86" s="98"/>
      <c r="EK86" s="98"/>
      <c r="EL86" s="98"/>
      <c r="EM86" s="98"/>
      <c r="EN86" s="98"/>
      <c r="EO86" s="98"/>
      <c r="EP86" s="98"/>
      <c r="EQ86" s="98"/>
      <c r="ER86" s="98"/>
      <c r="ES86" s="98"/>
      <c r="ET86" s="98"/>
      <c r="EU86" s="98"/>
      <c r="EV86" s="98"/>
      <c r="EW86" s="98"/>
      <c r="EX86" s="98"/>
      <c r="EY86" s="98"/>
      <c r="EZ86" s="98"/>
      <c r="FA86" s="98"/>
      <c r="FB86" s="98"/>
      <c r="FC86" s="98"/>
      <c r="FD86" s="98"/>
      <c r="FE86" s="98"/>
      <c r="FF86" s="98"/>
      <c r="FG86" s="98"/>
      <c r="FH86" s="98"/>
      <c r="FI86" s="98"/>
      <c r="FJ86" s="98"/>
      <c r="FK86" s="98"/>
      <c r="FL86" s="98"/>
      <c r="FM86" s="98"/>
      <c r="FN86" s="98"/>
      <c r="FO86" s="98"/>
      <c r="FP86" s="98"/>
      <c r="FQ86" s="98"/>
      <c r="FR86" s="98"/>
      <c r="FS86" s="98"/>
      <c r="FT86" s="98"/>
      <c r="FU86" s="98"/>
      <c r="FV86" s="98"/>
      <c r="FW86" s="98"/>
      <c r="FX86" s="98"/>
      <c r="FY86" s="98"/>
      <c r="FZ86" s="98"/>
      <c r="GA86" s="98"/>
      <c r="GB86" s="98"/>
      <c r="GC86" s="98"/>
      <c r="GD86" s="98"/>
      <c r="GE86" s="98"/>
      <c r="GF86" s="98"/>
      <c r="GG86" s="98"/>
      <c r="GH86" s="98"/>
      <c r="GI86" s="98"/>
      <c r="GJ86" s="98"/>
      <c r="GK86" s="98"/>
      <c r="GL86" s="98"/>
      <c r="GM86" s="98"/>
      <c r="GN86" s="98"/>
      <c r="GO86" s="98"/>
      <c r="GP86" s="98"/>
      <c r="GQ86" s="98"/>
      <c r="GR86" s="98"/>
      <c r="GS86" s="98"/>
      <c r="GT86" s="98"/>
      <c r="GU86" s="98"/>
      <c r="GV86" s="98"/>
      <c r="GW86" s="98"/>
      <c r="GX86" s="98"/>
      <c r="GY86" s="98"/>
      <c r="GZ86" s="98"/>
      <c r="HA86" s="98"/>
      <c r="HB86" s="98"/>
      <c r="HC86" s="98"/>
      <c r="HD86" s="98"/>
      <c r="HE86" s="98"/>
      <c r="HF86" s="98"/>
      <c r="HG86" s="98"/>
      <c r="HH86" s="98"/>
      <c r="HI86" s="98"/>
      <c r="HJ86" s="98"/>
      <c r="HK86" s="98"/>
      <c r="HL86" s="98"/>
      <c r="HM86" s="98"/>
      <c r="HN86" s="98"/>
      <c r="HO86" s="98"/>
      <c r="HP86" s="98"/>
      <c r="HQ86" s="98"/>
      <c r="HR86" s="98"/>
      <c r="HS86" s="98"/>
      <c r="HT86" s="98"/>
      <c r="HU86" s="98"/>
      <c r="HV86" s="98"/>
      <c r="HW86" s="98"/>
      <c r="HX86" s="98"/>
      <c r="HY86" s="98"/>
      <c r="HZ86" s="98"/>
      <c r="IA86" s="98"/>
      <c r="IB86" s="98"/>
      <c r="IC86" s="98"/>
      <c r="ID86" s="98"/>
      <c r="IE86" s="98"/>
      <c r="IF86" s="98"/>
      <c r="IG86" s="98"/>
      <c r="IH86" s="98"/>
      <c r="II86" s="98"/>
      <c r="IJ86" s="98"/>
      <c r="IK86" s="98"/>
      <c r="IL86" s="98"/>
      <c r="IM86" s="98"/>
      <c r="IN86" s="98"/>
      <c r="IO86" s="98"/>
      <c r="IP86" s="98"/>
      <c r="IQ86" s="98"/>
      <c r="IR86" s="98"/>
      <c r="IS86" s="98"/>
      <c r="IT86" s="98"/>
      <c r="IU86" s="98"/>
      <c r="IV86" s="98"/>
      <c r="IW86" s="98"/>
    </row>
    <row r="87" customFormat="false" ht="12.75" hidden="false" customHeight="true" outlineLevel="0" collapsed="false">
      <c r="A87" s="97" t="s">
        <v>87</v>
      </c>
      <c r="B87" s="33"/>
      <c r="C87" s="74" t="n">
        <v>40984</v>
      </c>
      <c r="D87" s="114" t="n">
        <v>25828</v>
      </c>
      <c r="E87" s="180" t="n">
        <f aca="false">D87-C87</f>
        <v>-15156</v>
      </c>
      <c r="F87" s="226" t="n">
        <v>0</v>
      </c>
      <c r="G87" s="226" t="n">
        <v>0</v>
      </c>
      <c r="H87" s="184" t="n">
        <f aca="false">G87-F87</f>
        <v>0</v>
      </c>
      <c r="I87" s="78"/>
      <c r="J87" s="226"/>
      <c r="K87" s="184"/>
    </row>
    <row r="88" customFormat="false" ht="12.75" hidden="false" customHeight="true" outlineLevel="0" collapsed="false">
      <c r="A88" s="101" t="s">
        <v>172</v>
      </c>
      <c r="B88" s="191"/>
      <c r="C88" s="103" t="n">
        <f aca="false">SUM(C86:C87)</f>
        <v>216662</v>
      </c>
      <c r="D88" s="360" t="n">
        <f aca="false">SUM(D86:D87)</f>
        <v>199977</v>
      </c>
      <c r="E88" s="361" t="n">
        <f aca="false">SUM(E86:E87)</f>
        <v>-16685</v>
      </c>
      <c r="F88" s="362" t="n">
        <f aca="false">SUM(F86:F87)</f>
        <v>18127</v>
      </c>
      <c r="G88" s="362" t="n">
        <f aca="false">SUM(G86:G87)</f>
        <v>12065</v>
      </c>
      <c r="H88" s="363" t="n">
        <f aca="false">F88-G88</f>
        <v>6062</v>
      </c>
      <c r="I88" s="107"/>
      <c r="J88" s="362"/>
      <c r="K88" s="363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8"/>
      <c r="AD88" s="98"/>
      <c r="AE88" s="98"/>
      <c r="AF88" s="98"/>
      <c r="AG88" s="98"/>
      <c r="AH88" s="98"/>
      <c r="AI88" s="98"/>
      <c r="AJ88" s="98"/>
      <c r="AK88" s="98"/>
      <c r="AL88" s="98"/>
      <c r="AM88" s="98"/>
      <c r="AN88" s="98"/>
      <c r="AO88" s="98"/>
      <c r="AP88" s="98"/>
      <c r="AQ88" s="98"/>
      <c r="AR88" s="98"/>
      <c r="AS88" s="98"/>
      <c r="AT88" s="98"/>
      <c r="AU88" s="98"/>
      <c r="AV88" s="98"/>
      <c r="AW88" s="98"/>
      <c r="AX88" s="98"/>
      <c r="AY88" s="98"/>
      <c r="AZ88" s="98"/>
      <c r="BA88" s="98"/>
      <c r="BB88" s="98"/>
      <c r="BC88" s="98"/>
      <c r="BD88" s="98"/>
      <c r="BE88" s="98"/>
      <c r="BF88" s="98"/>
      <c r="BG88" s="98"/>
      <c r="BH88" s="98"/>
      <c r="BI88" s="98"/>
      <c r="BJ88" s="98"/>
      <c r="BK88" s="98"/>
      <c r="BL88" s="98"/>
      <c r="BM88" s="98"/>
      <c r="BN88" s="98"/>
      <c r="BO88" s="98"/>
      <c r="BP88" s="98"/>
      <c r="BQ88" s="98"/>
      <c r="BR88" s="98"/>
      <c r="BS88" s="98"/>
      <c r="BT88" s="98"/>
      <c r="BU88" s="98"/>
      <c r="BV88" s="98"/>
      <c r="BW88" s="98"/>
      <c r="BX88" s="98"/>
      <c r="BY88" s="98"/>
      <c r="BZ88" s="98"/>
      <c r="CA88" s="98"/>
      <c r="CB88" s="98"/>
      <c r="CC88" s="98"/>
      <c r="CD88" s="98"/>
      <c r="CE88" s="98"/>
      <c r="CF88" s="98"/>
      <c r="CG88" s="98"/>
      <c r="CH88" s="98"/>
      <c r="CI88" s="98"/>
      <c r="CJ88" s="98"/>
      <c r="CK88" s="98"/>
      <c r="CL88" s="98"/>
      <c r="CM88" s="98"/>
      <c r="CN88" s="98"/>
      <c r="CO88" s="98"/>
      <c r="CP88" s="98"/>
      <c r="CQ88" s="98"/>
      <c r="CR88" s="98"/>
      <c r="CS88" s="98"/>
      <c r="CT88" s="98"/>
      <c r="CU88" s="98"/>
      <c r="CV88" s="98"/>
      <c r="CW88" s="98"/>
      <c r="CX88" s="98"/>
      <c r="CY88" s="98"/>
      <c r="CZ88" s="98"/>
      <c r="DA88" s="98"/>
      <c r="DB88" s="98"/>
      <c r="DC88" s="98"/>
      <c r="DD88" s="98"/>
      <c r="DE88" s="98"/>
      <c r="DF88" s="98"/>
      <c r="DG88" s="98"/>
      <c r="DH88" s="98"/>
      <c r="DI88" s="98"/>
      <c r="DJ88" s="98"/>
      <c r="DK88" s="98"/>
      <c r="DL88" s="98"/>
      <c r="DM88" s="98"/>
      <c r="DN88" s="98"/>
      <c r="DO88" s="98"/>
      <c r="DP88" s="98"/>
      <c r="DQ88" s="98"/>
      <c r="DR88" s="98"/>
      <c r="DS88" s="98"/>
      <c r="DT88" s="98"/>
      <c r="DU88" s="98"/>
      <c r="DV88" s="98"/>
      <c r="DW88" s="98"/>
      <c r="DX88" s="98"/>
      <c r="DY88" s="98"/>
      <c r="DZ88" s="98"/>
      <c r="EA88" s="98"/>
      <c r="EB88" s="98"/>
      <c r="EC88" s="98"/>
      <c r="ED88" s="98"/>
      <c r="EE88" s="98"/>
      <c r="EF88" s="98"/>
      <c r="EG88" s="98"/>
      <c r="EH88" s="98"/>
      <c r="EI88" s="98"/>
      <c r="EJ88" s="98"/>
      <c r="EK88" s="98"/>
      <c r="EL88" s="98"/>
      <c r="EM88" s="98"/>
      <c r="EN88" s="98"/>
      <c r="EO88" s="98"/>
      <c r="EP88" s="98"/>
      <c r="EQ88" s="98"/>
      <c r="ER88" s="98"/>
      <c r="ES88" s="98"/>
      <c r="ET88" s="98"/>
      <c r="EU88" s="98"/>
      <c r="EV88" s="98"/>
      <c r="EW88" s="98"/>
      <c r="EX88" s="98"/>
      <c r="EY88" s="98"/>
      <c r="EZ88" s="98"/>
      <c r="FA88" s="98"/>
      <c r="FB88" s="98"/>
      <c r="FC88" s="98"/>
      <c r="FD88" s="98"/>
      <c r="FE88" s="98"/>
      <c r="FF88" s="98"/>
      <c r="FG88" s="98"/>
      <c r="FH88" s="98"/>
      <c r="FI88" s="98"/>
      <c r="FJ88" s="98"/>
      <c r="FK88" s="98"/>
      <c r="FL88" s="98"/>
      <c r="FM88" s="98"/>
      <c r="FN88" s="98"/>
      <c r="FO88" s="98"/>
      <c r="FP88" s="98"/>
      <c r="FQ88" s="98"/>
      <c r="FR88" s="98"/>
      <c r="FS88" s="98"/>
      <c r="FT88" s="98"/>
      <c r="FU88" s="98"/>
      <c r="FV88" s="98"/>
      <c r="FW88" s="98"/>
      <c r="FX88" s="98"/>
      <c r="FY88" s="98"/>
      <c r="FZ88" s="98"/>
      <c r="GA88" s="98"/>
      <c r="GB88" s="98"/>
      <c r="GC88" s="98"/>
      <c r="GD88" s="98"/>
      <c r="GE88" s="98"/>
      <c r="GF88" s="98"/>
      <c r="GG88" s="98"/>
      <c r="GH88" s="98"/>
      <c r="GI88" s="98"/>
      <c r="GJ88" s="98"/>
      <c r="GK88" s="98"/>
      <c r="GL88" s="98"/>
      <c r="GM88" s="98"/>
      <c r="GN88" s="98"/>
      <c r="GO88" s="98"/>
      <c r="GP88" s="98"/>
      <c r="GQ88" s="98"/>
      <c r="GR88" s="98"/>
      <c r="GS88" s="98"/>
      <c r="GT88" s="98"/>
      <c r="GU88" s="98"/>
      <c r="GV88" s="98"/>
      <c r="GW88" s="98"/>
      <c r="GX88" s="98"/>
      <c r="GY88" s="98"/>
      <c r="GZ88" s="98"/>
      <c r="HA88" s="98"/>
      <c r="HB88" s="98"/>
      <c r="HC88" s="98"/>
      <c r="HD88" s="98"/>
      <c r="HE88" s="98"/>
      <c r="HF88" s="98"/>
      <c r="HG88" s="98"/>
      <c r="HH88" s="98"/>
      <c r="HI88" s="98"/>
      <c r="HJ88" s="98"/>
      <c r="HK88" s="98"/>
      <c r="HL88" s="98"/>
      <c r="HM88" s="98"/>
      <c r="HN88" s="98"/>
      <c r="HO88" s="98"/>
      <c r="HP88" s="98"/>
      <c r="HQ88" s="98"/>
      <c r="HR88" s="98"/>
      <c r="HS88" s="98"/>
      <c r="HT88" s="98"/>
      <c r="HU88" s="98"/>
      <c r="HV88" s="98"/>
      <c r="HW88" s="98"/>
      <c r="HX88" s="98"/>
      <c r="HY88" s="98"/>
      <c r="HZ88" s="98"/>
      <c r="IA88" s="98"/>
      <c r="IB88" s="98"/>
      <c r="IC88" s="98"/>
      <c r="ID88" s="98"/>
      <c r="IE88" s="98"/>
      <c r="IF88" s="98"/>
      <c r="IG88" s="98"/>
      <c r="IH88" s="98"/>
      <c r="II88" s="98"/>
      <c r="IJ88" s="98"/>
      <c r="IK88" s="98"/>
      <c r="IL88" s="98"/>
      <c r="IM88" s="98"/>
      <c r="IN88" s="98"/>
      <c r="IO88" s="98"/>
      <c r="IP88" s="98"/>
      <c r="IQ88" s="98"/>
      <c r="IR88" s="98"/>
      <c r="IS88" s="98"/>
      <c r="IT88" s="98"/>
      <c r="IU88" s="98"/>
      <c r="IV88" s="98"/>
      <c r="IW88" s="98"/>
    </row>
    <row r="89" customFormat="false" ht="3" hidden="false" customHeight="true" outlineLevel="0" collapsed="false">
      <c r="A89" s="112"/>
      <c r="C89" s="113"/>
      <c r="D89" s="114"/>
      <c r="E89" s="112"/>
    </row>
    <row r="91" customFormat="false" ht="12.75" hidden="false" customHeight="false" outlineLevel="0" collapsed="false">
      <c r="A91" s="1" t="s">
        <v>173</v>
      </c>
    </row>
  </sheetData>
  <mergeCells count="25">
    <mergeCell ref="A2:K2"/>
    <mergeCell ref="A3:K3"/>
    <mergeCell ref="A4:K4"/>
    <mergeCell ref="C6:E7"/>
    <mergeCell ref="F6:H7"/>
    <mergeCell ref="I6:K7"/>
    <mergeCell ref="I9:K9"/>
    <mergeCell ref="I10:K10"/>
    <mergeCell ref="I11:K11"/>
    <mergeCell ref="I12:K12"/>
    <mergeCell ref="I13:K13"/>
    <mergeCell ref="I14:K14"/>
    <mergeCell ref="I15:K15"/>
    <mergeCell ref="I16:K16"/>
    <mergeCell ref="I17:K17"/>
    <mergeCell ref="I18:K18"/>
    <mergeCell ref="I19:K19"/>
    <mergeCell ref="I20:K20"/>
    <mergeCell ref="I21:K21"/>
    <mergeCell ref="I22:K22"/>
    <mergeCell ref="I24:K24"/>
    <mergeCell ref="I25:K25"/>
    <mergeCell ref="I26:K26"/>
    <mergeCell ref="I28:K28"/>
    <mergeCell ref="I30:K30"/>
  </mergeCells>
  <printOptions headings="false" gridLines="false" gridLinesSet="true" horizontalCentered="true" verticalCentered="false"/>
  <pageMargins left="0.25" right="0.25" top="0.2" bottom="0.179861111111111" header="0.511811023622047" footer="0.179861111111111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&amp;L&amp;D&amp;T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8" topLeftCell="BM9" activePane="bottomLeft" state="frozen"/>
      <selection pane="topLeft" activeCell="A1" activeCellId="0" sqref="A1"/>
      <selection pane="bottomLeft" activeCell="A9" activeCellId="0" sqref="A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8.99"/>
    <col collapsed="false" customWidth="true" hidden="false" outlineLevel="0" max="2" min="2" style="1" width="0.85"/>
    <col collapsed="false" customWidth="true" hidden="false" outlineLevel="0" max="4" min="3" style="1" width="8.7"/>
    <col collapsed="false" customWidth="false" hidden="false" outlineLevel="0" max="5" min="5" style="1" width="9.14"/>
    <col collapsed="false" customWidth="true" hidden="false" outlineLevel="0" max="6" min="6" style="2" width="9.28"/>
    <col collapsed="false" customWidth="true" hidden="false" outlineLevel="0" max="7" min="7" style="2" width="8.99"/>
    <col collapsed="false" customWidth="true" hidden="false" outlineLevel="0" max="10" min="8" style="2" width="8.7"/>
    <col collapsed="false" customWidth="true" hidden="false" outlineLevel="0" max="11" min="11" style="2" width="25.56"/>
    <col collapsed="false" customWidth="true" hidden="false" outlineLevel="0" max="12" min="12" style="1" width="0.85"/>
    <col collapsed="false" customWidth="true" hidden="false" outlineLevel="0" max="13" min="13" style="1" width="8.7"/>
    <col collapsed="false" customWidth="true" hidden="false" outlineLevel="0" max="17" min="14" style="1" width="7.7"/>
    <col collapsed="false" customWidth="true" hidden="false" outlineLevel="0" max="19" min="18" style="1" width="8.7"/>
    <col collapsed="false" customWidth="true" hidden="false" outlineLevel="0" max="20" min="20" style="1" width="0.85"/>
    <col collapsed="false" customWidth="false" hidden="false" outlineLevel="0" max="257" min="21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3"/>
      <c r="G1" s="3"/>
      <c r="H1" s="3"/>
      <c r="I1" s="3"/>
      <c r="J1" s="3"/>
      <c r="K1" s="3"/>
      <c r="L1" s="0"/>
      <c r="M1" s="0"/>
      <c r="N1" s="0"/>
      <c r="O1" s="0"/>
      <c r="P1" s="0"/>
      <c r="Q1" s="0"/>
      <c r="R1" s="0"/>
      <c r="S1" s="0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29.25" hidden="false" customHeight="true" outlineLevel="0" collapsed="false">
      <c r="A2" s="289" t="s">
        <v>0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7"/>
      <c r="M2" s="7"/>
      <c r="N2" s="7"/>
      <c r="O2" s="7"/>
      <c r="P2" s="7"/>
      <c r="Q2" s="7"/>
      <c r="R2" s="7"/>
      <c r="S2" s="9"/>
      <c r="T2" s="10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15.75" hidden="false" customHeight="true" outlineLevel="0" collapsed="false">
      <c r="A3" s="290" t="s">
        <v>200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0"/>
      <c r="M3" s="0"/>
      <c r="N3" s="0"/>
      <c r="O3" s="0"/>
      <c r="P3" s="0"/>
      <c r="Q3" s="0"/>
      <c r="R3" s="0"/>
      <c r="S3" s="5"/>
      <c r="T3" s="10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5.75" hidden="false" customHeight="true" outlineLevel="0" collapsed="false">
      <c r="A4" s="290" t="str">
        <f aca="false">'QTD Mgmt Summary'!Q3</f>
        <v>Results based on activity through Aug 3, 2001</v>
      </c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0"/>
      <c r="M4" s="0"/>
      <c r="N4" s="0"/>
      <c r="O4" s="0"/>
      <c r="P4" s="0"/>
      <c r="Q4" s="0"/>
      <c r="R4" s="0"/>
      <c r="S4" s="5"/>
      <c r="T4" s="10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</row>
    <row r="5" customFormat="false" ht="15" hidden="false" customHeight="true" outlineLevel="0" collapsed="false">
      <c r="A5" s="0"/>
      <c r="B5" s="0"/>
      <c r="C5" s="0"/>
      <c r="D5" s="0"/>
      <c r="E5" s="0"/>
      <c r="F5" s="3"/>
      <c r="G5" s="3"/>
      <c r="H5" s="3"/>
      <c r="I5" s="3"/>
      <c r="J5" s="3"/>
      <c r="K5" s="3"/>
      <c r="L5" s="0"/>
      <c r="M5" s="0"/>
      <c r="N5" s="0"/>
      <c r="O5" s="0"/>
      <c r="P5" s="0"/>
      <c r="Q5" s="0"/>
      <c r="R5" s="0"/>
      <c r="S5" s="0"/>
      <c r="T5" s="12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</row>
    <row r="6" customFormat="false" ht="15" hidden="false" customHeight="true" outlineLevel="0" collapsed="false">
      <c r="A6" s="13"/>
      <c r="B6" s="291"/>
      <c r="C6" s="364" t="s">
        <v>201</v>
      </c>
      <c r="D6" s="364"/>
      <c r="E6" s="364"/>
      <c r="F6" s="17" t="s">
        <v>198</v>
      </c>
      <c r="G6" s="17"/>
      <c r="H6" s="17"/>
      <c r="I6" s="17"/>
      <c r="J6" s="17"/>
      <c r="K6" s="17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</row>
    <row r="7" customFormat="false" ht="14.25" hidden="false" customHeight="true" outlineLevel="0" collapsed="false">
      <c r="A7" s="160" t="s">
        <v>7</v>
      </c>
      <c r="B7" s="33"/>
      <c r="C7" s="364"/>
      <c r="D7" s="364"/>
      <c r="E7" s="364"/>
      <c r="F7" s="17"/>
      <c r="G7" s="17"/>
      <c r="H7" s="17"/>
      <c r="I7" s="17"/>
      <c r="J7" s="17"/>
      <c r="K7" s="17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</row>
    <row r="8" customFormat="false" ht="18" hidden="false" customHeight="true" outlineLevel="0" collapsed="false">
      <c r="A8" s="32"/>
      <c r="B8" s="294"/>
      <c r="C8" s="365" t="s">
        <v>8</v>
      </c>
      <c r="D8" s="366" t="s">
        <v>9</v>
      </c>
      <c r="E8" s="366" t="s">
        <v>10</v>
      </c>
      <c r="F8" s="367"/>
      <c r="G8" s="368"/>
      <c r="H8" s="368"/>
      <c r="I8" s="368"/>
      <c r="J8" s="368"/>
      <c r="K8" s="369"/>
    </row>
    <row r="9" customFormat="false" ht="12.75" hidden="false" customHeight="true" outlineLevel="0" collapsed="false">
      <c r="A9" s="46" t="str">
        <f aca="false">'QTD Mgmt Summary'!A9</f>
        <v>Norteast Trading (Davis)</v>
      </c>
      <c r="B9" s="173"/>
      <c r="C9" s="59" t="n">
        <v>0</v>
      </c>
      <c r="D9" s="299" t="n">
        <v>0</v>
      </c>
      <c r="E9" s="180" t="n">
        <f aca="false">D9-C9</f>
        <v>0</v>
      </c>
      <c r="F9" s="352"/>
      <c r="G9" s="352"/>
      <c r="H9" s="352"/>
      <c r="I9" s="352"/>
      <c r="J9" s="352"/>
      <c r="K9" s="35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</row>
    <row r="10" customFormat="false" ht="12.75" hidden="false" customHeight="true" outlineLevel="0" collapsed="false">
      <c r="A10" s="46" t="str">
        <f aca="false">'QTD Mgmt Summary'!A10</f>
        <v>Northeast Origination (Llodia)</v>
      </c>
      <c r="B10" s="173"/>
      <c r="C10" s="74" t="n">
        <v>0</v>
      </c>
      <c r="D10" s="114" t="n">
        <v>0</v>
      </c>
      <c r="E10" s="180" t="n">
        <f aca="false">D10-C10</f>
        <v>0</v>
      </c>
      <c r="F10" s="352"/>
      <c r="G10" s="352"/>
      <c r="H10" s="352"/>
      <c r="I10" s="352"/>
      <c r="J10" s="352"/>
      <c r="K10" s="35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  <c r="IU10" s="72"/>
      <c r="IV10" s="72"/>
      <c r="IW10" s="72"/>
    </row>
    <row r="11" customFormat="false" ht="12.75" hidden="false" customHeight="true" outlineLevel="0" collapsed="false">
      <c r="A11" s="46" t="str">
        <f aca="false">'QTD Mgmt Summary'!A11</f>
        <v>Midwest Trading (Sturm/Baughman)</v>
      </c>
      <c r="B11" s="51"/>
      <c r="C11" s="204" t="n">
        <v>0</v>
      </c>
      <c r="D11" s="302" t="n">
        <v>0</v>
      </c>
      <c r="E11" s="180" t="n">
        <f aca="false">D11-C11</f>
        <v>0</v>
      </c>
      <c r="F11" s="352"/>
      <c r="G11" s="352"/>
      <c r="H11" s="352"/>
      <c r="I11" s="352"/>
      <c r="J11" s="352"/>
      <c r="K11" s="352"/>
    </row>
    <row r="12" customFormat="false" ht="12.75" hidden="false" customHeight="true" outlineLevel="0" collapsed="false">
      <c r="A12" s="46" t="str">
        <f aca="false">'QTD Mgmt Summary'!A12</f>
        <v>Midwest Origination (Sturm/Baughman)</v>
      </c>
      <c r="B12" s="51"/>
      <c r="C12" s="204" t="n">
        <v>0</v>
      </c>
      <c r="D12" s="302" t="n">
        <v>0</v>
      </c>
      <c r="E12" s="180" t="n">
        <f aca="false">D12-C12</f>
        <v>0</v>
      </c>
      <c r="F12" s="352"/>
      <c r="G12" s="352"/>
      <c r="H12" s="352"/>
      <c r="I12" s="352"/>
      <c r="J12" s="352"/>
      <c r="K12" s="352"/>
    </row>
    <row r="13" customFormat="false" ht="12.75" hidden="false" customHeight="true" outlineLevel="0" collapsed="false">
      <c r="A13" s="46" t="str">
        <f aca="false">'QTD Mgmt Summary'!A13</f>
        <v>Southeast Trading (Herndon/Kroll) </v>
      </c>
      <c r="B13" s="51"/>
      <c r="C13" s="204" t="n">
        <v>75</v>
      </c>
      <c r="D13" s="302" t="n">
        <v>0</v>
      </c>
      <c r="E13" s="180" t="n">
        <f aca="false">D13-C13</f>
        <v>-75</v>
      </c>
      <c r="F13" s="370" t="s">
        <v>202</v>
      </c>
      <c r="G13" s="370"/>
      <c r="H13" s="370"/>
      <c r="I13" s="370"/>
      <c r="J13" s="370"/>
      <c r="K13" s="370"/>
    </row>
    <row r="14" customFormat="false" ht="12.75" hidden="false" customHeight="true" outlineLevel="0" collapsed="false">
      <c r="A14" s="46" t="str">
        <f aca="false">'QTD Mgmt Summary'!A14</f>
        <v>Southeast Orig (Herndon/Kroll) </v>
      </c>
      <c r="B14" s="51"/>
      <c r="C14" s="204" t="n">
        <v>0</v>
      </c>
      <c r="D14" s="302" t="n">
        <v>0</v>
      </c>
      <c r="E14" s="180" t="n">
        <f aca="false">D14-C14</f>
        <v>0</v>
      </c>
      <c r="F14" s="352"/>
      <c r="G14" s="352"/>
      <c r="H14" s="352"/>
      <c r="I14" s="352"/>
      <c r="J14" s="352"/>
      <c r="K14" s="352"/>
    </row>
    <row r="15" customFormat="false" ht="12.75" hidden="false" customHeight="true" outlineLevel="0" collapsed="false">
      <c r="A15" s="46" t="str">
        <f aca="false">'QTD Mgmt Summary'!A15</f>
        <v>ERCOT Trading (Smith/Corry)</v>
      </c>
      <c r="B15" s="51"/>
      <c r="C15" s="204" t="n">
        <v>0</v>
      </c>
      <c r="D15" s="302" t="n">
        <v>0</v>
      </c>
      <c r="E15" s="180" t="n">
        <f aca="false">D15-C15</f>
        <v>0</v>
      </c>
      <c r="F15" s="352"/>
      <c r="G15" s="352"/>
      <c r="H15" s="352"/>
      <c r="I15" s="352"/>
      <c r="J15" s="352"/>
      <c r="K15" s="352"/>
    </row>
    <row r="16" customFormat="false" ht="12.75" hidden="false" customHeight="true" outlineLevel="0" collapsed="false">
      <c r="A16" s="46" t="str">
        <f aca="false">'QTD Mgmt Summary'!A16</f>
        <v>ERCOT Orig (Smith/Corry)</v>
      </c>
      <c r="B16" s="51"/>
      <c r="C16" s="204" t="n">
        <v>0</v>
      </c>
      <c r="D16" s="302" t="n">
        <v>0</v>
      </c>
      <c r="E16" s="180" t="n">
        <f aca="false">D16-C16</f>
        <v>0</v>
      </c>
      <c r="F16" s="352"/>
      <c r="G16" s="352"/>
      <c r="H16" s="352"/>
      <c r="I16" s="352"/>
      <c r="J16" s="352"/>
      <c r="K16" s="352"/>
    </row>
    <row r="17" customFormat="false" ht="12.75" hidden="false" customHeight="true" outlineLevel="0" collapsed="false">
      <c r="A17" s="46" t="str">
        <f aca="false">'QTD Mgmt Summary'!A17</f>
        <v>Options (Arora)</v>
      </c>
      <c r="B17" s="51"/>
      <c r="C17" s="204" t="n">
        <v>0</v>
      </c>
      <c r="D17" s="302" t="n">
        <v>0</v>
      </c>
      <c r="E17" s="180" t="n">
        <f aca="false">D17-C17</f>
        <v>0</v>
      </c>
      <c r="F17" s="352"/>
      <c r="G17" s="352"/>
      <c r="H17" s="352"/>
      <c r="I17" s="352"/>
      <c r="J17" s="352"/>
      <c r="K17" s="352"/>
    </row>
    <row r="18" customFormat="false" ht="12.75" hidden="false" customHeight="true" outlineLevel="0" collapsed="false">
      <c r="A18" s="46" t="str">
        <f aca="false">'QTD Mgmt Summary'!A18</f>
        <v>Management  Book (Presto)</v>
      </c>
      <c r="B18" s="51"/>
      <c r="C18" s="204" t="n">
        <v>0</v>
      </c>
      <c r="D18" s="302" t="n">
        <v>0</v>
      </c>
      <c r="E18" s="180" t="n">
        <f aca="false">D18-C18</f>
        <v>0</v>
      </c>
      <c r="F18" s="352"/>
      <c r="G18" s="352"/>
      <c r="H18" s="352"/>
      <c r="I18" s="352"/>
      <c r="J18" s="352"/>
      <c r="K18" s="352"/>
    </row>
    <row r="19" customFormat="false" ht="12.75" hidden="false" customHeight="true" outlineLevel="0" collapsed="false">
      <c r="A19" s="46" t="str">
        <f aca="false">'QTD Mgmt Summary'!A19</f>
        <v>Services (Will)</v>
      </c>
      <c r="B19" s="51"/>
      <c r="C19" s="204" t="n">
        <v>0</v>
      </c>
      <c r="D19" s="302" t="n">
        <v>0</v>
      </c>
      <c r="E19" s="180" t="n">
        <f aca="false">D19-C19</f>
        <v>0</v>
      </c>
      <c r="F19" s="352"/>
      <c r="G19" s="352"/>
      <c r="H19" s="352"/>
      <c r="I19" s="352"/>
      <c r="J19" s="352"/>
      <c r="K19" s="352"/>
    </row>
    <row r="20" customFormat="false" ht="12.75" hidden="false" customHeight="true" outlineLevel="0" collapsed="false">
      <c r="A20" s="46" t="str">
        <f aca="false">'QTD Mgmt Summary'!A20</f>
        <v>Development (Jacoby)</v>
      </c>
      <c r="B20" s="51"/>
      <c r="C20" s="204" t="n">
        <v>324</v>
      </c>
      <c r="D20" s="302" t="n">
        <v>348</v>
      </c>
      <c r="E20" s="180" t="n">
        <f aca="false">D20-C20</f>
        <v>24</v>
      </c>
      <c r="F20" s="352"/>
      <c r="G20" s="352"/>
      <c r="H20" s="352"/>
      <c r="I20" s="352"/>
      <c r="J20" s="352"/>
      <c r="K20" s="352"/>
    </row>
    <row r="21" customFormat="false" ht="12.75" hidden="false" customHeight="true" outlineLevel="0" collapsed="false">
      <c r="A21" s="46" t="str">
        <f aca="false">'QTD Mgmt Summary'!A21</f>
        <v>Generation Investments (Duran)</v>
      </c>
      <c r="B21" s="51"/>
      <c r="C21" s="204" t="n">
        <v>16892</v>
      </c>
      <c r="D21" s="302" t="n">
        <v>16314</v>
      </c>
      <c r="E21" s="180" t="n">
        <f aca="false">D21-C21</f>
        <v>-578</v>
      </c>
      <c r="F21" s="352"/>
      <c r="G21" s="352"/>
      <c r="H21" s="352"/>
      <c r="I21" s="352"/>
      <c r="J21" s="352"/>
      <c r="K21" s="352"/>
    </row>
    <row r="22" customFormat="false" ht="12.75" hidden="false" customHeight="true" outlineLevel="0" collapsed="false">
      <c r="A22" s="46" t="str">
        <f aca="false">'QTD Mgmt Summary'!A22</f>
        <v>Structuring/Fundamentals (Meyn/Will)</v>
      </c>
      <c r="B22" s="51"/>
      <c r="C22" s="207" t="n">
        <v>0</v>
      </c>
      <c r="D22" s="371" t="n">
        <v>0</v>
      </c>
      <c r="E22" s="187" t="n">
        <f aca="false">D22-C22</f>
        <v>0</v>
      </c>
      <c r="F22" s="372"/>
      <c r="G22" s="372"/>
      <c r="H22" s="372"/>
      <c r="I22" s="372"/>
      <c r="J22" s="372"/>
      <c r="K22" s="372"/>
    </row>
    <row r="23" customFormat="false" ht="12.75" hidden="false" customHeight="true" outlineLevel="0" collapsed="false">
      <c r="A23" s="101" t="s">
        <v>21</v>
      </c>
      <c r="B23" s="191"/>
      <c r="C23" s="223" t="n">
        <f aca="false">SUM(C9:C22)</f>
        <v>17291</v>
      </c>
      <c r="D23" s="193" t="n">
        <f aca="false">SUM(D9:D22)</f>
        <v>16662</v>
      </c>
      <c r="E23" s="193" t="n">
        <f aca="false">SUM(E9:E22)</f>
        <v>-629</v>
      </c>
      <c r="F23" s="373"/>
      <c r="G23" s="373"/>
      <c r="H23" s="373"/>
      <c r="I23" s="373"/>
      <c r="J23" s="373"/>
      <c r="K23" s="373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  <c r="IQ23" s="94"/>
      <c r="IR23" s="94"/>
      <c r="IS23" s="94"/>
      <c r="IT23" s="94"/>
      <c r="IU23" s="94"/>
      <c r="IV23" s="94"/>
      <c r="IW23" s="94"/>
    </row>
    <row r="24" customFormat="false" ht="12.75" hidden="false" customHeight="true" outlineLevel="0" collapsed="false">
      <c r="A24" s="46" t="str">
        <f aca="false">'QTD Mgmt Summary'!A25</f>
        <v>Services (Foster/Wolfe)</v>
      </c>
      <c r="B24" s="33"/>
      <c r="C24" s="374" t="n">
        <v>0</v>
      </c>
      <c r="D24" s="375" t="n">
        <v>0</v>
      </c>
      <c r="E24" s="376" t="n">
        <f aca="false">D24-C24</f>
        <v>0</v>
      </c>
      <c r="F24" s="377"/>
      <c r="G24" s="377"/>
      <c r="H24" s="377"/>
      <c r="I24" s="377"/>
      <c r="J24" s="377"/>
      <c r="K24" s="377"/>
    </row>
    <row r="25" customFormat="false" ht="12.75" hidden="false" customHeight="true" outlineLevel="0" collapsed="false">
      <c r="A25" s="46" t="str">
        <f aca="false">'QTD Mgmt Summary'!A24</f>
        <v>Trading (Belden)</v>
      </c>
      <c r="B25" s="33"/>
      <c r="C25" s="74" t="n">
        <v>0</v>
      </c>
      <c r="D25" s="302" t="n">
        <v>0</v>
      </c>
      <c r="E25" s="180" t="n">
        <f aca="false">D25-C25</f>
        <v>0</v>
      </c>
      <c r="F25" s="377"/>
      <c r="G25" s="377"/>
      <c r="H25" s="377"/>
      <c r="I25" s="377"/>
      <c r="J25" s="377"/>
      <c r="K25" s="377"/>
    </row>
    <row r="26" customFormat="false" ht="12.75" hidden="false" customHeight="true" outlineLevel="0" collapsed="false">
      <c r="A26" s="46" t="str">
        <f aca="false">'QTD Mgmt Summary'!A26</f>
        <v>Middle Market Originations (Foster)</v>
      </c>
      <c r="B26" s="33"/>
      <c r="C26" s="74" t="n">
        <v>0</v>
      </c>
      <c r="D26" s="302" t="n">
        <v>0</v>
      </c>
      <c r="E26" s="180" t="n">
        <f aca="false">D26-C26</f>
        <v>0</v>
      </c>
      <c r="F26" s="377"/>
      <c r="G26" s="377"/>
      <c r="H26" s="377"/>
      <c r="I26" s="377"/>
      <c r="J26" s="377"/>
      <c r="K26" s="377"/>
    </row>
    <row r="27" customFormat="false" ht="12.75" hidden="false" customHeight="true" outlineLevel="0" collapsed="false">
      <c r="A27" s="46" t="str">
        <f aca="false">'QTD Mgmt Summary'!A27</f>
        <v>Orginations (Thomas/McDonald)</v>
      </c>
      <c r="B27" s="33"/>
      <c r="C27" s="74" t="n">
        <v>1084</v>
      </c>
      <c r="D27" s="302" t="n">
        <v>963</v>
      </c>
      <c r="E27" s="180" t="n">
        <f aca="false">D27-C27</f>
        <v>-121</v>
      </c>
      <c r="F27" s="370" t="s">
        <v>124</v>
      </c>
      <c r="G27" s="370"/>
      <c r="H27" s="370"/>
      <c r="I27" s="370"/>
      <c r="J27" s="370"/>
      <c r="K27" s="370"/>
    </row>
    <row r="28" customFormat="false" ht="12.75" hidden="false" customHeight="true" outlineLevel="0" collapsed="false">
      <c r="A28" s="46" t="str">
        <f aca="false">'QTD Mgmt Summary'!A28</f>
        <v>Executive (Calger)</v>
      </c>
      <c r="B28" s="33"/>
      <c r="C28" s="74" t="n">
        <v>0</v>
      </c>
      <c r="D28" s="302" t="n">
        <v>0</v>
      </c>
      <c r="E28" s="180" t="n">
        <f aca="false">D28-C28</f>
        <v>0</v>
      </c>
      <c r="F28" s="370"/>
      <c r="G28" s="370"/>
      <c r="H28" s="370"/>
      <c r="I28" s="370"/>
      <c r="J28" s="370"/>
      <c r="K28" s="370"/>
    </row>
    <row r="29" customFormat="false" ht="12.75" hidden="false" customHeight="true" outlineLevel="0" collapsed="false">
      <c r="A29" s="46" t="str">
        <f aca="false">'QTD Mgmt Summary'!A29</f>
        <v>Generation (Parquet)</v>
      </c>
      <c r="B29" s="33"/>
      <c r="C29" s="74" t="n">
        <v>2084</v>
      </c>
      <c r="D29" s="302" t="n">
        <v>1870</v>
      </c>
      <c r="E29" s="180" t="n">
        <f aca="false">D29-C29</f>
        <v>-214</v>
      </c>
      <c r="F29" s="370" t="s">
        <v>127</v>
      </c>
      <c r="G29" s="370"/>
      <c r="H29" s="370"/>
      <c r="I29" s="370"/>
      <c r="J29" s="370"/>
      <c r="K29" s="370"/>
    </row>
    <row r="30" customFormat="false" ht="12.75" hidden="false" customHeight="true" outlineLevel="0" collapsed="false">
      <c r="A30" s="46" t="str">
        <f aca="false">'QTD Mgmt Summary'!A30</f>
        <v>Fundamentals (Heizenreiker)</v>
      </c>
      <c r="B30" s="33"/>
      <c r="C30" s="378" t="n">
        <v>0</v>
      </c>
      <c r="D30" s="303" t="n">
        <v>0</v>
      </c>
      <c r="E30" s="187" t="n">
        <f aca="false">D30-C30</f>
        <v>0</v>
      </c>
      <c r="F30" s="370"/>
      <c r="G30" s="370"/>
      <c r="H30" s="370"/>
      <c r="I30" s="370"/>
      <c r="J30" s="370"/>
      <c r="K30" s="370"/>
    </row>
    <row r="31" customFormat="false" ht="12.75" hidden="false" customHeight="true" outlineLevel="0" collapsed="false">
      <c r="A31" s="101" t="s">
        <v>28</v>
      </c>
      <c r="B31" s="191"/>
      <c r="C31" s="223" t="n">
        <f aca="false">SUM(C24:C30)</f>
        <v>3168</v>
      </c>
      <c r="D31" s="193" t="n">
        <f aca="false">SUM(D24:D30)</f>
        <v>2833</v>
      </c>
      <c r="E31" s="193" t="n">
        <f aca="false">SUM(E25:E30)</f>
        <v>-335</v>
      </c>
      <c r="F31" s="373"/>
      <c r="G31" s="373"/>
      <c r="H31" s="373"/>
      <c r="I31" s="373"/>
      <c r="J31" s="373"/>
      <c r="K31" s="373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94"/>
      <c r="CH31" s="94"/>
      <c r="CI31" s="94"/>
      <c r="CJ31" s="94"/>
      <c r="CK31" s="94"/>
      <c r="CL31" s="94"/>
      <c r="CM31" s="94"/>
      <c r="CN31" s="94"/>
      <c r="CO31" s="94"/>
      <c r="CP31" s="94"/>
      <c r="CQ31" s="94"/>
      <c r="CR31" s="94"/>
      <c r="CS31" s="94"/>
      <c r="CT31" s="94"/>
      <c r="CU31" s="94"/>
      <c r="CV31" s="94"/>
      <c r="CW31" s="94"/>
      <c r="CX31" s="94"/>
      <c r="CY31" s="94"/>
      <c r="CZ31" s="94"/>
      <c r="DA31" s="94"/>
      <c r="DB31" s="94"/>
      <c r="DC31" s="94"/>
      <c r="DD31" s="94"/>
      <c r="DE31" s="94"/>
      <c r="DF31" s="94"/>
      <c r="DG31" s="94"/>
      <c r="DH31" s="94"/>
      <c r="DI31" s="94"/>
      <c r="DJ31" s="94"/>
      <c r="DK31" s="94"/>
      <c r="DL31" s="94"/>
      <c r="DM31" s="94"/>
      <c r="DN31" s="94"/>
      <c r="DO31" s="94"/>
      <c r="DP31" s="94"/>
      <c r="DQ31" s="94"/>
      <c r="DR31" s="94"/>
      <c r="DS31" s="94"/>
      <c r="DT31" s="94"/>
      <c r="DU31" s="94"/>
      <c r="DV31" s="94"/>
      <c r="DW31" s="94"/>
      <c r="DX31" s="94"/>
      <c r="DY31" s="94"/>
      <c r="DZ31" s="94"/>
      <c r="EA31" s="94"/>
      <c r="EB31" s="94"/>
      <c r="EC31" s="94"/>
      <c r="ED31" s="94"/>
      <c r="EE31" s="94"/>
      <c r="EF31" s="94"/>
      <c r="EG31" s="94"/>
      <c r="EH31" s="94"/>
      <c r="EI31" s="94"/>
      <c r="EJ31" s="94"/>
      <c r="EK31" s="94"/>
      <c r="EL31" s="94"/>
      <c r="EM31" s="94"/>
      <c r="EN31" s="94"/>
      <c r="EO31" s="94"/>
      <c r="EP31" s="94"/>
      <c r="EQ31" s="94"/>
      <c r="ER31" s="94"/>
      <c r="ES31" s="94"/>
      <c r="ET31" s="94"/>
      <c r="EU31" s="94"/>
      <c r="EV31" s="94"/>
      <c r="EW31" s="94"/>
      <c r="EX31" s="94"/>
      <c r="EY31" s="94"/>
      <c r="EZ31" s="94"/>
      <c r="FA31" s="94"/>
      <c r="FB31" s="94"/>
      <c r="FC31" s="94"/>
      <c r="FD31" s="94"/>
      <c r="FE31" s="94"/>
      <c r="FF31" s="94"/>
      <c r="FG31" s="94"/>
      <c r="FH31" s="94"/>
      <c r="FI31" s="94"/>
      <c r="FJ31" s="94"/>
      <c r="FK31" s="94"/>
      <c r="FL31" s="94"/>
      <c r="FM31" s="94"/>
      <c r="FN31" s="94"/>
      <c r="FO31" s="94"/>
      <c r="FP31" s="94"/>
      <c r="FQ31" s="94"/>
      <c r="FR31" s="94"/>
      <c r="FS31" s="94"/>
      <c r="FT31" s="94"/>
      <c r="FU31" s="94"/>
      <c r="FV31" s="94"/>
      <c r="FW31" s="94"/>
      <c r="FX31" s="94"/>
      <c r="FY31" s="94"/>
      <c r="FZ31" s="94"/>
      <c r="GA31" s="94"/>
      <c r="GB31" s="94"/>
      <c r="GC31" s="94"/>
      <c r="GD31" s="94"/>
      <c r="GE31" s="94"/>
      <c r="GF31" s="94"/>
      <c r="GG31" s="94"/>
      <c r="GH31" s="94"/>
      <c r="GI31" s="94"/>
      <c r="GJ31" s="94"/>
      <c r="GK31" s="94"/>
      <c r="GL31" s="94"/>
      <c r="GM31" s="94"/>
      <c r="GN31" s="94"/>
      <c r="GO31" s="94"/>
      <c r="GP31" s="94"/>
      <c r="GQ31" s="94"/>
      <c r="GR31" s="94"/>
      <c r="GS31" s="94"/>
      <c r="GT31" s="94"/>
      <c r="GU31" s="94"/>
      <c r="GV31" s="94"/>
      <c r="GW31" s="94"/>
      <c r="GX31" s="94"/>
      <c r="GY31" s="94"/>
      <c r="GZ31" s="94"/>
      <c r="HA31" s="94"/>
      <c r="HB31" s="94"/>
      <c r="HC31" s="94"/>
      <c r="HD31" s="94"/>
      <c r="HE31" s="94"/>
      <c r="HF31" s="94"/>
      <c r="HG31" s="94"/>
      <c r="HH31" s="94"/>
      <c r="HI31" s="94"/>
      <c r="HJ31" s="94"/>
      <c r="HK31" s="94"/>
      <c r="HL31" s="94"/>
      <c r="HM31" s="94"/>
      <c r="HN31" s="94"/>
      <c r="HO31" s="94"/>
      <c r="HP31" s="94"/>
      <c r="HQ31" s="94"/>
      <c r="HR31" s="94"/>
      <c r="HS31" s="94"/>
      <c r="HT31" s="94"/>
      <c r="HU31" s="94"/>
      <c r="HV31" s="94"/>
      <c r="HW31" s="94"/>
      <c r="HX31" s="94"/>
      <c r="HY31" s="94"/>
      <c r="HZ31" s="94"/>
      <c r="IA31" s="94"/>
      <c r="IB31" s="94"/>
      <c r="IC31" s="94"/>
      <c r="ID31" s="94"/>
      <c r="IE31" s="94"/>
      <c r="IF31" s="94"/>
      <c r="IG31" s="94"/>
      <c r="IH31" s="94"/>
      <c r="II31" s="94"/>
      <c r="IJ31" s="94"/>
      <c r="IK31" s="94"/>
      <c r="IL31" s="94"/>
      <c r="IM31" s="94"/>
      <c r="IN31" s="94"/>
      <c r="IO31" s="94"/>
      <c r="IP31" s="94"/>
      <c r="IQ31" s="94"/>
      <c r="IR31" s="94"/>
      <c r="IS31" s="94"/>
      <c r="IT31" s="94"/>
      <c r="IU31" s="94"/>
      <c r="IV31" s="94"/>
      <c r="IW31" s="94"/>
    </row>
    <row r="32" customFormat="false" ht="12.75" hidden="false" customHeight="true" outlineLevel="0" collapsed="false">
      <c r="A32" s="46" t="str">
        <f aca="false">'QTD Mgmt Summary'!A32</f>
        <v>East Trading (Neal)</v>
      </c>
      <c r="B32" s="33"/>
      <c r="C32" s="74" t="n">
        <v>745</v>
      </c>
      <c r="D32" s="302" t="n">
        <v>1573</v>
      </c>
      <c r="E32" s="114" t="n">
        <f aca="false">D32-C32</f>
        <v>828</v>
      </c>
      <c r="F32" s="370" t="s">
        <v>130</v>
      </c>
      <c r="G32" s="370"/>
      <c r="H32" s="370"/>
      <c r="I32" s="370"/>
      <c r="J32" s="370"/>
      <c r="K32" s="370"/>
    </row>
    <row r="33" customFormat="false" ht="12.75" hidden="false" customHeight="true" outlineLevel="0" collapsed="false">
      <c r="A33" s="46" t="str">
        <f aca="false">'QTD Mgmt Summary'!A33</f>
        <v>East Origination (Vickors)</v>
      </c>
      <c r="B33" s="33"/>
      <c r="C33" s="74" t="n">
        <v>0</v>
      </c>
      <c r="D33" s="302" t="n">
        <v>0</v>
      </c>
      <c r="E33" s="114" t="n">
        <f aca="false">D33-C33</f>
        <v>0</v>
      </c>
      <c r="F33" s="352"/>
      <c r="G33" s="352"/>
      <c r="H33" s="352"/>
      <c r="I33" s="352"/>
      <c r="J33" s="352"/>
      <c r="K33" s="352"/>
    </row>
    <row r="34" customFormat="false" ht="12.75" hidden="false" customHeight="true" outlineLevel="0" collapsed="false">
      <c r="A34" s="46" t="str">
        <f aca="false">'QTD Mgmt Summary'!A34</f>
        <v>Central Trading (Shively)</v>
      </c>
      <c r="B34" s="33"/>
      <c r="C34" s="74" t="n">
        <v>847</v>
      </c>
      <c r="D34" s="302" t="n">
        <v>144</v>
      </c>
      <c r="E34" s="114" t="n">
        <f aca="false">D34-C34</f>
        <v>-703</v>
      </c>
      <c r="F34" s="370" t="s">
        <v>133</v>
      </c>
      <c r="G34" s="370"/>
      <c r="H34" s="370"/>
      <c r="I34" s="370"/>
      <c r="J34" s="370"/>
      <c r="K34" s="370"/>
    </row>
    <row r="35" customFormat="false" ht="12.75" hidden="false" customHeight="true" outlineLevel="0" collapsed="false">
      <c r="A35" s="46" t="str">
        <f aca="false">'QTD Mgmt Summary'!A35</f>
        <v>Central Origination (Luce)</v>
      </c>
      <c r="B35" s="33"/>
      <c r="C35" s="74" t="n">
        <v>0</v>
      </c>
      <c r="D35" s="302" t="n">
        <v>0</v>
      </c>
      <c r="E35" s="114" t="n">
        <f aca="false">D35-C35</f>
        <v>0</v>
      </c>
      <c r="F35" s="352"/>
      <c r="G35" s="352"/>
      <c r="H35" s="352"/>
      <c r="I35" s="352"/>
      <c r="J35" s="352"/>
      <c r="K35" s="352"/>
    </row>
    <row r="36" customFormat="false" ht="12.75" hidden="false" customHeight="true" outlineLevel="0" collapsed="false">
      <c r="A36" s="46" t="str">
        <f aca="false">'QTD Mgmt Summary'!A36</f>
        <v>Texas Trading (Martin)</v>
      </c>
      <c r="B36" s="33"/>
      <c r="C36" s="78" t="n">
        <v>0</v>
      </c>
      <c r="D36" s="226" t="n">
        <v>0</v>
      </c>
      <c r="E36" s="114" t="n">
        <f aca="false">D36-C36</f>
        <v>0</v>
      </c>
      <c r="F36" s="352"/>
      <c r="G36" s="352"/>
      <c r="H36" s="352"/>
      <c r="I36" s="352"/>
      <c r="J36" s="352"/>
      <c r="K36" s="352"/>
    </row>
    <row r="37" customFormat="false" ht="12.75" hidden="false" customHeight="true" outlineLevel="0" collapsed="false">
      <c r="A37" s="46" t="str">
        <f aca="false">'QTD Mgmt Summary'!A37</f>
        <v>Texas Origination (Redmond)</v>
      </c>
      <c r="B37" s="33"/>
      <c r="C37" s="78" t="n">
        <v>0</v>
      </c>
      <c r="D37" s="226" t="n">
        <v>0</v>
      </c>
      <c r="E37" s="114" t="n">
        <f aca="false">D37-C37</f>
        <v>0</v>
      </c>
      <c r="F37" s="352"/>
      <c r="G37" s="352"/>
      <c r="H37" s="352"/>
      <c r="I37" s="352"/>
      <c r="J37" s="352"/>
      <c r="K37" s="352"/>
    </row>
    <row r="38" customFormat="false" ht="12.75" hidden="false" customHeight="true" outlineLevel="0" collapsed="false">
      <c r="A38" s="46" t="str">
        <f aca="false">'QTD Mgmt Summary'!A38</f>
        <v>West Trading (Allen)</v>
      </c>
      <c r="B38" s="33"/>
      <c r="C38" s="78" t="n">
        <v>0</v>
      </c>
      <c r="D38" s="226" t="n">
        <v>0</v>
      </c>
      <c r="E38" s="114" t="n">
        <f aca="false">D38-C38</f>
        <v>0</v>
      </c>
      <c r="F38" s="352"/>
      <c r="G38" s="352"/>
      <c r="H38" s="352"/>
      <c r="I38" s="352"/>
      <c r="J38" s="352"/>
      <c r="K38" s="352"/>
    </row>
    <row r="39" customFormat="false" ht="12.75" hidden="false" customHeight="true" outlineLevel="0" collapsed="false">
      <c r="A39" s="46" t="str">
        <f aca="false">'QTD Mgmt Summary'!A39</f>
        <v>West Origination (Tycholiz)</v>
      </c>
      <c r="B39" s="33"/>
      <c r="C39" s="78" t="n">
        <v>0</v>
      </c>
      <c r="D39" s="226" t="n">
        <v>0</v>
      </c>
      <c r="E39" s="114" t="n">
        <f aca="false">D39-C39</f>
        <v>0</v>
      </c>
      <c r="F39" s="352"/>
      <c r="G39" s="352"/>
      <c r="H39" s="352"/>
      <c r="I39" s="352"/>
      <c r="J39" s="352"/>
      <c r="K39" s="352"/>
    </row>
    <row r="40" customFormat="false" ht="12.75" hidden="false" customHeight="true" outlineLevel="0" collapsed="false">
      <c r="A40" s="46" t="str">
        <f aca="false">'QTD Mgmt Summary'!A40</f>
        <v>Financial Gas (Arnold)</v>
      </c>
      <c r="B40" s="33"/>
      <c r="C40" s="78" t="n">
        <v>0</v>
      </c>
      <c r="D40" s="226" t="n">
        <v>0</v>
      </c>
      <c r="E40" s="114" t="n">
        <f aca="false">D40-C40</f>
        <v>0</v>
      </c>
      <c r="F40" s="352"/>
      <c r="G40" s="352"/>
      <c r="H40" s="352"/>
      <c r="I40" s="352"/>
      <c r="J40" s="352"/>
      <c r="K40" s="352"/>
    </row>
    <row r="41" customFormat="false" ht="12.75" hidden="false" customHeight="true" outlineLevel="0" collapsed="false">
      <c r="A41" s="46" t="str">
        <f aca="false">'QTD Mgmt Summary'!A41</f>
        <v>Derivative (Lagrasta)</v>
      </c>
      <c r="B41" s="33"/>
      <c r="C41" s="78" t="n">
        <v>0</v>
      </c>
      <c r="D41" s="226" t="n">
        <v>0</v>
      </c>
      <c r="E41" s="114" t="n">
        <f aca="false">D41-C41</f>
        <v>0</v>
      </c>
      <c r="F41" s="352"/>
      <c r="G41" s="352"/>
      <c r="H41" s="352"/>
      <c r="I41" s="352"/>
      <c r="J41" s="352"/>
      <c r="K41" s="352"/>
    </row>
    <row r="42" customFormat="false" ht="12.75" hidden="false" customHeight="true" outlineLevel="0" collapsed="false">
      <c r="A42" s="46" t="str">
        <f aca="false">'QTD Mgmt Summary'!A42</f>
        <v>NG Structuring (McMichael)</v>
      </c>
      <c r="B42" s="33"/>
      <c r="C42" s="78" t="n">
        <v>0</v>
      </c>
      <c r="D42" s="226" t="n">
        <v>0</v>
      </c>
      <c r="E42" s="114" t="n">
        <f aca="false">D42-C42</f>
        <v>0</v>
      </c>
      <c r="F42" s="352"/>
      <c r="G42" s="352"/>
      <c r="H42" s="352"/>
      <c r="I42" s="352"/>
      <c r="J42" s="352"/>
      <c r="K42" s="352"/>
    </row>
    <row r="43" customFormat="false" ht="12.75" hidden="false" customHeight="true" outlineLevel="0" collapsed="false">
      <c r="A43" s="46" t="str">
        <f aca="false">'QTD Mgmt Summary'!A43</f>
        <v>NG Fundamentals (Gaskill)</v>
      </c>
      <c r="B43" s="33"/>
      <c r="C43" s="78" t="n">
        <v>0</v>
      </c>
      <c r="D43" s="226" t="n">
        <v>0</v>
      </c>
      <c r="E43" s="114" t="n">
        <f aca="false">D43-C43</f>
        <v>0</v>
      </c>
      <c r="F43" s="352"/>
      <c r="G43" s="352"/>
      <c r="H43" s="352"/>
      <c r="I43" s="352"/>
      <c r="J43" s="352"/>
      <c r="K43" s="352"/>
    </row>
    <row r="44" customFormat="false" ht="12.75" hidden="false" customHeight="true" outlineLevel="0" collapsed="false">
      <c r="A44" s="46" t="str">
        <f aca="false">'QTD Mgmt Summary'!A44</f>
        <v>Management</v>
      </c>
      <c r="B44" s="33"/>
      <c r="C44" s="78" t="n">
        <v>0</v>
      </c>
      <c r="D44" s="226" t="n">
        <v>0</v>
      </c>
      <c r="E44" s="114" t="n">
        <f aca="false">D44-C44</f>
        <v>0</v>
      </c>
      <c r="F44" s="352"/>
      <c r="G44" s="352"/>
      <c r="H44" s="352"/>
      <c r="I44" s="352"/>
      <c r="J44" s="352"/>
      <c r="K44" s="352"/>
    </row>
    <row r="45" customFormat="false" ht="12.75" hidden="false" customHeight="true" outlineLevel="0" collapsed="false">
      <c r="A45" s="101" t="s">
        <v>38</v>
      </c>
      <c r="B45" s="191"/>
      <c r="C45" s="223" t="n">
        <f aca="false">SUM(C32:C44)</f>
        <v>1592</v>
      </c>
      <c r="D45" s="193" t="n">
        <f aca="false">SUM(D32:D44)</f>
        <v>1717</v>
      </c>
      <c r="E45" s="193" t="n">
        <f aca="false">SUM(E32:E44)</f>
        <v>125</v>
      </c>
      <c r="F45" s="373"/>
      <c r="G45" s="373"/>
      <c r="H45" s="373"/>
      <c r="I45" s="373"/>
      <c r="J45" s="373"/>
      <c r="K45" s="373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94"/>
      <c r="CD45" s="94"/>
      <c r="CE45" s="94"/>
      <c r="CF45" s="94"/>
      <c r="CG45" s="94"/>
      <c r="CH45" s="94"/>
      <c r="CI45" s="94"/>
      <c r="CJ45" s="94"/>
      <c r="CK45" s="94"/>
      <c r="CL45" s="94"/>
      <c r="CM45" s="94"/>
      <c r="CN45" s="94"/>
      <c r="CO45" s="94"/>
      <c r="CP45" s="94"/>
      <c r="CQ45" s="94"/>
      <c r="CR45" s="94"/>
      <c r="CS45" s="94"/>
      <c r="CT45" s="94"/>
      <c r="CU45" s="94"/>
      <c r="CV45" s="94"/>
      <c r="CW45" s="94"/>
      <c r="CX45" s="94"/>
      <c r="CY45" s="94"/>
      <c r="CZ45" s="94"/>
      <c r="DA45" s="94"/>
      <c r="DB45" s="94"/>
      <c r="DC45" s="94"/>
      <c r="DD45" s="94"/>
      <c r="DE45" s="94"/>
      <c r="DF45" s="94"/>
      <c r="DG45" s="94"/>
      <c r="DH45" s="94"/>
      <c r="DI45" s="94"/>
      <c r="DJ45" s="94"/>
      <c r="DK45" s="94"/>
      <c r="DL45" s="94"/>
      <c r="DM45" s="94"/>
      <c r="DN45" s="94"/>
      <c r="DO45" s="94"/>
      <c r="DP45" s="94"/>
      <c r="DQ45" s="94"/>
      <c r="DR45" s="94"/>
      <c r="DS45" s="94"/>
      <c r="DT45" s="94"/>
      <c r="DU45" s="94"/>
      <c r="DV45" s="94"/>
      <c r="DW45" s="94"/>
      <c r="DX45" s="94"/>
      <c r="DY45" s="94"/>
      <c r="DZ45" s="94"/>
      <c r="EA45" s="94"/>
      <c r="EB45" s="94"/>
      <c r="EC45" s="94"/>
      <c r="ED45" s="94"/>
      <c r="EE45" s="94"/>
      <c r="EF45" s="94"/>
      <c r="EG45" s="94"/>
      <c r="EH45" s="94"/>
      <c r="EI45" s="94"/>
      <c r="EJ45" s="94"/>
      <c r="EK45" s="94"/>
      <c r="EL45" s="94"/>
      <c r="EM45" s="94"/>
      <c r="EN45" s="94"/>
      <c r="EO45" s="94"/>
      <c r="EP45" s="94"/>
      <c r="EQ45" s="94"/>
      <c r="ER45" s="94"/>
      <c r="ES45" s="94"/>
      <c r="ET45" s="94"/>
      <c r="EU45" s="94"/>
      <c r="EV45" s="94"/>
      <c r="EW45" s="94"/>
      <c r="EX45" s="94"/>
      <c r="EY45" s="94"/>
      <c r="EZ45" s="94"/>
      <c r="FA45" s="94"/>
      <c r="FB45" s="94"/>
      <c r="FC45" s="94"/>
      <c r="FD45" s="94"/>
      <c r="FE45" s="94"/>
      <c r="FF45" s="94"/>
      <c r="FG45" s="94"/>
      <c r="FH45" s="94"/>
      <c r="FI45" s="94"/>
      <c r="FJ45" s="94"/>
      <c r="FK45" s="94"/>
      <c r="FL45" s="94"/>
      <c r="FM45" s="94"/>
      <c r="FN45" s="94"/>
      <c r="FO45" s="94"/>
      <c r="FP45" s="94"/>
      <c r="FQ45" s="94"/>
      <c r="FR45" s="94"/>
      <c r="FS45" s="94"/>
      <c r="FT45" s="94"/>
      <c r="FU45" s="94"/>
      <c r="FV45" s="94"/>
      <c r="FW45" s="94"/>
      <c r="FX45" s="94"/>
      <c r="FY45" s="94"/>
      <c r="FZ45" s="94"/>
      <c r="GA45" s="94"/>
      <c r="GB45" s="94"/>
      <c r="GC45" s="94"/>
      <c r="GD45" s="94"/>
      <c r="GE45" s="94"/>
      <c r="GF45" s="94"/>
      <c r="GG45" s="94"/>
      <c r="GH45" s="94"/>
      <c r="GI45" s="94"/>
      <c r="GJ45" s="94"/>
      <c r="GK45" s="94"/>
      <c r="GL45" s="94"/>
      <c r="GM45" s="94"/>
      <c r="GN45" s="94"/>
      <c r="GO45" s="94"/>
      <c r="GP45" s="94"/>
      <c r="GQ45" s="94"/>
      <c r="GR45" s="94"/>
      <c r="GS45" s="94"/>
      <c r="GT45" s="94"/>
      <c r="GU45" s="94"/>
      <c r="GV45" s="94"/>
      <c r="GW45" s="94"/>
      <c r="GX45" s="94"/>
      <c r="GY45" s="94"/>
      <c r="GZ45" s="94"/>
      <c r="HA45" s="94"/>
      <c r="HB45" s="94"/>
      <c r="HC45" s="94"/>
      <c r="HD45" s="94"/>
      <c r="HE45" s="94"/>
      <c r="HF45" s="94"/>
      <c r="HG45" s="94"/>
      <c r="HH45" s="94"/>
      <c r="HI45" s="94"/>
      <c r="HJ45" s="94"/>
      <c r="HK45" s="94"/>
      <c r="HL45" s="94"/>
      <c r="HM45" s="94"/>
      <c r="HN45" s="94"/>
      <c r="HO45" s="94"/>
      <c r="HP45" s="94"/>
      <c r="HQ45" s="94"/>
      <c r="HR45" s="94"/>
      <c r="HS45" s="94"/>
      <c r="HT45" s="94"/>
      <c r="HU45" s="94"/>
      <c r="HV45" s="94"/>
      <c r="HW45" s="94"/>
      <c r="HX45" s="94"/>
      <c r="HY45" s="94"/>
      <c r="HZ45" s="94"/>
      <c r="IA45" s="94"/>
      <c r="IB45" s="94"/>
      <c r="IC45" s="94"/>
      <c r="ID45" s="94"/>
      <c r="IE45" s="94"/>
      <c r="IF45" s="94"/>
      <c r="IG45" s="94"/>
      <c r="IH45" s="94"/>
      <c r="II45" s="94"/>
      <c r="IJ45" s="94"/>
      <c r="IK45" s="94"/>
      <c r="IL45" s="94"/>
      <c r="IM45" s="94"/>
      <c r="IN45" s="94"/>
      <c r="IO45" s="94"/>
      <c r="IP45" s="94"/>
      <c r="IQ45" s="94"/>
      <c r="IR45" s="94"/>
      <c r="IS45" s="94"/>
      <c r="IT45" s="94"/>
      <c r="IU45" s="94"/>
      <c r="IV45" s="94"/>
      <c r="IW45" s="94"/>
    </row>
    <row r="46" customFormat="false" ht="12.75" hidden="false" customHeight="true" outlineLevel="0" collapsed="false">
      <c r="A46" s="46" t="str">
        <f aca="false">'QTD Mgmt Summary'!A46</f>
        <v>Natural Gas Trading (Zufferli)</v>
      </c>
      <c r="B46" s="33"/>
      <c r="C46" s="74" t="n">
        <v>222</v>
      </c>
      <c r="D46" s="302" t="n">
        <v>99</v>
      </c>
      <c r="E46" s="114" t="n">
        <f aca="false">D46-C46</f>
        <v>-123</v>
      </c>
      <c r="F46" s="370" t="s">
        <v>133</v>
      </c>
      <c r="G46" s="370"/>
      <c r="H46" s="370"/>
      <c r="I46" s="370"/>
      <c r="J46" s="370"/>
      <c r="K46" s="370"/>
    </row>
    <row r="47" customFormat="false" ht="12.75" hidden="false" customHeight="true" outlineLevel="0" collapsed="false">
      <c r="A47" s="46" t="str">
        <f aca="false">'QTD Mgmt Summary'!A47</f>
        <v>Natural Gas Origination (LeDain)</v>
      </c>
      <c r="B47" s="33"/>
      <c r="C47" s="74" t="n">
        <v>0</v>
      </c>
      <c r="D47" s="302" t="n">
        <v>0</v>
      </c>
      <c r="E47" s="114" t="n">
        <f aca="false">D47-C47</f>
        <v>0</v>
      </c>
      <c r="F47" s="352"/>
      <c r="G47" s="352"/>
      <c r="H47" s="352"/>
      <c r="I47" s="352"/>
      <c r="J47" s="352"/>
      <c r="K47" s="352"/>
    </row>
    <row r="48" customFormat="false" ht="12.75" hidden="false" customHeight="true" outlineLevel="0" collapsed="false">
      <c r="A48" s="46" t="str">
        <f aca="false">'QTD Mgmt Summary'!A48</f>
        <v>Finance (Kitagawa)</v>
      </c>
      <c r="B48" s="33"/>
      <c r="C48" s="74" t="n">
        <v>907</v>
      </c>
      <c r="D48" s="302" t="n">
        <v>98</v>
      </c>
      <c r="E48" s="114" t="n">
        <f aca="false">D48-C48</f>
        <v>-809</v>
      </c>
      <c r="F48" s="370" t="s">
        <v>147</v>
      </c>
      <c r="G48" s="370"/>
      <c r="H48" s="370"/>
      <c r="I48" s="370"/>
      <c r="J48" s="370"/>
      <c r="K48" s="370"/>
    </row>
    <row r="49" customFormat="false" ht="12.75" hidden="false" customHeight="true" outlineLevel="0" collapsed="false">
      <c r="A49" s="46" t="str">
        <f aca="false">'QTD Mgmt Summary'!A49</f>
        <v>Alberta Power (Zufferli/Davies)</v>
      </c>
      <c r="B49" s="33"/>
      <c r="C49" s="74" t="n">
        <v>0</v>
      </c>
      <c r="D49" s="302" t="n">
        <v>0</v>
      </c>
      <c r="E49" s="114" t="n">
        <f aca="false">D49-C49</f>
        <v>0</v>
      </c>
      <c r="F49" s="352"/>
      <c r="G49" s="352"/>
      <c r="H49" s="352"/>
      <c r="I49" s="352"/>
      <c r="J49" s="352"/>
      <c r="K49" s="352"/>
    </row>
    <row r="50" customFormat="false" ht="12.75" hidden="false" customHeight="true" outlineLevel="0" collapsed="false">
      <c r="A50" s="46" t="str">
        <f aca="false">'QTD Mgmt Summary'!A50</f>
        <v>Ontario Power (Devries)</v>
      </c>
      <c r="B50" s="33"/>
      <c r="C50" s="74" t="n">
        <v>0</v>
      </c>
      <c r="D50" s="302" t="n">
        <v>447</v>
      </c>
      <c r="E50" s="114" t="n">
        <f aca="false">D50-C50</f>
        <v>447</v>
      </c>
      <c r="F50" s="352"/>
      <c r="G50" s="352"/>
      <c r="H50" s="352"/>
      <c r="I50" s="352"/>
      <c r="J50" s="352"/>
      <c r="K50" s="352"/>
    </row>
    <row r="51" customFormat="false" ht="12.75" hidden="false" customHeight="true" outlineLevel="0" collapsed="false">
      <c r="A51" s="46" t="str">
        <f aca="false">'QTD Mgmt Summary'!A51</f>
        <v>Executive (Milnthorp)</v>
      </c>
      <c r="B51" s="33"/>
      <c r="C51" s="74" t="n">
        <v>0</v>
      </c>
      <c r="D51" s="302" t="n">
        <v>0</v>
      </c>
      <c r="E51" s="114" t="n">
        <f aca="false">D51-C51</f>
        <v>0</v>
      </c>
      <c r="F51" s="352"/>
      <c r="G51" s="352"/>
      <c r="H51" s="352"/>
      <c r="I51" s="352"/>
      <c r="J51" s="352"/>
      <c r="K51" s="352"/>
    </row>
    <row r="52" customFormat="false" ht="12.75" hidden="false" customHeight="true" outlineLevel="0" collapsed="false">
      <c r="A52" s="101" t="s">
        <v>45</v>
      </c>
      <c r="B52" s="191"/>
      <c r="C52" s="223" t="n">
        <f aca="false">SUM(C46:C51)</f>
        <v>1129</v>
      </c>
      <c r="D52" s="193" t="n">
        <f aca="false">SUM(D46:D51)</f>
        <v>644</v>
      </c>
      <c r="E52" s="193" t="n">
        <f aca="false">SUM(E46:E51)</f>
        <v>-485</v>
      </c>
      <c r="F52" s="373"/>
      <c r="G52" s="373"/>
      <c r="H52" s="373"/>
      <c r="I52" s="373"/>
      <c r="J52" s="373"/>
      <c r="K52" s="373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4"/>
      <c r="BR52" s="94"/>
      <c r="BS52" s="94"/>
      <c r="BT52" s="94"/>
      <c r="BU52" s="94"/>
      <c r="BV52" s="94"/>
      <c r="BW52" s="94"/>
      <c r="BX52" s="94"/>
      <c r="BY52" s="94"/>
      <c r="BZ52" s="94"/>
      <c r="CA52" s="94"/>
      <c r="CB52" s="94"/>
      <c r="CC52" s="94"/>
      <c r="CD52" s="94"/>
      <c r="CE52" s="94"/>
      <c r="CF52" s="94"/>
      <c r="CG52" s="94"/>
      <c r="CH52" s="94"/>
      <c r="CI52" s="94"/>
      <c r="CJ52" s="94"/>
      <c r="CK52" s="94"/>
      <c r="CL52" s="94"/>
      <c r="CM52" s="94"/>
      <c r="CN52" s="94"/>
      <c r="CO52" s="94"/>
      <c r="CP52" s="94"/>
      <c r="CQ52" s="94"/>
      <c r="CR52" s="94"/>
      <c r="CS52" s="94"/>
      <c r="CT52" s="94"/>
      <c r="CU52" s="94"/>
      <c r="CV52" s="94"/>
      <c r="CW52" s="94"/>
      <c r="CX52" s="94"/>
      <c r="CY52" s="94"/>
      <c r="CZ52" s="94"/>
      <c r="DA52" s="94"/>
      <c r="DB52" s="94"/>
      <c r="DC52" s="94"/>
      <c r="DD52" s="94"/>
      <c r="DE52" s="94"/>
      <c r="DF52" s="94"/>
      <c r="DG52" s="94"/>
      <c r="DH52" s="94"/>
      <c r="DI52" s="94"/>
      <c r="DJ52" s="94"/>
      <c r="DK52" s="94"/>
      <c r="DL52" s="94"/>
      <c r="DM52" s="94"/>
      <c r="DN52" s="94"/>
      <c r="DO52" s="94"/>
      <c r="DP52" s="94"/>
      <c r="DQ52" s="94"/>
      <c r="DR52" s="94"/>
      <c r="DS52" s="94"/>
      <c r="DT52" s="94"/>
      <c r="DU52" s="94"/>
      <c r="DV52" s="94"/>
      <c r="DW52" s="94"/>
      <c r="DX52" s="94"/>
      <c r="DY52" s="94"/>
      <c r="DZ52" s="94"/>
      <c r="EA52" s="94"/>
      <c r="EB52" s="94"/>
      <c r="EC52" s="94"/>
      <c r="ED52" s="94"/>
      <c r="EE52" s="94"/>
      <c r="EF52" s="94"/>
      <c r="EG52" s="94"/>
      <c r="EH52" s="94"/>
      <c r="EI52" s="94"/>
      <c r="EJ52" s="94"/>
      <c r="EK52" s="94"/>
      <c r="EL52" s="94"/>
      <c r="EM52" s="94"/>
      <c r="EN52" s="94"/>
      <c r="EO52" s="94"/>
      <c r="EP52" s="94"/>
      <c r="EQ52" s="94"/>
      <c r="ER52" s="94"/>
      <c r="ES52" s="94"/>
      <c r="ET52" s="94"/>
      <c r="EU52" s="94"/>
      <c r="EV52" s="94"/>
      <c r="EW52" s="94"/>
      <c r="EX52" s="94"/>
      <c r="EY52" s="94"/>
      <c r="EZ52" s="94"/>
      <c r="FA52" s="94"/>
      <c r="FB52" s="94"/>
      <c r="FC52" s="94"/>
      <c r="FD52" s="94"/>
      <c r="FE52" s="94"/>
      <c r="FF52" s="94"/>
      <c r="FG52" s="94"/>
      <c r="FH52" s="94"/>
      <c r="FI52" s="94"/>
      <c r="FJ52" s="94"/>
      <c r="FK52" s="94"/>
      <c r="FL52" s="94"/>
      <c r="FM52" s="94"/>
      <c r="FN52" s="94"/>
      <c r="FO52" s="94"/>
      <c r="FP52" s="94"/>
      <c r="FQ52" s="94"/>
      <c r="FR52" s="94"/>
      <c r="FS52" s="94"/>
      <c r="FT52" s="94"/>
      <c r="FU52" s="94"/>
      <c r="FV52" s="94"/>
      <c r="FW52" s="94"/>
      <c r="FX52" s="94"/>
      <c r="FY52" s="94"/>
      <c r="FZ52" s="94"/>
      <c r="GA52" s="94"/>
      <c r="GB52" s="94"/>
      <c r="GC52" s="94"/>
      <c r="GD52" s="94"/>
      <c r="GE52" s="94"/>
      <c r="GF52" s="94"/>
      <c r="GG52" s="94"/>
      <c r="GH52" s="94"/>
      <c r="GI52" s="94"/>
      <c r="GJ52" s="94"/>
      <c r="GK52" s="94"/>
      <c r="GL52" s="94"/>
      <c r="GM52" s="94"/>
      <c r="GN52" s="94"/>
      <c r="GO52" s="94"/>
      <c r="GP52" s="94"/>
      <c r="GQ52" s="94"/>
      <c r="GR52" s="94"/>
      <c r="GS52" s="94"/>
      <c r="GT52" s="94"/>
      <c r="GU52" s="94"/>
      <c r="GV52" s="94"/>
      <c r="GW52" s="94"/>
      <c r="GX52" s="94"/>
      <c r="GY52" s="94"/>
      <c r="GZ52" s="94"/>
      <c r="HA52" s="94"/>
      <c r="HB52" s="94"/>
      <c r="HC52" s="94"/>
      <c r="HD52" s="94"/>
      <c r="HE52" s="94"/>
      <c r="HF52" s="94"/>
      <c r="HG52" s="94"/>
      <c r="HH52" s="94"/>
      <c r="HI52" s="94"/>
      <c r="HJ52" s="94"/>
      <c r="HK52" s="94"/>
      <c r="HL52" s="94"/>
      <c r="HM52" s="94"/>
      <c r="HN52" s="94"/>
      <c r="HO52" s="94"/>
      <c r="HP52" s="94"/>
      <c r="HQ52" s="94"/>
      <c r="HR52" s="94"/>
      <c r="HS52" s="94"/>
      <c r="HT52" s="94"/>
      <c r="HU52" s="94"/>
      <c r="HV52" s="94"/>
      <c r="HW52" s="94"/>
      <c r="HX52" s="94"/>
      <c r="HY52" s="94"/>
      <c r="HZ52" s="94"/>
      <c r="IA52" s="94"/>
      <c r="IB52" s="94"/>
      <c r="IC52" s="94"/>
      <c r="ID52" s="94"/>
      <c r="IE52" s="94"/>
      <c r="IF52" s="94"/>
      <c r="IG52" s="94"/>
      <c r="IH52" s="94"/>
      <c r="II52" s="94"/>
      <c r="IJ52" s="94"/>
      <c r="IK52" s="94"/>
      <c r="IL52" s="94"/>
      <c r="IM52" s="94"/>
      <c r="IN52" s="94"/>
      <c r="IO52" s="94"/>
      <c r="IP52" s="94"/>
      <c r="IQ52" s="94"/>
      <c r="IR52" s="94"/>
      <c r="IS52" s="94"/>
      <c r="IT52" s="94"/>
      <c r="IU52" s="94"/>
      <c r="IV52" s="94"/>
      <c r="IW52" s="94"/>
    </row>
    <row r="53" customFormat="false" ht="12.75" hidden="false" customHeight="true" outlineLevel="0" collapsed="false">
      <c r="A53" s="46" t="str">
        <f aca="false">'QTD Mgmt Summary'!A53</f>
        <v>Upstream Products (Mrha)</v>
      </c>
      <c r="B53" s="33"/>
      <c r="C53" s="74" t="n">
        <v>0</v>
      </c>
      <c r="D53" s="114" t="n">
        <v>501</v>
      </c>
      <c r="E53" s="114" t="n">
        <f aca="false">D53-C53</f>
        <v>501</v>
      </c>
      <c r="F53" s="370" t="s">
        <v>203</v>
      </c>
      <c r="G53" s="370"/>
      <c r="H53" s="370"/>
      <c r="I53" s="370"/>
      <c r="J53" s="370"/>
      <c r="K53" s="370"/>
    </row>
    <row r="54" customFormat="false" ht="12.75" hidden="false" customHeight="true" outlineLevel="0" collapsed="false">
      <c r="A54" s="46" t="str">
        <f aca="false">'QTD Mgmt Summary'!A54</f>
        <v>Bridgeline (Redmond)</v>
      </c>
      <c r="B54" s="33"/>
      <c r="C54" s="74" t="n">
        <v>5450</v>
      </c>
      <c r="D54" s="114" t="n">
        <v>6282</v>
      </c>
      <c r="E54" s="114" t="n">
        <f aca="false">D54-C54</f>
        <v>832</v>
      </c>
      <c r="F54" s="352"/>
      <c r="G54" s="352"/>
      <c r="H54" s="352"/>
      <c r="I54" s="352"/>
      <c r="J54" s="352"/>
      <c r="K54" s="352"/>
    </row>
    <row r="55" customFormat="false" ht="12.75" hidden="false" customHeight="true" outlineLevel="0" collapsed="false">
      <c r="A55" s="46" t="str">
        <f aca="false">'QTD Mgmt Summary'!A55</f>
        <v>HPL (Redmond)</v>
      </c>
      <c r="B55" s="33"/>
      <c r="C55" s="74" t="n">
        <v>0</v>
      </c>
      <c r="D55" s="114" t="n">
        <v>0</v>
      </c>
      <c r="E55" s="114" t="n">
        <f aca="false">D55-C55</f>
        <v>0</v>
      </c>
      <c r="F55" s="352"/>
      <c r="G55" s="352"/>
      <c r="H55" s="352"/>
      <c r="I55" s="352"/>
      <c r="J55" s="352"/>
      <c r="K55" s="352"/>
    </row>
    <row r="56" customFormat="false" ht="12.75" hidden="false" customHeight="true" outlineLevel="0" collapsed="false">
      <c r="A56" s="46" t="str">
        <f aca="false">'QTD Mgmt Summary'!A56</f>
        <v>Mexico (Irvin/Williams)</v>
      </c>
      <c r="B56" s="33"/>
      <c r="C56" s="74" t="n">
        <v>41</v>
      </c>
      <c r="D56" s="114" t="n">
        <v>0</v>
      </c>
      <c r="E56" s="114" t="n">
        <f aca="false">D56-C56</f>
        <v>-41</v>
      </c>
      <c r="F56" s="370" t="s">
        <v>155</v>
      </c>
      <c r="G56" s="370"/>
      <c r="H56" s="370"/>
      <c r="I56" s="370"/>
      <c r="J56" s="370"/>
      <c r="K56" s="370"/>
    </row>
    <row r="57" customFormat="false" ht="12.75" hidden="false" customHeight="true" outlineLevel="0" collapsed="false">
      <c r="A57" s="46" t="str">
        <f aca="false">'QTD Mgmt Summary'!A57</f>
        <v>Energy Capital Svcs (Thompson/Josey)</v>
      </c>
      <c r="B57" s="33"/>
      <c r="C57" s="74" t="n">
        <v>5079</v>
      </c>
      <c r="D57" s="114" t="n">
        <v>7759</v>
      </c>
      <c r="E57" s="114" t="n">
        <f aca="false">D57-C57</f>
        <v>2680</v>
      </c>
      <c r="F57" s="370" t="s">
        <v>157</v>
      </c>
      <c r="G57" s="370"/>
      <c r="H57" s="370"/>
      <c r="I57" s="370"/>
      <c r="J57" s="370"/>
      <c r="K57" s="370"/>
    </row>
    <row r="58" customFormat="false" ht="12.75" hidden="false" customHeight="true" outlineLevel="0" collapsed="false">
      <c r="A58" s="46" t="str">
        <f aca="false">'QTD Mgmt Summary'!A58</f>
        <v>Mariner</v>
      </c>
      <c r="B58" s="33"/>
      <c r="C58" s="74" t="n">
        <v>13944</v>
      </c>
      <c r="D58" s="114" t="n">
        <v>6005</v>
      </c>
      <c r="E58" s="114" t="n">
        <f aca="false">D58-C58</f>
        <v>-7939</v>
      </c>
      <c r="F58" s="370" t="s">
        <v>159</v>
      </c>
      <c r="G58" s="370"/>
      <c r="H58" s="370"/>
      <c r="I58" s="370"/>
      <c r="J58" s="370"/>
      <c r="K58" s="370"/>
    </row>
    <row r="59" customFormat="false" ht="12.75" hidden="false" customHeight="true" outlineLevel="0" collapsed="false">
      <c r="A59" s="46" t="str">
        <f aca="false">'QTD Mgmt Summary'!A59</f>
        <v>Asset Marketing (D. Miller)</v>
      </c>
      <c r="B59" s="51"/>
      <c r="C59" s="74" t="n">
        <v>0</v>
      </c>
      <c r="D59" s="114" t="n">
        <v>0</v>
      </c>
      <c r="E59" s="114" t="n">
        <f aca="false">D59-C59</f>
        <v>0</v>
      </c>
      <c r="F59" s="352"/>
      <c r="G59" s="352"/>
      <c r="H59" s="352"/>
      <c r="I59" s="352"/>
      <c r="J59" s="352"/>
      <c r="K59" s="352"/>
    </row>
    <row r="60" customFormat="false" ht="12.75" hidden="false" customHeight="true" outlineLevel="0" collapsed="false">
      <c r="A60" s="46" t="str">
        <f aca="false">'QTD Mgmt Summary'!A60</f>
        <v>Sold Peakers</v>
      </c>
      <c r="B60" s="51"/>
      <c r="C60" s="74" t="n">
        <v>0</v>
      </c>
      <c r="D60" s="114" t="n">
        <v>0</v>
      </c>
      <c r="E60" s="114" t="n">
        <f aca="false">D60-C60</f>
        <v>0</v>
      </c>
      <c r="F60" s="352"/>
      <c r="G60" s="352"/>
      <c r="H60" s="352"/>
      <c r="I60" s="352"/>
      <c r="J60" s="352"/>
      <c r="K60" s="352"/>
    </row>
    <row r="61" customFormat="false" ht="12.75" hidden="false" customHeight="true" outlineLevel="0" collapsed="false">
      <c r="A61" s="46" t="str">
        <f aca="false">'QTD Mgmt Summary'!A61</f>
        <v>Cross Commodity (Lavorato)</v>
      </c>
      <c r="B61" s="51"/>
      <c r="C61" s="74" t="n">
        <v>0</v>
      </c>
      <c r="D61" s="114" t="n">
        <v>0</v>
      </c>
      <c r="E61" s="114" t="n">
        <f aca="false">D61-C61</f>
        <v>0</v>
      </c>
      <c r="F61" s="352"/>
      <c r="G61" s="352"/>
      <c r="H61" s="352"/>
      <c r="I61" s="352"/>
      <c r="J61" s="352"/>
      <c r="K61" s="352"/>
    </row>
    <row r="62" customFormat="false" ht="12.75" hidden="false" customHeight="true" outlineLevel="0" collapsed="false">
      <c r="A62" s="46" t="str">
        <f aca="false">'QTD Mgmt Summary'!A62</f>
        <v>Office of the Chairman (Lavorato/Kitchen)</v>
      </c>
      <c r="B62" s="33"/>
      <c r="C62" s="74" t="n">
        <v>0</v>
      </c>
      <c r="D62" s="114" t="n">
        <v>0</v>
      </c>
      <c r="E62" s="114" t="n">
        <f aca="false">D62-C62</f>
        <v>0</v>
      </c>
      <c r="F62" s="352"/>
      <c r="G62" s="352"/>
      <c r="H62" s="352"/>
      <c r="I62" s="352"/>
      <c r="J62" s="352"/>
      <c r="K62" s="352"/>
    </row>
    <row r="63" customFormat="false" ht="12.75" hidden="false" customHeight="true" outlineLevel="0" collapsed="false">
      <c r="A63" s="46" t="str">
        <f aca="false">'QTD Mgmt Summary'!A63</f>
        <v>TVA Settlement</v>
      </c>
      <c r="B63" s="33"/>
      <c r="C63" s="74" t="n">
        <v>0</v>
      </c>
      <c r="D63" s="114" t="n">
        <v>0</v>
      </c>
      <c r="E63" s="114" t="n">
        <f aca="false">D63-C63</f>
        <v>0</v>
      </c>
      <c r="F63" s="352"/>
      <c r="G63" s="352"/>
      <c r="H63" s="352"/>
      <c r="I63" s="352"/>
      <c r="J63" s="352"/>
      <c r="K63" s="352"/>
    </row>
    <row r="64" customFormat="false" ht="12.75" hidden="false" customHeight="true" outlineLevel="0" collapsed="false">
      <c r="A64" s="46" t="str">
        <f aca="false">'QTD Mgmt Summary'!A64</f>
        <v>Other *</v>
      </c>
      <c r="B64" s="33"/>
      <c r="C64" s="74" t="n">
        <v>-430</v>
      </c>
      <c r="D64" s="114" t="n">
        <v>0</v>
      </c>
      <c r="E64" s="114" t="n">
        <f aca="false">D64-C64</f>
        <v>430</v>
      </c>
      <c r="F64" s="370" t="s">
        <v>166</v>
      </c>
      <c r="G64" s="370"/>
      <c r="H64" s="370"/>
      <c r="I64" s="370"/>
      <c r="J64" s="370"/>
      <c r="K64" s="370"/>
    </row>
    <row r="65" customFormat="false" ht="12.75" hidden="false" customHeight="true" outlineLevel="0" collapsed="false">
      <c r="A65" s="101" t="s">
        <v>66</v>
      </c>
      <c r="B65" s="191"/>
      <c r="C65" s="223" t="n">
        <f aca="false">SUM(C53:C64)+C52+C45+C31+C23</f>
        <v>47264</v>
      </c>
      <c r="D65" s="193" t="n">
        <f aca="false">SUM(D53:D64)+D52+D45+D31+D23</f>
        <v>42403</v>
      </c>
      <c r="E65" s="193" t="n">
        <f aca="false">SUM(E53:E64)+E52+E45+E31+E23</f>
        <v>-4861</v>
      </c>
      <c r="F65" s="373"/>
      <c r="G65" s="373"/>
      <c r="H65" s="373"/>
      <c r="I65" s="373"/>
      <c r="J65" s="373"/>
      <c r="K65" s="373"/>
      <c r="L65" s="98"/>
      <c r="M65" s="98"/>
      <c r="N65" s="225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98"/>
      <c r="BD65" s="98"/>
      <c r="BE65" s="98"/>
      <c r="BF65" s="98"/>
      <c r="BG65" s="98"/>
      <c r="BH65" s="98"/>
      <c r="BI65" s="98"/>
      <c r="BJ65" s="98"/>
      <c r="BK65" s="98"/>
      <c r="BL65" s="98"/>
      <c r="BM65" s="98"/>
      <c r="BN65" s="98"/>
      <c r="BO65" s="98"/>
      <c r="BP65" s="98"/>
      <c r="BQ65" s="98"/>
      <c r="BR65" s="98"/>
      <c r="BS65" s="98"/>
      <c r="BT65" s="98"/>
      <c r="BU65" s="98"/>
      <c r="BV65" s="98"/>
      <c r="BW65" s="98"/>
      <c r="BX65" s="98"/>
      <c r="BY65" s="98"/>
      <c r="BZ65" s="98"/>
      <c r="CA65" s="98"/>
      <c r="CB65" s="98"/>
      <c r="CC65" s="98"/>
      <c r="CD65" s="98"/>
      <c r="CE65" s="98"/>
      <c r="CF65" s="98"/>
      <c r="CG65" s="98"/>
      <c r="CH65" s="98"/>
      <c r="CI65" s="98"/>
      <c r="CJ65" s="98"/>
      <c r="CK65" s="98"/>
      <c r="CL65" s="98"/>
      <c r="CM65" s="98"/>
      <c r="CN65" s="98"/>
      <c r="CO65" s="98"/>
      <c r="CP65" s="98"/>
      <c r="CQ65" s="98"/>
      <c r="CR65" s="98"/>
      <c r="CS65" s="98"/>
      <c r="CT65" s="98"/>
      <c r="CU65" s="98"/>
      <c r="CV65" s="98"/>
      <c r="CW65" s="98"/>
      <c r="CX65" s="98"/>
      <c r="CY65" s="98"/>
      <c r="CZ65" s="98"/>
      <c r="DA65" s="98"/>
      <c r="DB65" s="98"/>
      <c r="DC65" s="98"/>
      <c r="DD65" s="98"/>
      <c r="DE65" s="98"/>
      <c r="DF65" s="98"/>
      <c r="DG65" s="98"/>
      <c r="DH65" s="98"/>
      <c r="DI65" s="98"/>
      <c r="DJ65" s="98"/>
      <c r="DK65" s="98"/>
      <c r="DL65" s="98"/>
      <c r="DM65" s="98"/>
      <c r="DN65" s="98"/>
      <c r="DO65" s="98"/>
      <c r="DP65" s="98"/>
      <c r="DQ65" s="98"/>
      <c r="DR65" s="98"/>
      <c r="DS65" s="98"/>
      <c r="DT65" s="98"/>
      <c r="DU65" s="98"/>
      <c r="DV65" s="98"/>
      <c r="DW65" s="98"/>
      <c r="DX65" s="98"/>
      <c r="DY65" s="98"/>
      <c r="DZ65" s="98"/>
      <c r="EA65" s="98"/>
      <c r="EB65" s="98"/>
      <c r="EC65" s="98"/>
      <c r="ED65" s="98"/>
      <c r="EE65" s="98"/>
      <c r="EF65" s="98"/>
      <c r="EG65" s="98"/>
      <c r="EH65" s="98"/>
      <c r="EI65" s="98"/>
      <c r="EJ65" s="98"/>
      <c r="EK65" s="98"/>
      <c r="EL65" s="98"/>
      <c r="EM65" s="98"/>
      <c r="EN65" s="98"/>
      <c r="EO65" s="98"/>
      <c r="EP65" s="98"/>
      <c r="EQ65" s="98"/>
      <c r="ER65" s="98"/>
      <c r="ES65" s="98"/>
      <c r="ET65" s="98"/>
      <c r="EU65" s="98"/>
      <c r="EV65" s="98"/>
      <c r="EW65" s="98"/>
      <c r="EX65" s="98"/>
      <c r="EY65" s="98"/>
      <c r="EZ65" s="98"/>
      <c r="FA65" s="98"/>
      <c r="FB65" s="98"/>
      <c r="FC65" s="98"/>
      <c r="FD65" s="98"/>
      <c r="FE65" s="98"/>
      <c r="FF65" s="98"/>
      <c r="FG65" s="98"/>
      <c r="FH65" s="98"/>
      <c r="FI65" s="98"/>
      <c r="FJ65" s="98"/>
      <c r="FK65" s="98"/>
      <c r="FL65" s="98"/>
      <c r="FM65" s="98"/>
      <c r="FN65" s="98"/>
      <c r="FO65" s="98"/>
      <c r="FP65" s="98"/>
      <c r="FQ65" s="98"/>
      <c r="FR65" s="98"/>
      <c r="FS65" s="98"/>
      <c r="FT65" s="98"/>
      <c r="FU65" s="98"/>
      <c r="FV65" s="98"/>
      <c r="FW65" s="98"/>
      <c r="FX65" s="98"/>
      <c r="FY65" s="98"/>
      <c r="FZ65" s="98"/>
      <c r="GA65" s="98"/>
      <c r="GB65" s="98"/>
      <c r="GC65" s="98"/>
      <c r="GD65" s="98"/>
      <c r="GE65" s="98"/>
      <c r="GF65" s="98"/>
      <c r="GG65" s="98"/>
      <c r="GH65" s="98"/>
      <c r="GI65" s="98"/>
      <c r="GJ65" s="98"/>
      <c r="GK65" s="98"/>
      <c r="GL65" s="98"/>
      <c r="GM65" s="98"/>
      <c r="GN65" s="98"/>
      <c r="GO65" s="98"/>
      <c r="GP65" s="98"/>
      <c r="GQ65" s="98"/>
      <c r="GR65" s="98"/>
      <c r="GS65" s="98"/>
      <c r="GT65" s="98"/>
      <c r="GU65" s="98"/>
      <c r="GV65" s="98"/>
      <c r="GW65" s="98"/>
      <c r="GX65" s="98"/>
      <c r="GY65" s="98"/>
      <c r="GZ65" s="98"/>
      <c r="HA65" s="98"/>
      <c r="HB65" s="98"/>
      <c r="HC65" s="98"/>
      <c r="HD65" s="98"/>
      <c r="HE65" s="98"/>
      <c r="HF65" s="98"/>
      <c r="HG65" s="98"/>
      <c r="HH65" s="98"/>
      <c r="HI65" s="98"/>
      <c r="HJ65" s="98"/>
      <c r="HK65" s="98"/>
      <c r="HL65" s="98"/>
      <c r="HM65" s="98"/>
      <c r="HN65" s="98"/>
      <c r="HO65" s="98"/>
      <c r="HP65" s="98"/>
      <c r="HQ65" s="98"/>
      <c r="HR65" s="98"/>
      <c r="HS65" s="98"/>
      <c r="HT65" s="98"/>
      <c r="HU65" s="98"/>
      <c r="HV65" s="98"/>
      <c r="HW65" s="98"/>
      <c r="HX65" s="98"/>
      <c r="HY65" s="98"/>
      <c r="HZ65" s="98"/>
      <c r="IA65" s="98"/>
      <c r="IB65" s="98"/>
      <c r="IC65" s="98"/>
      <c r="ID65" s="98"/>
      <c r="IE65" s="98"/>
      <c r="IF65" s="98"/>
      <c r="IG65" s="98"/>
      <c r="IH65" s="98"/>
      <c r="II65" s="98"/>
      <c r="IJ65" s="98"/>
      <c r="IK65" s="98"/>
      <c r="IL65" s="98"/>
      <c r="IM65" s="98"/>
      <c r="IN65" s="98"/>
      <c r="IO65" s="98"/>
      <c r="IP65" s="98"/>
      <c r="IQ65" s="98"/>
      <c r="IR65" s="98"/>
      <c r="IS65" s="98"/>
      <c r="IT65" s="98"/>
      <c r="IU65" s="98"/>
      <c r="IV65" s="98"/>
      <c r="IW65" s="98"/>
    </row>
    <row r="66" customFormat="false" ht="5.25" hidden="false" customHeight="true" outlineLevel="0" collapsed="false">
      <c r="A66" s="97"/>
      <c r="B66" s="33"/>
      <c r="C66" s="74"/>
      <c r="D66" s="114"/>
      <c r="E66" s="311"/>
      <c r="F66" s="352"/>
      <c r="G66" s="352"/>
      <c r="H66" s="352"/>
      <c r="I66" s="352"/>
      <c r="J66" s="352"/>
      <c r="K66" s="352"/>
    </row>
    <row r="67" customFormat="false" ht="12.75" hidden="true" customHeight="true" outlineLevel="0" collapsed="false">
      <c r="A67" s="97" t="s">
        <v>67</v>
      </c>
      <c r="B67" s="33"/>
      <c r="C67" s="204" t="n">
        <f aca="false">D67</f>
        <v>0</v>
      </c>
      <c r="D67" s="302" t="n">
        <v>0</v>
      </c>
      <c r="E67" s="226" t="n">
        <f aca="false">D67-C67</f>
        <v>0</v>
      </c>
      <c r="F67" s="352"/>
      <c r="G67" s="352"/>
      <c r="H67" s="352"/>
      <c r="I67" s="352"/>
      <c r="J67" s="352"/>
      <c r="K67" s="352"/>
    </row>
    <row r="68" customFormat="false" ht="12.75" hidden="true" customHeight="true" outlineLevel="0" collapsed="false">
      <c r="A68" s="97" t="s">
        <v>68</v>
      </c>
      <c r="B68" s="33"/>
      <c r="C68" s="204" t="n">
        <f aca="false">D68</f>
        <v>0</v>
      </c>
      <c r="D68" s="302" t="n">
        <v>0</v>
      </c>
      <c r="E68" s="226" t="n">
        <f aca="false">D68-C68</f>
        <v>0</v>
      </c>
      <c r="F68" s="352"/>
      <c r="G68" s="352"/>
      <c r="H68" s="352"/>
      <c r="I68" s="352"/>
      <c r="J68" s="352"/>
      <c r="K68" s="352"/>
    </row>
    <row r="69" customFormat="false" ht="12.75" hidden="true" customHeight="true" outlineLevel="0" collapsed="false">
      <c r="A69" s="97" t="s">
        <v>69</v>
      </c>
      <c r="B69" s="33"/>
      <c r="C69" s="204" t="n">
        <f aca="false">D69</f>
        <v>0</v>
      </c>
      <c r="D69" s="302" t="n">
        <v>0</v>
      </c>
      <c r="E69" s="226" t="n">
        <f aca="false">D69-C69</f>
        <v>0</v>
      </c>
      <c r="F69" s="352"/>
      <c r="G69" s="352"/>
      <c r="H69" s="352"/>
      <c r="I69" s="352"/>
      <c r="J69" s="352"/>
      <c r="K69" s="352"/>
    </row>
    <row r="70" customFormat="false" ht="12.75" hidden="true" customHeight="true" outlineLevel="0" collapsed="false">
      <c r="A70" s="97" t="s">
        <v>70</v>
      </c>
      <c r="B70" s="33"/>
      <c r="C70" s="204" t="n">
        <f aca="false">D70</f>
        <v>0</v>
      </c>
      <c r="D70" s="302" t="n">
        <v>0</v>
      </c>
      <c r="E70" s="226" t="n">
        <f aca="false">D70-C70</f>
        <v>0</v>
      </c>
      <c r="F70" s="352"/>
      <c r="G70" s="352"/>
      <c r="H70" s="352"/>
      <c r="I70" s="352"/>
      <c r="J70" s="352"/>
      <c r="K70" s="352"/>
    </row>
    <row r="71" customFormat="false" ht="12.75" hidden="true" customHeight="true" outlineLevel="0" collapsed="false">
      <c r="A71" s="97" t="s">
        <v>71</v>
      </c>
      <c r="B71" s="33"/>
      <c r="C71" s="204" t="n">
        <f aca="false">D71</f>
        <v>0</v>
      </c>
      <c r="D71" s="302" t="n">
        <v>0</v>
      </c>
      <c r="E71" s="226" t="n">
        <f aca="false">D71-C71</f>
        <v>0</v>
      </c>
      <c r="F71" s="352"/>
      <c r="G71" s="352"/>
      <c r="H71" s="352"/>
      <c r="I71" s="352"/>
      <c r="J71" s="352"/>
      <c r="K71" s="352"/>
    </row>
    <row r="72" customFormat="false" ht="12.75" hidden="true" customHeight="true" outlineLevel="0" collapsed="false">
      <c r="A72" s="97" t="s">
        <v>72</v>
      </c>
      <c r="B72" s="33"/>
      <c r="C72" s="204" t="n">
        <f aca="false">D72</f>
        <v>0</v>
      </c>
      <c r="D72" s="302" t="n">
        <v>0</v>
      </c>
      <c r="E72" s="226" t="n">
        <f aca="false">D72-C72</f>
        <v>0</v>
      </c>
      <c r="F72" s="352"/>
      <c r="G72" s="352"/>
      <c r="H72" s="352"/>
      <c r="I72" s="352"/>
      <c r="J72" s="352"/>
      <c r="K72" s="352"/>
    </row>
    <row r="73" customFormat="false" ht="12.75" hidden="true" customHeight="true" outlineLevel="0" collapsed="false">
      <c r="A73" s="97" t="s">
        <v>73</v>
      </c>
      <c r="B73" s="33"/>
      <c r="C73" s="204" t="n">
        <f aca="false">D73</f>
        <v>0</v>
      </c>
      <c r="D73" s="302" t="n">
        <v>0</v>
      </c>
      <c r="E73" s="226" t="n">
        <f aca="false">D73-C73</f>
        <v>0</v>
      </c>
      <c r="F73" s="352"/>
      <c r="G73" s="352"/>
      <c r="H73" s="352"/>
      <c r="I73" s="352"/>
      <c r="J73" s="352"/>
      <c r="K73" s="352"/>
    </row>
    <row r="74" customFormat="false" ht="12.75" hidden="true" customHeight="true" outlineLevel="0" collapsed="false">
      <c r="A74" s="97" t="s">
        <v>74</v>
      </c>
      <c r="B74" s="33"/>
      <c r="C74" s="204" t="n">
        <f aca="false">D74</f>
        <v>0</v>
      </c>
      <c r="D74" s="302" t="n">
        <v>0</v>
      </c>
      <c r="E74" s="226" t="n">
        <f aca="false">D74-C74</f>
        <v>0</v>
      </c>
      <c r="F74" s="352"/>
      <c r="G74" s="352"/>
      <c r="H74" s="352"/>
      <c r="I74" s="352"/>
      <c r="J74" s="352"/>
      <c r="K74" s="352"/>
    </row>
    <row r="75" customFormat="false" ht="12.75" hidden="true" customHeight="true" outlineLevel="0" collapsed="false">
      <c r="A75" s="97" t="s">
        <v>75</v>
      </c>
      <c r="B75" s="33"/>
      <c r="C75" s="204" t="n">
        <f aca="false">D75</f>
        <v>0</v>
      </c>
      <c r="D75" s="302" t="n">
        <v>0</v>
      </c>
      <c r="E75" s="226" t="n">
        <f aca="false">D75-C75</f>
        <v>0</v>
      </c>
      <c r="F75" s="352"/>
      <c r="G75" s="352"/>
      <c r="H75" s="352"/>
      <c r="I75" s="352"/>
      <c r="J75" s="352"/>
      <c r="K75" s="352"/>
    </row>
    <row r="76" customFormat="false" ht="12.75" hidden="true" customHeight="true" outlineLevel="0" collapsed="false">
      <c r="A76" s="97" t="s">
        <v>76</v>
      </c>
      <c r="B76" s="33"/>
      <c r="C76" s="204" t="n">
        <f aca="false">D76</f>
        <v>0</v>
      </c>
      <c r="D76" s="302" t="n">
        <v>0</v>
      </c>
      <c r="E76" s="226" t="n">
        <f aca="false">D76-C76</f>
        <v>0</v>
      </c>
      <c r="F76" s="352"/>
      <c r="G76" s="352"/>
      <c r="H76" s="352"/>
      <c r="I76" s="352"/>
      <c r="J76" s="352"/>
      <c r="K76" s="352"/>
    </row>
    <row r="77" customFormat="false" ht="12.75" hidden="true" customHeight="true" outlineLevel="0" collapsed="false">
      <c r="A77" s="97" t="s">
        <v>77</v>
      </c>
      <c r="B77" s="33"/>
      <c r="C77" s="204" t="n">
        <f aca="false">D77</f>
        <v>0</v>
      </c>
      <c r="D77" s="302" t="n">
        <v>0</v>
      </c>
      <c r="E77" s="226" t="n">
        <f aca="false">D77-C77</f>
        <v>0</v>
      </c>
      <c r="F77" s="352"/>
      <c r="G77" s="352"/>
      <c r="H77" s="352"/>
      <c r="I77" s="352"/>
      <c r="J77" s="352"/>
      <c r="K77" s="352"/>
    </row>
    <row r="78" customFormat="false" ht="12.75" hidden="true" customHeight="true" outlineLevel="0" collapsed="false">
      <c r="A78" s="97" t="s">
        <v>78</v>
      </c>
      <c r="B78" s="33"/>
      <c r="C78" s="204" t="n">
        <f aca="false">D78</f>
        <v>0</v>
      </c>
      <c r="D78" s="302" t="n">
        <v>0</v>
      </c>
      <c r="E78" s="226" t="n">
        <f aca="false">D78-C78</f>
        <v>0</v>
      </c>
      <c r="F78" s="352"/>
      <c r="G78" s="352"/>
      <c r="H78" s="352"/>
      <c r="I78" s="352"/>
      <c r="J78" s="352"/>
      <c r="K78" s="352"/>
    </row>
    <row r="79" customFormat="false" ht="12.75" hidden="true" customHeight="true" outlineLevel="0" collapsed="false">
      <c r="A79" s="97" t="s">
        <v>79</v>
      </c>
      <c r="B79" s="33"/>
      <c r="C79" s="204" t="n">
        <f aca="false">D79</f>
        <v>0</v>
      </c>
      <c r="D79" s="302" t="n">
        <v>0</v>
      </c>
      <c r="E79" s="226" t="n">
        <f aca="false">D79-C79</f>
        <v>0</v>
      </c>
      <c r="F79" s="352"/>
      <c r="G79" s="352"/>
      <c r="H79" s="352"/>
      <c r="I79" s="352"/>
      <c r="J79" s="352"/>
      <c r="K79" s="352"/>
    </row>
    <row r="80" customFormat="false" ht="12.75" hidden="true" customHeight="true" outlineLevel="0" collapsed="false">
      <c r="A80" s="97" t="s">
        <v>80</v>
      </c>
      <c r="B80" s="33"/>
      <c r="C80" s="204" t="n">
        <v>0</v>
      </c>
      <c r="D80" s="302" t="n">
        <v>0</v>
      </c>
      <c r="E80" s="226" t="n">
        <f aca="false">D80-C80</f>
        <v>0</v>
      </c>
      <c r="F80" s="352"/>
      <c r="G80" s="352"/>
      <c r="H80" s="352"/>
      <c r="I80" s="352"/>
      <c r="J80" s="352"/>
      <c r="K80" s="352"/>
    </row>
    <row r="81" customFormat="false" ht="12.75" hidden="false" customHeight="true" outlineLevel="0" collapsed="false">
      <c r="A81" s="101" t="s">
        <v>81</v>
      </c>
      <c r="B81" s="191"/>
      <c r="C81" s="223" t="n">
        <f aca="false">SUM(C67:C80)</f>
        <v>0</v>
      </c>
      <c r="D81" s="193" t="n">
        <f aca="false">SUM(D67:D80)</f>
        <v>0</v>
      </c>
      <c r="E81" s="193" t="n">
        <f aca="false">SUM(E67:E80)</f>
        <v>0</v>
      </c>
      <c r="F81" s="373"/>
      <c r="G81" s="373"/>
      <c r="H81" s="373"/>
      <c r="I81" s="373"/>
      <c r="J81" s="373"/>
      <c r="K81" s="373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98"/>
      <c r="AG81" s="98"/>
      <c r="AH81" s="98"/>
      <c r="AI81" s="98"/>
      <c r="AJ81" s="98"/>
      <c r="AK81" s="98"/>
      <c r="AL81" s="98"/>
      <c r="AM81" s="98"/>
      <c r="AN81" s="98"/>
      <c r="AO81" s="98"/>
      <c r="AP81" s="98"/>
      <c r="AQ81" s="98"/>
      <c r="AR81" s="98"/>
      <c r="AS81" s="98"/>
      <c r="AT81" s="98"/>
      <c r="AU81" s="98"/>
      <c r="AV81" s="98"/>
      <c r="AW81" s="98"/>
      <c r="AX81" s="98"/>
      <c r="AY81" s="98"/>
      <c r="AZ81" s="98"/>
      <c r="BA81" s="98"/>
      <c r="BB81" s="98"/>
      <c r="BC81" s="98"/>
      <c r="BD81" s="98"/>
      <c r="BE81" s="98"/>
      <c r="BF81" s="98"/>
      <c r="BG81" s="98"/>
      <c r="BH81" s="98"/>
      <c r="BI81" s="98"/>
      <c r="BJ81" s="98"/>
      <c r="BK81" s="98"/>
      <c r="BL81" s="98"/>
      <c r="BM81" s="98"/>
      <c r="BN81" s="98"/>
      <c r="BO81" s="98"/>
      <c r="BP81" s="98"/>
      <c r="BQ81" s="98"/>
      <c r="BR81" s="98"/>
      <c r="BS81" s="98"/>
      <c r="BT81" s="98"/>
      <c r="BU81" s="98"/>
      <c r="BV81" s="98"/>
      <c r="BW81" s="98"/>
      <c r="BX81" s="98"/>
      <c r="BY81" s="98"/>
      <c r="BZ81" s="98"/>
      <c r="CA81" s="98"/>
      <c r="CB81" s="98"/>
      <c r="CC81" s="98"/>
      <c r="CD81" s="98"/>
      <c r="CE81" s="98"/>
      <c r="CF81" s="98"/>
      <c r="CG81" s="98"/>
      <c r="CH81" s="98"/>
      <c r="CI81" s="98"/>
      <c r="CJ81" s="98"/>
      <c r="CK81" s="98"/>
      <c r="CL81" s="98"/>
      <c r="CM81" s="98"/>
      <c r="CN81" s="98"/>
      <c r="CO81" s="98"/>
      <c r="CP81" s="98"/>
      <c r="CQ81" s="98"/>
      <c r="CR81" s="98"/>
      <c r="CS81" s="98"/>
      <c r="CT81" s="98"/>
      <c r="CU81" s="98"/>
      <c r="CV81" s="98"/>
      <c r="CW81" s="98"/>
      <c r="CX81" s="98"/>
      <c r="CY81" s="98"/>
      <c r="CZ81" s="98"/>
      <c r="DA81" s="98"/>
      <c r="DB81" s="98"/>
      <c r="DC81" s="98"/>
      <c r="DD81" s="98"/>
      <c r="DE81" s="98"/>
      <c r="DF81" s="98"/>
      <c r="DG81" s="98"/>
      <c r="DH81" s="98"/>
      <c r="DI81" s="98"/>
      <c r="DJ81" s="98"/>
      <c r="DK81" s="98"/>
      <c r="DL81" s="98"/>
      <c r="DM81" s="98"/>
      <c r="DN81" s="98"/>
      <c r="DO81" s="98"/>
      <c r="DP81" s="98"/>
      <c r="DQ81" s="98"/>
      <c r="DR81" s="98"/>
      <c r="DS81" s="98"/>
      <c r="DT81" s="98"/>
      <c r="DU81" s="98"/>
      <c r="DV81" s="98"/>
      <c r="DW81" s="98"/>
      <c r="DX81" s="98"/>
      <c r="DY81" s="98"/>
      <c r="DZ81" s="98"/>
      <c r="EA81" s="98"/>
      <c r="EB81" s="98"/>
      <c r="EC81" s="98"/>
      <c r="ED81" s="98"/>
      <c r="EE81" s="98"/>
      <c r="EF81" s="98"/>
      <c r="EG81" s="98"/>
      <c r="EH81" s="98"/>
      <c r="EI81" s="98"/>
      <c r="EJ81" s="98"/>
      <c r="EK81" s="98"/>
      <c r="EL81" s="98"/>
      <c r="EM81" s="98"/>
      <c r="EN81" s="98"/>
      <c r="EO81" s="98"/>
      <c r="EP81" s="98"/>
      <c r="EQ81" s="98"/>
      <c r="ER81" s="98"/>
      <c r="ES81" s="98"/>
      <c r="ET81" s="98"/>
      <c r="EU81" s="98"/>
      <c r="EV81" s="98"/>
      <c r="EW81" s="98"/>
      <c r="EX81" s="98"/>
      <c r="EY81" s="98"/>
      <c r="EZ81" s="98"/>
      <c r="FA81" s="98"/>
      <c r="FB81" s="98"/>
      <c r="FC81" s="98"/>
      <c r="FD81" s="98"/>
      <c r="FE81" s="98"/>
      <c r="FF81" s="98"/>
      <c r="FG81" s="98"/>
      <c r="FH81" s="98"/>
      <c r="FI81" s="98"/>
      <c r="FJ81" s="98"/>
      <c r="FK81" s="98"/>
      <c r="FL81" s="98"/>
      <c r="FM81" s="98"/>
      <c r="FN81" s="98"/>
      <c r="FO81" s="98"/>
      <c r="FP81" s="98"/>
      <c r="FQ81" s="98"/>
      <c r="FR81" s="98"/>
      <c r="FS81" s="98"/>
      <c r="FT81" s="98"/>
      <c r="FU81" s="98"/>
      <c r="FV81" s="98"/>
      <c r="FW81" s="98"/>
      <c r="FX81" s="98"/>
      <c r="FY81" s="98"/>
      <c r="FZ81" s="98"/>
      <c r="GA81" s="98"/>
      <c r="GB81" s="98"/>
      <c r="GC81" s="98"/>
      <c r="GD81" s="98"/>
      <c r="GE81" s="98"/>
      <c r="GF81" s="98"/>
      <c r="GG81" s="98"/>
      <c r="GH81" s="98"/>
      <c r="GI81" s="98"/>
      <c r="GJ81" s="98"/>
      <c r="GK81" s="98"/>
      <c r="GL81" s="98"/>
      <c r="GM81" s="98"/>
      <c r="GN81" s="98"/>
      <c r="GO81" s="98"/>
      <c r="GP81" s="98"/>
      <c r="GQ81" s="98"/>
      <c r="GR81" s="98"/>
      <c r="GS81" s="98"/>
      <c r="GT81" s="98"/>
      <c r="GU81" s="98"/>
      <c r="GV81" s="98"/>
      <c r="GW81" s="98"/>
      <c r="GX81" s="98"/>
      <c r="GY81" s="98"/>
      <c r="GZ81" s="98"/>
      <c r="HA81" s="98"/>
      <c r="HB81" s="98"/>
      <c r="HC81" s="98"/>
      <c r="HD81" s="98"/>
      <c r="HE81" s="98"/>
      <c r="HF81" s="98"/>
      <c r="HG81" s="98"/>
      <c r="HH81" s="98"/>
      <c r="HI81" s="98"/>
      <c r="HJ81" s="98"/>
      <c r="HK81" s="98"/>
      <c r="HL81" s="98"/>
      <c r="HM81" s="98"/>
      <c r="HN81" s="98"/>
      <c r="HO81" s="98"/>
      <c r="HP81" s="98"/>
      <c r="HQ81" s="98"/>
      <c r="HR81" s="98"/>
      <c r="HS81" s="98"/>
      <c r="HT81" s="98"/>
      <c r="HU81" s="98"/>
      <c r="HV81" s="98"/>
      <c r="HW81" s="98"/>
      <c r="HX81" s="98"/>
      <c r="HY81" s="98"/>
      <c r="HZ81" s="98"/>
      <c r="IA81" s="98"/>
      <c r="IB81" s="98"/>
      <c r="IC81" s="98"/>
      <c r="ID81" s="98"/>
      <c r="IE81" s="98"/>
      <c r="IF81" s="98"/>
      <c r="IG81" s="98"/>
      <c r="IH81" s="98"/>
      <c r="II81" s="98"/>
      <c r="IJ81" s="98"/>
      <c r="IK81" s="98"/>
      <c r="IL81" s="98"/>
      <c r="IM81" s="98"/>
      <c r="IN81" s="98"/>
      <c r="IO81" s="98"/>
      <c r="IP81" s="98"/>
      <c r="IQ81" s="98"/>
      <c r="IR81" s="98"/>
      <c r="IS81" s="98"/>
      <c r="IT81" s="98"/>
      <c r="IU81" s="98"/>
      <c r="IV81" s="98"/>
      <c r="IW81" s="98"/>
    </row>
    <row r="82" customFormat="false" ht="12.75" hidden="false" customHeight="true" outlineLevel="0" collapsed="false">
      <c r="A82" s="99" t="str">
        <f aca="false">'QTD Mgmt Summary'!A82</f>
        <v>Prepay Expenses</v>
      </c>
      <c r="B82" s="33"/>
      <c r="C82" s="78" t="n">
        <v>0</v>
      </c>
      <c r="D82" s="226" t="n">
        <v>0</v>
      </c>
      <c r="E82" s="114" t="n">
        <f aca="false">-D82+C82</f>
        <v>0</v>
      </c>
      <c r="F82" s="352"/>
      <c r="G82" s="352"/>
      <c r="H82" s="352"/>
      <c r="I82" s="352"/>
      <c r="J82" s="352"/>
      <c r="K82" s="352"/>
      <c r="L82" s="100"/>
      <c r="M82" s="100"/>
      <c r="N82" s="100"/>
      <c r="O82" s="100"/>
      <c r="P82" s="100"/>
      <c r="Q82" s="100"/>
      <c r="R82" s="100"/>
      <c r="S82" s="100"/>
      <c r="T82" s="100"/>
      <c r="U82" s="100"/>
      <c r="V82" s="100"/>
      <c r="W82" s="100"/>
      <c r="X82" s="100"/>
      <c r="Y82" s="100"/>
      <c r="Z82" s="100"/>
      <c r="AA82" s="100"/>
      <c r="AB82" s="100"/>
      <c r="AC82" s="100"/>
      <c r="AD82" s="100"/>
      <c r="AE82" s="100"/>
      <c r="AF82" s="100"/>
      <c r="AG82" s="100"/>
      <c r="AH82" s="100"/>
      <c r="AI82" s="100"/>
      <c r="AJ82" s="100"/>
      <c r="AK82" s="100"/>
      <c r="AL82" s="100"/>
      <c r="AM82" s="100"/>
      <c r="AN82" s="100"/>
      <c r="AO82" s="100"/>
      <c r="AP82" s="100"/>
      <c r="AQ82" s="100"/>
      <c r="AR82" s="100"/>
      <c r="AS82" s="100"/>
      <c r="AT82" s="100"/>
      <c r="AU82" s="100"/>
      <c r="AV82" s="100"/>
      <c r="AW82" s="100"/>
      <c r="AX82" s="100"/>
      <c r="AY82" s="100"/>
      <c r="AZ82" s="100"/>
      <c r="BA82" s="100"/>
      <c r="BB82" s="100"/>
      <c r="BC82" s="100"/>
      <c r="BD82" s="100"/>
      <c r="BE82" s="100"/>
      <c r="BF82" s="100"/>
      <c r="BG82" s="100"/>
      <c r="BH82" s="100"/>
      <c r="BI82" s="100"/>
      <c r="BJ82" s="100"/>
      <c r="BK82" s="100"/>
      <c r="BL82" s="100"/>
      <c r="BM82" s="100"/>
      <c r="BN82" s="100"/>
      <c r="BO82" s="100"/>
      <c r="BP82" s="100"/>
      <c r="BQ82" s="100"/>
      <c r="BR82" s="100"/>
      <c r="BS82" s="100"/>
      <c r="BT82" s="100"/>
      <c r="BU82" s="100"/>
      <c r="BV82" s="100"/>
      <c r="BW82" s="100"/>
      <c r="BX82" s="100"/>
      <c r="BY82" s="100"/>
      <c r="BZ82" s="100"/>
      <c r="CA82" s="100"/>
      <c r="CB82" s="100"/>
      <c r="CC82" s="100"/>
      <c r="CD82" s="100"/>
      <c r="CE82" s="100"/>
      <c r="CF82" s="100"/>
      <c r="CG82" s="100"/>
      <c r="CH82" s="100"/>
      <c r="CI82" s="100"/>
      <c r="CJ82" s="100"/>
      <c r="CK82" s="100"/>
      <c r="CL82" s="100"/>
      <c r="CM82" s="100"/>
      <c r="CN82" s="100"/>
      <c r="CO82" s="100"/>
      <c r="CP82" s="100"/>
      <c r="CQ82" s="100"/>
      <c r="CR82" s="100"/>
      <c r="CS82" s="100"/>
      <c r="CT82" s="100"/>
      <c r="CU82" s="100"/>
      <c r="CV82" s="100"/>
      <c r="CW82" s="100"/>
      <c r="CX82" s="100"/>
      <c r="CY82" s="100"/>
      <c r="CZ82" s="100"/>
      <c r="DA82" s="100"/>
      <c r="DB82" s="100"/>
      <c r="DC82" s="100"/>
      <c r="DD82" s="100"/>
      <c r="DE82" s="100"/>
      <c r="DF82" s="100"/>
      <c r="DG82" s="100"/>
      <c r="DH82" s="100"/>
      <c r="DI82" s="100"/>
      <c r="DJ82" s="100"/>
      <c r="DK82" s="100"/>
      <c r="DL82" s="100"/>
      <c r="DM82" s="100"/>
      <c r="DN82" s="100"/>
      <c r="DO82" s="100"/>
      <c r="DP82" s="100"/>
      <c r="DQ82" s="100"/>
      <c r="DR82" s="100"/>
      <c r="DS82" s="100"/>
      <c r="DT82" s="100"/>
      <c r="DU82" s="100"/>
      <c r="DV82" s="100"/>
      <c r="DW82" s="100"/>
      <c r="DX82" s="100"/>
      <c r="DY82" s="100"/>
      <c r="DZ82" s="100"/>
      <c r="EA82" s="100"/>
      <c r="EB82" s="100"/>
      <c r="EC82" s="100"/>
      <c r="ED82" s="100"/>
      <c r="EE82" s="100"/>
      <c r="EF82" s="100"/>
      <c r="EG82" s="100"/>
      <c r="EH82" s="100"/>
      <c r="EI82" s="100"/>
      <c r="EJ82" s="100"/>
      <c r="EK82" s="100"/>
      <c r="EL82" s="100"/>
      <c r="EM82" s="100"/>
      <c r="EN82" s="100"/>
      <c r="EO82" s="100"/>
      <c r="EP82" s="100"/>
      <c r="EQ82" s="100"/>
      <c r="ER82" s="100"/>
      <c r="ES82" s="100"/>
      <c r="ET82" s="100"/>
      <c r="EU82" s="100"/>
      <c r="EV82" s="100"/>
      <c r="EW82" s="100"/>
      <c r="EX82" s="100"/>
      <c r="EY82" s="100"/>
      <c r="EZ82" s="100"/>
      <c r="FA82" s="100"/>
      <c r="FB82" s="100"/>
      <c r="FC82" s="100"/>
      <c r="FD82" s="100"/>
      <c r="FE82" s="100"/>
      <c r="FF82" s="100"/>
      <c r="FG82" s="100"/>
      <c r="FH82" s="100"/>
      <c r="FI82" s="100"/>
      <c r="FJ82" s="100"/>
      <c r="FK82" s="100"/>
      <c r="FL82" s="100"/>
      <c r="FM82" s="100"/>
      <c r="FN82" s="100"/>
      <c r="FO82" s="100"/>
      <c r="FP82" s="100"/>
      <c r="FQ82" s="100"/>
      <c r="FR82" s="100"/>
      <c r="FS82" s="100"/>
      <c r="FT82" s="100"/>
      <c r="FU82" s="100"/>
      <c r="FV82" s="100"/>
      <c r="FW82" s="100"/>
      <c r="FX82" s="100"/>
      <c r="FY82" s="100"/>
      <c r="FZ82" s="100"/>
      <c r="GA82" s="100"/>
      <c r="GB82" s="100"/>
      <c r="GC82" s="100"/>
      <c r="GD82" s="100"/>
      <c r="GE82" s="100"/>
      <c r="GF82" s="100"/>
      <c r="GG82" s="100"/>
      <c r="GH82" s="100"/>
      <c r="GI82" s="100"/>
      <c r="GJ82" s="100"/>
      <c r="GK82" s="100"/>
      <c r="GL82" s="100"/>
      <c r="GM82" s="100"/>
      <c r="GN82" s="100"/>
      <c r="GO82" s="100"/>
      <c r="GP82" s="100"/>
      <c r="GQ82" s="100"/>
      <c r="GR82" s="100"/>
      <c r="GS82" s="100"/>
      <c r="GT82" s="100"/>
      <c r="GU82" s="100"/>
      <c r="GV82" s="100"/>
      <c r="GW82" s="100"/>
      <c r="GX82" s="100"/>
      <c r="GY82" s="100"/>
      <c r="GZ82" s="100"/>
      <c r="HA82" s="100"/>
      <c r="HB82" s="100"/>
      <c r="HC82" s="100"/>
      <c r="HD82" s="100"/>
      <c r="HE82" s="100"/>
      <c r="HF82" s="100"/>
      <c r="HG82" s="100"/>
      <c r="HH82" s="100"/>
      <c r="HI82" s="100"/>
      <c r="HJ82" s="100"/>
      <c r="HK82" s="100"/>
      <c r="HL82" s="100"/>
      <c r="HM82" s="100"/>
      <c r="HN82" s="100"/>
      <c r="HO82" s="100"/>
      <c r="HP82" s="100"/>
      <c r="HQ82" s="100"/>
      <c r="HR82" s="100"/>
      <c r="HS82" s="100"/>
      <c r="HT82" s="100"/>
      <c r="HU82" s="100"/>
      <c r="HV82" s="100"/>
      <c r="HW82" s="100"/>
      <c r="HX82" s="100"/>
      <c r="HY82" s="100"/>
      <c r="HZ82" s="100"/>
      <c r="IA82" s="100"/>
      <c r="IB82" s="100"/>
      <c r="IC82" s="100"/>
      <c r="ID82" s="100"/>
      <c r="IE82" s="100"/>
      <c r="IF82" s="100"/>
      <c r="IG82" s="100"/>
      <c r="IH82" s="100"/>
      <c r="II82" s="100"/>
      <c r="IJ82" s="100"/>
      <c r="IK82" s="100"/>
      <c r="IL82" s="100"/>
      <c r="IM82" s="100"/>
      <c r="IN82" s="100"/>
      <c r="IO82" s="100"/>
      <c r="IP82" s="100"/>
      <c r="IQ82" s="100"/>
      <c r="IR82" s="100"/>
      <c r="IS82" s="100"/>
      <c r="IT82" s="100"/>
      <c r="IU82" s="100"/>
      <c r="IV82" s="100"/>
      <c r="IW82" s="100"/>
    </row>
    <row r="83" customFormat="false" ht="12.75" hidden="false" customHeight="true" outlineLevel="0" collapsed="false">
      <c r="A83" s="99" t="str">
        <f aca="false">'QTD Mgmt Summary'!A83</f>
        <v>U.S. Drift</v>
      </c>
      <c r="B83" s="33"/>
      <c r="C83" s="74" t="n">
        <v>0</v>
      </c>
      <c r="D83" s="226" t="n">
        <v>0</v>
      </c>
      <c r="E83" s="114" t="n">
        <f aca="false">-D83+C83</f>
        <v>0</v>
      </c>
      <c r="F83" s="352"/>
      <c r="G83" s="352"/>
      <c r="H83" s="352"/>
      <c r="I83" s="352"/>
      <c r="J83" s="352"/>
      <c r="K83" s="352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0"/>
      <c r="X83" s="100"/>
      <c r="Y83" s="100"/>
      <c r="Z83" s="100"/>
      <c r="AA83" s="100"/>
      <c r="AB83" s="100"/>
      <c r="AC83" s="100"/>
      <c r="AD83" s="100"/>
      <c r="AE83" s="100"/>
      <c r="AF83" s="100"/>
      <c r="AG83" s="100"/>
      <c r="AH83" s="100"/>
      <c r="AI83" s="100"/>
      <c r="AJ83" s="100"/>
      <c r="AK83" s="100"/>
      <c r="AL83" s="100"/>
      <c r="AM83" s="100"/>
      <c r="AN83" s="100"/>
      <c r="AO83" s="100"/>
      <c r="AP83" s="100"/>
      <c r="AQ83" s="100"/>
      <c r="AR83" s="100"/>
      <c r="AS83" s="100"/>
      <c r="AT83" s="100"/>
      <c r="AU83" s="100"/>
      <c r="AV83" s="100"/>
      <c r="AW83" s="100"/>
      <c r="AX83" s="100"/>
      <c r="AY83" s="100"/>
      <c r="AZ83" s="100"/>
      <c r="BA83" s="100"/>
      <c r="BB83" s="100"/>
      <c r="BC83" s="100"/>
      <c r="BD83" s="100"/>
      <c r="BE83" s="100"/>
      <c r="BF83" s="100"/>
      <c r="BG83" s="100"/>
      <c r="BH83" s="100"/>
      <c r="BI83" s="100"/>
      <c r="BJ83" s="100"/>
      <c r="BK83" s="100"/>
      <c r="BL83" s="100"/>
      <c r="BM83" s="100"/>
      <c r="BN83" s="100"/>
      <c r="BO83" s="100"/>
      <c r="BP83" s="100"/>
      <c r="BQ83" s="100"/>
      <c r="BR83" s="100"/>
      <c r="BS83" s="100"/>
      <c r="BT83" s="100"/>
      <c r="BU83" s="100"/>
      <c r="BV83" s="100"/>
      <c r="BW83" s="100"/>
      <c r="BX83" s="100"/>
      <c r="BY83" s="100"/>
      <c r="BZ83" s="100"/>
      <c r="CA83" s="100"/>
      <c r="CB83" s="100"/>
      <c r="CC83" s="100"/>
      <c r="CD83" s="100"/>
      <c r="CE83" s="100"/>
      <c r="CF83" s="100"/>
      <c r="CG83" s="100"/>
      <c r="CH83" s="100"/>
      <c r="CI83" s="100"/>
      <c r="CJ83" s="100"/>
      <c r="CK83" s="100"/>
      <c r="CL83" s="100"/>
      <c r="CM83" s="100"/>
      <c r="CN83" s="100"/>
      <c r="CO83" s="100"/>
      <c r="CP83" s="100"/>
      <c r="CQ83" s="100"/>
      <c r="CR83" s="100"/>
      <c r="CS83" s="100"/>
      <c r="CT83" s="100"/>
      <c r="CU83" s="100"/>
      <c r="CV83" s="100"/>
      <c r="CW83" s="100"/>
      <c r="CX83" s="100"/>
      <c r="CY83" s="100"/>
      <c r="CZ83" s="100"/>
      <c r="DA83" s="100"/>
      <c r="DB83" s="100"/>
      <c r="DC83" s="100"/>
      <c r="DD83" s="100"/>
      <c r="DE83" s="100"/>
      <c r="DF83" s="100"/>
      <c r="DG83" s="100"/>
      <c r="DH83" s="100"/>
      <c r="DI83" s="100"/>
      <c r="DJ83" s="100"/>
      <c r="DK83" s="100"/>
      <c r="DL83" s="100"/>
      <c r="DM83" s="100"/>
      <c r="DN83" s="100"/>
      <c r="DO83" s="100"/>
      <c r="DP83" s="100"/>
      <c r="DQ83" s="100"/>
      <c r="DR83" s="100"/>
      <c r="DS83" s="100"/>
      <c r="DT83" s="100"/>
      <c r="DU83" s="100"/>
      <c r="DV83" s="100"/>
      <c r="DW83" s="100"/>
      <c r="DX83" s="100"/>
      <c r="DY83" s="100"/>
      <c r="DZ83" s="100"/>
      <c r="EA83" s="100"/>
      <c r="EB83" s="100"/>
      <c r="EC83" s="100"/>
      <c r="ED83" s="100"/>
      <c r="EE83" s="100"/>
      <c r="EF83" s="100"/>
      <c r="EG83" s="100"/>
      <c r="EH83" s="100"/>
      <c r="EI83" s="100"/>
      <c r="EJ83" s="100"/>
      <c r="EK83" s="100"/>
      <c r="EL83" s="100"/>
      <c r="EM83" s="100"/>
      <c r="EN83" s="100"/>
      <c r="EO83" s="100"/>
      <c r="EP83" s="100"/>
      <c r="EQ83" s="100"/>
      <c r="ER83" s="100"/>
      <c r="ES83" s="100"/>
      <c r="ET83" s="100"/>
      <c r="EU83" s="100"/>
      <c r="EV83" s="100"/>
      <c r="EW83" s="100"/>
      <c r="EX83" s="100"/>
      <c r="EY83" s="100"/>
      <c r="EZ83" s="100"/>
      <c r="FA83" s="100"/>
      <c r="FB83" s="100"/>
      <c r="FC83" s="100"/>
      <c r="FD83" s="100"/>
      <c r="FE83" s="100"/>
      <c r="FF83" s="100"/>
      <c r="FG83" s="100"/>
      <c r="FH83" s="100"/>
      <c r="FI83" s="100"/>
      <c r="FJ83" s="100"/>
      <c r="FK83" s="100"/>
      <c r="FL83" s="100"/>
      <c r="FM83" s="100"/>
      <c r="FN83" s="100"/>
      <c r="FO83" s="100"/>
      <c r="FP83" s="100"/>
      <c r="FQ83" s="100"/>
      <c r="FR83" s="100"/>
      <c r="FS83" s="100"/>
      <c r="FT83" s="100"/>
      <c r="FU83" s="100"/>
      <c r="FV83" s="100"/>
      <c r="FW83" s="100"/>
      <c r="FX83" s="100"/>
      <c r="FY83" s="100"/>
      <c r="FZ83" s="100"/>
      <c r="GA83" s="100"/>
      <c r="GB83" s="100"/>
      <c r="GC83" s="100"/>
      <c r="GD83" s="100"/>
      <c r="GE83" s="100"/>
      <c r="GF83" s="100"/>
      <c r="GG83" s="100"/>
      <c r="GH83" s="100"/>
      <c r="GI83" s="100"/>
      <c r="GJ83" s="100"/>
      <c r="GK83" s="100"/>
      <c r="GL83" s="100"/>
      <c r="GM83" s="100"/>
      <c r="GN83" s="100"/>
      <c r="GO83" s="100"/>
      <c r="GP83" s="100"/>
      <c r="GQ83" s="100"/>
      <c r="GR83" s="100"/>
      <c r="GS83" s="100"/>
      <c r="GT83" s="100"/>
      <c r="GU83" s="100"/>
      <c r="GV83" s="100"/>
      <c r="GW83" s="100"/>
      <c r="GX83" s="100"/>
      <c r="GY83" s="100"/>
      <c r="GZ83" s="100"/>
      <c r="HA83" s="100"/>
      <c r="HB83" s="100"/>
      <c r="HC83" s="100"/>
      <c r="HD83" s="100"/>
      <c r="HE83" s="100"/>
      <c r="HF83" s="100"/>
      <c r="HG83" s="100"/>
      <c r="HH83" s="100"/>
      <c r="HI83" s="100"/>
      <c r="HJ83" s="100"/>
      <c r="HK83" s="100"/>
      <c r="HL83" s="100"/>
      <c r="HM83" s="100"/>
      <c r="HN83" s="100"/>
      <c r="HO83" s="100"/>
      <c r="HP83" s="100"/>
      <c r="HQ83" s="100"/>
      <c r="HR83" s="100"/>
      <c r="HS83" s="100"/>
      <c r="HT83" s="100"/>
      <c r="HU83" s="100"/>
      <c r="HV83" s="100"/>
      <c r="HW83" s="100"/>
      <c r="HX83" s="100"/>
      <c r="HY83" s="100"/>
      <c r="HZ83" s="100"/>
      <c r="IA83" s="100"/>
      <c r="IB83" s="100"/>
      <c r="IC83" s="100"/>
      <c r="ID83" s="100"/>
      <c r="IE83" s="100"/>
      <c r="IF83" s="100"/>
      <c r="IG83" s="100"/>
      <c r="IH83" s="100"/>
      <c r="II83" s="100"/>
      <c r="IJ83" s="100"/>
      <c r="IK83" s="100"/>
      <c r="IL83" s="100"/>
      <c r="IM83" s="100"/>
      <c r="IN83" s="100"/>
      <c r="IO83" s="100"/>
      <c r="IP83" s="100"/>
      <c r="IQ83" s="100"/>
      <c r="IR83" s="100"/>
      <c r="IS83" s="100"/>
      <c r="IT83" s="100"/>
      <c r="IU83" s="100"/>
      <c r="IV83" s="100"/>
      <c r="IW83" s="100"/>
    </row>
    <row r="84" customFormat="false" ht="12.75" hidden="false" customHeight="true" outlineLevel="0" collapsed="false">
      <c r="A84" s="99" t="str">
        <f aca="false">'QTD Mgmt Summary'!A84</f>
        <v>Facility Costs</v>
      </c>
      <c r="B84" s="33"/>
      <c r="C84" s="78" t="n">
        <v>0</v>
      </c>
      <c r="D84" s="226" t="n">
        <v>0</v>
      </c>
      <c r="E84" s="114" t="n">
        <f aca="false">-D84+C84</f>
        <v>0</v>
      </c>
      <c r="F84" s="352"/>
      <c r="G84" s="352"/>
      <c r="H84" s="352"/>
      <c r="I84" s="352"/>
      <c r="J84" s="352"/>
      <c r="K84" s="352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  <c r="AS84" s="100"/>
      <c r="AT84" s="100"/>
      <c r="AU84" s="100"/>
      <c r="AV84" s="100"/>
      <c r="AW84" s="100"/>
      <c r="AX84" s="100"/>
      <c r="AY84" s="100"/>
      <c r="AZ84" s="100"/>
      <c r="BA84" s="100"/>
      <c r="BB84" s="100"/>
      <c r="BC84" s="100"/>
      <c r="BD84" s="100"/>
      <c r="BE84" s="100"/>
      <c r="BF84" s="100"/>
      <c r="BG84" s="100"/>
      <c r="BH84" s="100"/>
      <c r="BI84" s="100"/>
      <c r="BJ84" s="100"/>
      <c r="BK84" s="100"/>
      <c r="BL84" s="100"/>
      <c r="BM84" s="100"/>
      <c r="BN84" s="100"/>
      <c r="BO84" s="100"/>
      <c r="BP84" s="100"/>
      <c r="BQ84" s="100"/>
      <c r="BR84" s="100"/>
      <c r="BS84" s="100"/>
      <c r="BT84" s="100"/>
      <c r="BU84" s="100"/>
      <c r="BV84" s="100"/>
      <c r="BW84" s="100"/>
      <c r="BX84" s="100"/>
      <c r="BY84" s="100"/>
      <c r="BZ84" s="100"/>
      <c r="CA84" s="100"/>
      <c r="CB84" s="100"/>
      <c r="CC84" s="100"/>
      <c r="CD84" s="100"/>
      <c r="CE84" s="100"/>
      <c r="CF84" s="100"/>
      <c r="CG84" s="100"/>
      <c r="CH84" s="100"/>
      <c r="CI84" s="100"/>
      <c r="CJ84" s="100"/>
      <c r="CK84" s="100"/>
      <c r="CL84" s="100"/>
      <c r="CM84" s="100"/>
      <c r="CN84" s="100"/>
      <c r="CO84" s="100"/>
      <c r="CP84" s="100"/>
      <c r="CQ84" s="100"/>
      <c r="CR84" s="100"/>
      <c r="CS84" s="100"/>
      <c r="CT84" s="100"/>
      <c r="CU84" s="100"/>
      <c r="CV84" s="100"/>
      <c r="CW84" s="100"/>
      <c r="CX84" s="100"/>
      <c r="CY84" s="100"/>
      <c r="CZ84" s="100"/>
      <c r="DA84" s="100"/>
      <c r="DB84" s="100"/>
      <c r="DC84" s="100"/>
      <c r="DD84" s="100"/>
      <c r="DE84" s="100"/>
      <c r="DF84" s="100"/>
      <c r="DG84" s="100"/>
      <c r="DH84" s="100"/>
      <c r="DI84" s="100"/>
      <c r="DJ84" s="100"/>
      <c r="DK84" s="100"/>
      <c r="DL84" s="100"/>
      <c r="DM84" s="100"/>
      <c r="DN84" s="100"/>
      <c r="DO84" s="100"/>
      <c r="DP84" s="100"/>
      <c r="DQ84" s="100"/>
      <c r="DR84" s="100"/>
      <c r="DS84" s="100"/>
      <c r="DT84" s="100"/>
      <c r="DU84" s="100"/>
      <c r="DV84" s="100"/>
      <c r="DW84" s="100"/>
      <c r="DX84" s="100"/>
      <c r="DY84" s="100"/>
      <c r="DZ84" s="100"/>
      <c r="EA84" s="100"/>
      <c r="EB84" s="100"/>
      <c r="EC84" s="100"/>
      <c r="ED84" s="100"/>
      <c r="EE84" s="100"/>
      <c r="EF84" s="100"/>
      <c r="EG84" s="100"/>
      <c r="EH84" s="100"/>
      <c r="EI84" s="100"/>
      <c r="EJ84" s="100"/>
      <c r="EK84" s="100"/>
      <c r="EL84" s="100"/>
      <c r="EM84" s="100"/>
      <c r="EN84" s="100"/>
      <c r="EO84" s="100"/>
      <c r="EP84" s="100"/>
      <c r="EQ84" s="100"/>
      <c r="ER84" s="100"/>
      <c r="ES84" s="100"/>
      <c r="ET84" s="100"/>
      <c r="EU84" s="100"/>
      <c r="EV84" s="100"/>
      <c r="EW84" s="100"/>
      <c r="EX84" s="100"/>
      <c r="EY84" s="100"/>
      <c r="EZ84" s="100"/>
      <c r="FA84" s="100"/>
      <c r="FB84" s="100"/>
      <c r="FC84" s="100"/>
      <c r="FD84" s="100"/>
      <c r="FE84" s="100"/>
      <c r="FF84" s="100"/>
      <c r="FG84" s="100"/>
      <c r="FH84" s="100"/>
      <c r="FI84" s="100"/>
      <c r="FJ84" s="100"/>
      <c r="FK84" s="100"/>
      <c r="FL84" s="100"/>
      <c r="FM84" s="100"/>
      <c r="FN84" s="100"/>
      <c r="FO84" s="100"/>
      <c r="FP84" s="100"/>
      <c r="FQ84" s="100"/>
      <c r="FR84" s="100"/>
      <c r="FS84" s="100"/>
      <c r="FT84" s="100"/>
      <c r="FU84" s="100"/>
      <c r="FV84" s="100"/>
      <c r="FW84" s="100"/>
      <c r="FX84" s="100"/>
      <c r="FY84" s="100"/>
      <c r="FZ84" s="100"/>
      <c r="GA84" s="100"/>
      <c r="GB84" s="100"/>
      <c r="GC84" s="100"/>
      <c r="GD84" s="100"/>
      <c r="GE84" s="100"/>
      <c r="GF84" s="100"/>
      <c r="GG84" s="100"/>
      <c r="GH84" s="100"/>
      <c r="GI84" s="100"/>
      <c r="GJ84" s="100"/>
      <c r="GK84" s="100"/>
      <c r="GL84" s="100"/>
      <c r="GM84" s="100"/>
      <c r="GN84" s="100"/>
      <c r="GO84" s="100"/>
      <c r="GP84" s="100"/>
      <c r="GQ84" s="100"/>
      <c r="GR84" s="100"/>
      <c r="GS84" s="100"/>
      <c r="GT84" s="100"/>
      <c r="GU84" s="100"/>
      <c r="GV84" s="100"/>
      <c r="GW84" s="100"/>
      <c r="GX84" s="100"/>
      <c r="GY84" s="100"/>
      <c r="GZ84" s="100"/>
      <c r="HA84" s="100"/>
      <c r="HB84" s="100"/>
      <c r="HC84" s="100"/>
      <c r="HD84" s="100"/>
      <c r="HE84" s="100"/>
      <c r="HF84" s="100"/>
      <c r="HG84" s="100"/>
      <c r="HH84" s="100"/>
      <c r="HI84" s="100"/>
      <c r="HJ84" s="100"/>
      <c r="HK84" s="100"/>
      <c r="HL84" s="100"/>
      <c r="HM84" s="100"/>
      <c r="HN84" s="100"/>
      <c r="HO84" s="100"/>
      <c r="HP84" s="100"/>
      <c r="HQ84" s="100"/>
      <c r="HR84" s="100"/>
      <c r="HS84" s="100"/>
      <c r="HT84" s="100"/>
      <c r="HU84" s="100"/>
      <c r="HV84" s="100"/>
      <c r="HW84" s="100"/>
      <c r="HX84" s="100"/>
      <c r="HY84" s="100"/>
      <c r="HZ84" s="100"/>
      <c r="IA84" s="100"/>
      <c r="IB84" s="100"/>
      <c r="IC84" s="100"/>
      <c r="ID84" s="100"/>
      <c r="IE84" s="100"/>
      <c r="IF84" s="100"/>
      <c r="IG84" s="100"/>
      <c r="IH84" s="100"/>
      <c r="II84" s="100"/>
      <c r="IJ84" s="100"/>
      <c r="IK84" s="100"/>
      <c r="IL84" s="100"/>
      <c r="IM84" s="100"/>
      <c r="IN84" s="100"/>
      <c r="IO84" s="100"/>
      <c r="IP84" s="100"/>
      <c r="IQ84" s="100"/>
      <c r="IR84" s="100"/>
      <c r="IS84" s="100"/>
      <c r="IT84" s="100"/>
      <c r="IU84" s="100"/>
      <c r="IV84" s="100"/>
      <c r="IW84" s="100"/>
    </row>
    <row r="85" customFormat="false" ht="12.75" hidden="false" customHeight="true" outlineLevel="0" collapsed="false">
      <c r="A85" s="99" t="str">
        <f aca="false">'QTD Mgmt Summary'!A85</f>
        <v>Capital Charge Offset</v>
      </c>
      <c r="B85" s="33"/>
      <c r="C85" s="78" t="n">
        <f aca="false">-C65</f>
        <v>-47264</v>
      </c>
      <c r="D85" s="226" t="n">
        <f aca="false">-D65</f>
        <v>-42403</v>
      </c>
      <c r="E85" s="114" t="n">
        <f aca="false">D85-C85</f>
        <v>4861</v>
      </c>
      <c r="F85" s="352"/>
      <c r="G85" s="352"/>
      <c r="H85" s="352"/>
      <c r="I85" s="352"/>
      <c r="J85" s="352"/>
      <c r="K85" s="352"/>
    </row>
    <row r="86" customFormat="false" ht="12.75" hidden="false" customHeight="true" outlineLevel="0" collapsed="false">
      <c r="A86" s="101" t="s">
        <v>204</v>
      </c>
      <c r="B86" s="191"/>
      <c r="C86" s="223" t="n">
        <f aca="false">C65+C81+C82+C83+C84+C85</f>
        <v>0</v>
      </c>
      <c r="D86" s="193" t="n">
        <f aca="false">D65+D81+D82+D83+D84+D85</f>
        <v>0</v>
      </c>
      <c r="E86" s="193" t="n">
        <f aca="false">E65+E81+E82+E83+E84+E85</f>
        <v>0</v>
      </c>
      <c r="F86" s="373"/>
      <c r="G86" s="373"/>
      <c r="H86" s="373"/>
      <c r="I86" s="373"/>
      <c r="J86" s="373"/>
      <c r="K86" s="373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  <c r="AD86" s="98"/>
      <c r="AE86" s="98"/>
      <c r="AF86" s="98"/>
      <c r="AG86" s="98"/>
      <c r="AH86" s="98"/>
      <c r="AI86" s="98"/>
      <c r="AJ86" s="98"/>
      <c r="AK86" s="98"/>
      <c r="AL86" s="98"/>
      <c r="AM86" s="98"/>
      <c r="AN86" s="98"/>
      <c r="AO86" s="98"/>
      <c r="AP86" s="98"/>
      <c r="AQ86" s="98"/>
      <c r="AR86" s="98"/>
      <c r="AS86" s="98"/>
      <c r="AT86" s="98"/>
      <c r="AU86" s="98"/>
      <c r="AV86" s="98"/>
      <c r="AW86" s="98"/>
      <c r="AX86" s="98"/>
      <c r="AY86" s="98"/>
      <c r="AZ86" s="98"/>
      <c r="BA86" s="98"/>
      <c r="BB86" s="98"/>
      <c r="BC86" s="98"/>
      <c r="BD86" s="98"/>
      <c r="BE86" s="98"/>
      <c r="BF86" s="98"/>
      <c r="BG86" s="98"/>
      <c r="BH86" s="98"/>
      <c r="BI86" s="98"/>
      <c r="BJ86" s="98"/>
      <c r="BK86" s="98"/>
      <c r="BL86" s="98"/>
      <c r="BM86" s="98"/>
      <c r="BN86" s="98"/>
      <c r="BO86" s="98"/>
      <c r="BP86" s="98"/>
      <c r="BQ86" s="98"/>
      <c r="BR86" s="98"/>
      <c r="BS86" s="98"/>
      <c r="BT86" s="98"/>
      <c r="BU86" s="98"/>
      <c r="BV86" s="98"/>
      <c r="BW86" s="98"/>
      <c r="BX86" s="98"/>
      <c r="BY86" s="98"/>
      <c r="BZ86" s="98"/>
      <c r="CA86" s="98"/>
      <c r="CB86" s="98"/>
      <c r="CC86" s="98"/>
      <c r="CD86" s="98"/>
      <c r="CE86" s="98"/>
      <c r="CF86" s="98"/>
      <c r="CG86" s="98"/>
      <c r="CH86" s="98"/>
      <c r="CI86" s="98"/>
      <c r="CJ86" s="98"/>
      <c r="CK86" s="98"/>
      <c r="CL86" s="98"/>
      <c r="CM86" s="98"/>
      <c r="CN86" s="98"/>
      <c r="CO86" s="98"/>
      <c r="CP86" s="98"/>
      <c r="CQ86" s="98"/>
      <c r="CR86" s="98"/>
      <c r="CS86" s="98"/>
      <c r="CT86" s="98"/>
      <c r="CU86" s="98"/>
      <c r="CV86" s="98"/>
      <c r="CW86" s="98"/>
      <c r="CX86" s="98"/>
      <c r="CY86" s="98"/>
      <c r="CZ86" s="98"/>
      <c r="DA86" s="98"/>
      <c r="DB86" s="98"/>
      <c r="DC86" s="98"/>
      <c r="DD86" s="98"/>
      <c r="DE86" s="98"/>
      <c r="DF86" s="98"/>
      <c r="DG86" s="98"/>
      <c r="DH86" s="98"/>
      <c r="DI86" s="98"/>
      <c r="DJ86" s="98"/>
      <c r="DK86" s="98"/>
      <c r="DL86" s="98"/>
      <c r="DM86" s="98"/>
      <c r="DN86" s="98"/>
      <c r="DO86" s="98"/>
      <c r="DP86" s="98"/>
      <c r="DQ86" s="98"/>
      <c r="DR86" s="98"/>
      <c r="DS86" s="98"/>
      <c r="DT86" s="98"/>
      <c r="DU86" s="98"/>
      <c r="DV86" s="98"/>
      <c r="DW86" s="98"/>
      <c r="DX86" s="98"/>
      <c r="DY86" s="98"/>
      <c r="DZ86" s="98"/>
      <c r="EA86" s="98"/>
      <c r="EB86" s="98"/>
      <c r="EC86" s="98"/>
      <c r="ED86" s="98"/>
      <c r="EE86" s="98"/>
      <c r="EF86" s="98"/>
      <c r="EG86" s="98"/>
      <c r="EH86" s="98"/>
      <c r="EI86" s="98"/>
      <c r="EJ86" s="98"/>
      <c r="EK86" s="98"/>
      <c r="EL86" s="98"/>
      <c r="EM86" s="98"/>
      <c r="EN86" s="98"/>
      <c r="EO86" s="98"/>
      <c r="EP86" s="98"/>
      <c r="EQ86" s="98"/>
      <c r="ER86" s="98"/>
      <c r="ES86" s="98"/>
      <c r="ET86" s="98"/>
      <c r="EU86" s="98"/>
      <c r="EV86" s="98"/>
      <c r="EW86" s="98"/>
      <c r="EX86" s="98"/>
      <c r="EY86" s="98"/>
      <c r="EZ86" s="98"/>
      <c r="FA86" s="98"/>
      <c r="FB86" s="98"/>
      <c r="FC86" s="98"/>
      <c r="FD86" s="98"/>
      <c r="FE86" s="98"/>
      <c r="FF86" s="98"/>
      <c r="FG86" s="98"/>
      <c r="FH86" s="98"/>
      <c r="FI86" s="98"/>
      <c r="FJ86" s="98"/>
      <c r="FK86" s="98"/>
      <c r="FL86" s="98"/>
      <c r="FM86" s="98"/>
      <c r="FN86" s="98"/>
      <c r="FO86" s="98"/>
      <c r="FP86" s="98"/>
      <c r="FQ86" s="98"/>
      <c r="FR86" s="98"/>
      <c r="FS86" s="98"/>
      <c r="FT86" s="98"/>
      <c r="FU86" s="98"/>
      <c r="FV86" s="98"/>
      <c r="FW86" s="98"/>
      <c r="FX86" s="98"/>
      <c r="FY86" s="98"/>
      <c r="FZ86" s="98"/>
      <c r="GA86" s="98"/>
      <c r="GB86" s="98"/>
      <c r="GC86" s="98"/>
      <c r="GD86" s="98"/>
      <c r="GE86" s="98"/>
      <c r="GF86" s="98"/>
      <c r="GG86" s="98"/>
      <c r="GH86" s="98"/>
      <c r="GI86" s="98"/>
      <c r="GJ86" s="98"/>
      <c r="GK86" s="98"/>
      <c r="GL86" s="98"/>
      <c r="GM86" s="98"/>
      <c r="GN86" s="98"/>
      <c r="GO86" s="98"/>
      <c r="GP86" s="98"/>
      <c r="GQ86" s="98"/>
      <c r="GR86" s="98"/>
      <c r="GS86" s="98"/>
      <c r="GT86" s="98"/>
      <c r="GU86" s="98"/>
      <c r="GV86" s="98"/>
      <c r="GW86" s="98"/>
      <c r="GX86" s="98"/>
      <c r="GY86" s="98"/>
      <c r="GZ86" s="98"/>
      <c r="HA86" s="98"/>
      <c r="HB86" s="98"/>
      <c r="HC86" s="98"/>
      <c r="HD86" s="98"/>
      <c r="HE86" s="98"/>
      <c r="HF86" s="98"/>
      <c r="HG86" s="98"/>
      <c r="HH86" s="98"/>
      <c r="HI86" s="98"/>
      <c r="HJ86" s="98"/>
      <c r="HK86" s="98"/>
      <c r="HL86" s="98"/>
      <c r="HM86" s="98"/>
      <c r="HN86" s="98"/>
      <c r="HO86" s="98"/>
      <c r="HP86" s="98"/>
      <c r="HQ86" s="98"/>
      <c r="HR86" s="98"/>
      <c r="HS86" s="98"/>
      <c r="HT86" s="98"/>
      <c r="HU86" s="98"/>
      <c r="HV86" s="98"/>
      <c r="HW86" s="98"/>
      <c r="HX86" s="98"/>
      <c r="HY86" s="98"/>
      <c r="HZ86" s="98"/>
      <c r="IA86" s="98"/>
      <c r="IB86" s="98"/>
      <c r="IC86" s="98"/>
      <c r="ID86" s="98"/>
      <c r="IE86" s="98"/>
      <c r="IF86" s="98"/>
      <c r="IG86" s="98"/>
      <c r="IH86" s="98"/>
      <c r="II86" s="98"/>
      <c r="IJ86" s="98"/>
      <c r="IK86" s="98"/>
      <c r="IL86" s="98"/>
      <c r="IM86" s="98"/>
      <c r="IN86" s="98"/>
      <c r="IO86" s="98"/>
      <c r="IP86" s="98"/>
      <c r="IQ86" s="98"/>
      <c r="IR86" s="98"/>
      <c r="IS86" s="98"/>
      <c r="IT86" s="98"/>
      <c r="IU86" s="98"/>
      <c r="IV86" s="98"/>
      <c r="IW86" s="98"/>
    </row>
    <row r="88" customFormat="false" ht="12.75" hidden="false" customHeight="false" outlineLevel="0" collapsed="false">
      <c r="A88" s="1" t="s">
        <v>173</v>
      </c>
    </row>
  </sheetData>
  <mergeCells count="83">
    <mergeCell ref="A2:K2"/>
    <mergeCell ref="A3:K3"/>
    <mergeCell ref="A4:K4"/>
    <mergeCell ref="C6:E7"/>
    <mergeCell ref="F6:K7"/>
    <mergeCell ref="F9:K9"/>
    <mergeCell ref="F10:K10"/>
    <mergeCell ref="F11:K11"/>
    <mergeCell ref="F12:K12"/>
    <mergeCell ref="F13:K13"/>
    <mergeCell ref="F14:K14"/>
    <mergeCell ref="F15:K15"/>
    <mergeCell ref="F16:K16"/>
    <mergeCell ref="F17:K17"/>
    <mergeCell ref="F18:K18"/>
    <mergeCell ref="F19:K19"/>
    <mergeCell ref="F20:K20"/>
    <mergeCell ref="F21:K21"/>
    <mergeCell ref="F22:K22"/>
    <mergeCell ref="F23:K23"/>
    <mergeCell ref="F24:K24"/>
    <mergeCell ref="F25:K25"/>
    <mergeCell ref="F26:K26"/>
    <mergeCell ref="F27:K27"/>
    <mergeCell ref="F28:K28"/>
    <mergeCell ref="F29:K29"/>
    <mergeCell ref="F30:K30"/>
    <mergeCell ref="F31:K31"/>
    <mergeCell ref="F32:K32"/>
    <mergeCell ref="F33:K33"/>
    <mergeCell ref="F34:K34"/>
    <mergeCell ref="F35:K35"/>
    <mergeCell ref="F36:K36"/>
    <mergeCell ref="F37:K37"/>
    <mergeCell ref="F38:K38"/>
    <mergeCell ref="F39:K39"/>
    <mergeCell ref="F40:K40"/>
    <mergeCell ref="F41:K41"/>
    <mergeCell ref="F42:K42"/>
    <mergeCell ref="F43:K43"/>
    <mergeCell ref="F44:K44"/>
    <mergeCell ref="F45:K45"/>
    <mergeCell ref="F46:K46"/>
    <mergeCell ref="F47:K47"/>
    <mergeCell ref="F48:K48"/>
    <mergeCell ref="F49:K49"/>
    <mergeCell ref="F50:K50"/>
    <mergeCell ref="F51:K51"/>
    <mergeCell ref="F52:K52"/>
    <mergeCell ref="F53:K53"/>
    <mergeCell ref="F54:K54"/>
    <mergeCell ref="F55:K55"/>
    <mergeCell ref="F56:K56"/>
    <mergeCell ref="F57:K57"/>
    <mergeCell ref="F58:K58"/>
    <mergeCell ref="F59:K59"/>
    <mergeCell ref="F60:K60"/>
    <mergeCell ref="F61:K61"/>
    <mergeCell ref="F62:K62"/>
    <mergeCell ref="F63:K63"/>
    <mergeCell ref="F64:K64"/>
    <mergeCell ref="F65:K65"/>
    <mergeCell ref="F66:K66"/>
    <mergeCell ref="F67:K67"/>
    <mergeCell ref="F68:K68"/>
    <mergeCell ref="F69:K69"/>
    <mergeCell ref="F70:K70"/>
    <mergeCell ref="F71:K71"/>
    <mergeCell ref="F72:K72"/>
    <mergeCell ref="F73:K73"/>
    <mergeCell ref="F74:K74"/>
    <mergeCell ref="F75:K75"/>
    <mergeCell ref="F76:K76"/>
    <mergeCell ref="F77:K77"/>
    <mergeCell ref="F78:K78"/>
    <mergeCell ref="F79:K79"/>
    <mergeCell ref="F80:K80"/>
    <mergeCell ref="F81:K81"/>
    <mergeCell ref="F82:K82"/>
    <mergeCell ref="F83:K83"/>
    <mergeCell ref="F84:K84"/>
    <mergeCell ref="F85:K85"/>
    <mergeCell ref="F86:K86"/>
  </mergeCells>
  <printOptions headings="false" gridLines="false" gridLinesSet="true" horizontalCentered="true" verticalCentered="false"/>
  <pageMargins left="0.25" right="0.25" top="0.2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8" topLeftCell="BM9" activePane="bottomLeft" state="frozen"/>
      <selection pane="topLeft" activeCell="A1" activeCellId="0" sqref="A1"/>
      <selection pane="bottomLeft" activeCell="A9" activeCellId="0" sqref="A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8.99"/>
    <col collapsed="false" customWidth="true" hidden="false" outlineLevel="0" max="2" min="2" style="1" width="0.85"/>
    <col collapsed="false" customWidth="true" hidden="false" outlineLevel="0" max="4" min="3" style="1" width="8.7"/>
    <col collapsed="false" customWidth="true" hidden="false" outlineLevel="0" max="5" min="5" style="1" width="10.13"/>
    <col collapsed="false" customWidth="true" hidden="false" outlineLevel="0" max="6" min="6" style="1" width="0.85"/>
    <col collapsed="false" customWidth="true" hidden="false" outlineLevel="0" max="7" min="7" style="2" width="9.28"/>
    <col collapsed="false" customWidth="true" hidden="false" outlineLevel="0" max="8" min="8" style="2" width="8.99"/>
    <col collapsed="false" customWidth="true" hidden="false" outlineLevel="0" max="9" min="9" style="2" width="8.7"/>
    <col collapsed="false" customWidth="true" hidden="false" outlineLevel="0" max="10" min="10" style="2" width="0.99"/>
    <col collapsed="false" customWidth="true" hidden="false" outlineLevel="0" max="12" min="11" style="2" width="8.7"/>
    <col collapsed="false" customWidth="true" hidden="false" outlineLevel="0" max="13" min="13" style="2" width="8.85"/>
    <col collapsed="false" customWidth="true" hidden="false" outlineLevel="0" max="14" min="14" style="2" width="0.85"/>
    <col collapsed="false" customWidth="true" hidden="false" outlineLevel="0" max="17" min="15" style="2" width="8.7"/>
    <col collapsed="false" customWidth="true" hidden="false" outlineLevel="0" max="18" min="18" style="1" width="0.85"/>
    <col collapsed="false" customWidth="true" hidden="false" outlineLevel="0" max="19" min="19" style="1" width="8.7"/>
    <col collapsed="false" customWidth="true" hidden="false" outlineLevel="0" max="23" min="20" style="1" width="7.7"/>
    <col collapsed="false" customWidth="true" hidden="false" outlineLevel="0" max="25" min="24" style="1" width="8.7"/>
    <col collapsed="false" customWidth="true" hidden="false" outlineLevel="0" max="26" min="26" style="1" width="0.85"/>
    <col collapsed="false" customWidth="false" hidden="false" outlineLevel="0" max="257" min="27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0"/>
      <c r="S1" s="0"/>
      <c r="T1" s="0"/>
      <c r="U1" s="0"/>
      <c r="V1" s="0"/>
      <c r="W1" s="0"/>
      <c r="X1" s="0"/>
      <c r="Y1" s="0"/>
      <c r="Z1" s="4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29.25" hidden="false" customHeight="true" outlineLevel="0" collapsed="false">
      <c r="A2" s="6" t="s">
        <v>0</v>
      </c>
      <c r="B2" s="7"/>
      <c r="C2" s="7"/>
      <c r="D2" s="7"/>
      <c r="E2" s="7"/>
      <c r="F2" s="7"/>
      <c r="G2" s="3"/>
      <c r="H2" s="3"/>
      <c r="I2" s="3"/>
      <c r="J2" s="3"/>
      <c r="K2" s="3"/>
      <c r="L2" s="156" t="s">
        <v>205</v>
      </c>
      <c r="M2" s="156"/>
      <c r="N2" s="156"/>
      <c r="O2" s="156"/>
      <c r="P2" s="156"/>
      <c r="Q2" s="156"/>
      <c r="R2" s="7"/>
      <c r="S2" s="7"/>
      <c r="T2" s="7"/>
      <c r="U2" s="7"/>
      <c r="V2" s="7"/>
      <c r="W2" s="7"/>
      <c r="X2" s="7"/>
      <c r="Y2" s="9"/>
      <c r="Z2" s="10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15.75" hidden="false" customHeight="true" outlineLevel="0" collapsed="false">
      <c r="A3" s="0" t="s">
        <v>102</v>
      </c>
      <c r="B3" s="0"/>
      <c r="C3" s="0"/>
      <c r="D3" s="0"/>
      <c r="E3" s="0"/>
      <c r="F3" s="0"/>
      <c r="G3" s="3"/>
      <c r="H3" s="11"/>
      <c r="I3" s="11"/>
      <c r="J3" s="11"/>
      <c r="K3" s="11"/>
      <c r="L3" s="5"/>
      <c r="M3" s="11"/>
      <c r="N3" s="11"/>
      <c r="O3" s="11"/>
      <c r="P3" s="11"/>
      <c r="Q3" s="11" t="str">
        <f aca="false">'QTD Mgmt Summary'!Q3</f>
        <v>Results based on activity through Aug 3, 2001</v>
      </c>
      <c r="R3" s="0"/>
      <c r="S3" s="0"/>
      <c r="T3" s="0"/>
      <c r="U3" s="0"/>
      <c r="V3" s="0"/>
      <c r="W3" s="0"/>
      <c r="X3" s="0"/>
      <c r="Y3" s="5"/>
      <c r="Z3" s="10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5.75" hidden="false" customHeight="true" outlineLevel="0" collapsed="false">
      <c r="A4" s="0"/>
      <c r="B4" s="0"/>
      <c r="C4" s="0"/>
      <c r="D4" s="0"/>
      <c r="E4" s="0"/>
      <c r="F4" s="0"/>
      <c r="G4" s="379"/>
      <c r="H4" s="379"/>
      <c r="I4" s="11"/>
      <c r="J4" s="11"/>
      <c r="K4" s="11"/>
      <c r="L4" s="11"/>
      <c r="M4" s="11"/>
      <c r="N4" s="11"/>
      <c r="O4" s="11"/>
      <c r="P4" s="11"/>
      <c r="Q4" s="11"/>
      <c r="R4" s="0"/>
      <c r="S4" s="0"/>
      <c r="T4" s="0"/>
      <c r="U4" s="0"/>
      <c r="V4" s="0"/>
      <c r="W4" s="0"/>
      <c r="X4" s="0"/>
      <c r="Y4" s="5"/>
      <c r="Z4" s="10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</row>
    <row r="5" customFormat="false" ht="15" hidden="false" customHeight="true" outlineLevel="0" collapsed="false">
      <c r="A5" s="0"/>
      <c r="B5" s="0"/>
      <c r="C5" s="0"/>
      <c r="D5" s="0"/>
      <c r="E5" s="0"/>
      <c r="F5" s="0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0"/>
      <c r="S5" s="0"/>
      <c r="T5" s="0"/>
      <c r="U5" s="0"/>
      <c r="V5" s="0"/>
      <c r="W5" s="0"/>
      <c r="X5" s="0"/>
      <c r="Y5" s="0"/>
      <c r="Z5" s="12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</row>
    <row r="6" customFormat="false" ht="15" hidden="false" customHeight="true" outlineLevel="0" collapsed="false">
      <c r="A6" s="13"/>
      <c r="B6" s="157"/>
      <c r="C6" s="15" t="s">
        <v>3</v>
      </c>
      <c r="D6" s="15"/>
      <c r="E6" s="15"/>
      <c r="F6" s="157"/>
      <c r="G6" s="17" t="s">
        <v>2</v>
      </c>
      <c r="H6" s="17"/>
      <c r="I6" s="17"/>
      <c r="J6" s="157"/>
      <c r="K6" s="17" t="s">
        <v>104</v>
      </c>
      <c r="L6" s="17"/>
      <c r="M6" s="17"/>
      <c r="N6" s="159"/>
      <c r="O6" s="17" t="s">
        <v>6</v>
      </c>
      <c r="P6" s="17"/>
      <c r="Q6" s="17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</row>
    <row r="7" customFormat="false" ht="14.25" hidden="false" customHeight="true" outlineLevel="0" collapsed="false">
      <c r="A7" s="160" t="s">
        <v>7</v>
      </c>
      <c r="B7" s="47"/>
      <c r="C7" s="15"/>
      <c r="D7" s="15"/>
      <c r="E7" s="15"/>
      <c r="F7" s="47"/>
      <c r="G7" s="380" t="s">
        <v>4</v>
      </c>
      <c r="H7" s="380"/>
      <c r="I7" s="380"/>
      <c r="J7" s="47"/>
      <c r="K7" s="380" t="s">
        <v>105</v>
      </c>
      <c r="L7" s="380"/>
      <c r="M7" s="380"/>
      <c r="N7" s="80"/>
      <c r="O7" s="17"/>
      <c r="P7" s="17"/>
      <c r="Q7" s="17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</row>
    <row r="8" customFormat="false" ht="18" hidden="false" customHeight="true" outlineLevel="0" collapsed="false">
      <c r="A8" s="32"/>
      <c r="B8" s="47"/>
      <c r="C8" s="162" t="s">
        <v>8</v>
      </c>
      <c r="D8" s="163" t="s">
        <v>9</v>
      </c>
      <c r="E8" s="164" t="s">
        <v>10</v>
      </c>
      <c r="F8" s="165"/>
      <c r="G8" s="166" t="s">
        <v>11</v>
      </c>
      <c r="H8" s="167" t="s">
        <v>9</v>
      </c>
      <c r="I8" s="168" t="s">
        <v>10</v>
      </c>
      <c r="J8" s="165"/>
      <c r="K8" s="166" t="s">
        <v>11</v>
      </c>
      <c r="L8" s="167" t="s">
        <v>9</v>
      </c>
      <c r="M8" s="168" t="s">
        <v>10</v>
      </c>
      <c r="N8" s="172"/>
      <c r="O8" s="166" t="s">
        <v>11</v>
      </c>
      <c r="P8" s="167" t="s">
        <v>9</v>
      </c>
      <c r="Q8" s="168" t="s">
        <v>10</v>
      </c>
    </row>
    <row r="9" customFormat="false" ht="12.75" hidden="false" customHeight="true" outlineLevel="0" collapsed="false">
      <c r="A9" s="381" t="str">
        <f aca="false">'QTD Mgmt Summary'!A9</f>
        <v>Norteast Trading (Davis)</v>
      </c>
      <c r="B9" s="173"/>
      <c r="C9" s="175" t="n">
        <f aca="false">'YTD GrossMargin'!I9</f>
        <v>169730</v>
      </c>
      <c r="D9" s="175" t="n">
        <f aca="false">'YTD GrossMargin'!J9</f>
        <v>50000</v>
      </c>
      <c r="E9" s="176" t="n">
        <f aca="false">C9-D9</f>
        <v>119730</v>
      </c>
      <c r="F9" s="81"/>
      <c r="G9" s="175" t="n">
        <f aca="false">Expenses!C9+Expenses!F9+1501</f>
        <v>2316</v>
      </c>
      <c r="H9" s="175" t="n">
        <v>3309</v>
      </c>
      <c r="I9" s="176" t="n">
        <f aca="false">H9-G9</f>
        <v>993</v>
      </c>
      <c r="J9" s="47"/>
      <c r="K9" s="181" t="n">
        <f aca="false">'Cap Charge'!C9</f>
        <v>0</v>
      </c>
      <c r="L9" s="182" t="n">
        <f aca="false">'Cap Charge'!D9</f>
        <v>0</v>
      </c>
      <c r="M9" s="176" t="n">
        <f aca="false">L9-K9</f>
        <v>0</v>
      </c>
      <c r="N9" s="77"/>
      <c r="O9" s="69" t="n">
        <f aca="false">C9-G9-K9</f>
        <v>167414</v>
      </c>
      <c r="P9" s="177" t="n">
        <f aca="false">D9-H9-L9</f>
        <v>46691</v>
      </c>
      <c r="Q9" s="176" t="n">
        <f aca="false">O9-P9</f>
        <v>120723</v>
      </c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</row>
    <row r="10" customFormat="false" ht="12.75" hidden="false" customHeight="true" outlineLevel="0" collapsed="false">
      <c r="A10" s="46" t="str">
        <f aca="false">'QTD Mgmt Summary'!A10</f>
        <v>Northeast Origination (Llodia)</v>
      </c>
      <c r="B10" s="173"/>
      <c r="C10" s="179" t="n">
        <f aca="false">'YTD GrossMargin'!I10</f>
        <v>9660</v>
      </c>
      <c r="D10" s="179" t="n">
        <f aca="false">'YTD GrossMargin'!J10</f>
        <v>30000</v>
      </c>
      <c r="E10" s="114" t="n">
        <f aca="false">C10-D10</f>
        <v>-20340</v>
      </c>
      <c r="F10" s="81"/>
      <c r="G10" s="179" t="n">
        <f aca="false">Expenses!C10+Expenses!F10+1041</f>
        <v>2031</v>
      </c>
      <c r="H10" s="179" t="n">
        <v>4105</v>
      </c>
      <c r="I10" s="180" t="n">
        <f aca="false">H10-G10</f>
        <v>2074</v>
      </c>
      <c r="J10" s="47"/>
      <c r="K10" s="181" t="n">
        <f aca="false">'Cap Charge'!C10</f>
        <v>0</v>
      </c>
      <c r="L10" s="182" t="n">
        <f aca="false">'Cap Charge'!D10</f>
        <v>0</v>
      </c>
      <c r="M10" s="180" t="n">
        <f aca="false">L10-K10</f>
        <v>0</v>
      </c>
      <c r="N10" s="77"/>
      <c r="O10" s="78" t="n">
        <f aca="false">C10-G10-K10</f>
        <v>7629</v>
      </c>
      <c r="P10" s="182" t="n">
        <f aca="false">D10-H10-L10</f>
        <v>25895</v>
      </c>
      <c r="Q10" s="180" t="n">
        <f aca="false">O10-P10</f>
        <v>-18266</v>
      </c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  <c r="IU10" s="72"/>
      <c r="IV10" s="72"/>
      <c r="IW10" s="72"/>
    </row>
    <row r="11" customFormat="false" ht="12.75" hidden="false" customHeight="true" outlineLevel="0" collapsed="false">
      <c r="A11" s="46" t="str">
        <f aca="false">'QTD Mgmt Summary'!A11</f>
        <v>Midwest Trading (Sturm/Baughman)</v>
      </c>
      <c r="B11" s="51"/>
      <c r="C11" s="179" t="n">
        <f aca="false">'YTD GrossMargin'!I11</f>
        <v>110689</v>
      </c>
      <c r="D11" s="179" t="n">
        <f aca="false">'YTD GrossMargin'!J11</f>
        <v>50000</v>
      </c>
      <c r="E11" s="114" t="n">
        <f aca="false">C11-D11</f>
        <v>60689</v>
      </c>
      <c r="F11" s="81"/>
      <c r="G11" s="179" t="n">
        <f aca="false">Expenses!C11+Expenses!F11+917</f>
        <v>1446</v>
      </c>
      <c r="H11" s="179" t="n">
        <f aca="false">Expenses!D11+Expenses!G11+1652</f>
        <v>2181</v>
      </c>
      <c r="I11" s="180" t="n">
        <f aca="false">H11-G11</f>
        <v>735</v>
      </c>
      <c r="J11" s="47"/>
      <c r="K11" s="181" t="n">
        <f aca="false">'Cap Charge'!C11</f>
        <v>0</v>
      </c>
      <c r="L11" s="182" t="n">
        <f aca="false">'Cap Charge'!D11</f>
        <v>0</v>
      </c>
      <c r="M11" s="180" t="n">
        <f aca="false">L11-K11</f>
        <v>0</v>
      </c>
      <c r="N11" s="77"/>
      <c r="O11" s="78" t="n">
        <f aca="false">C11-G11-K11</f>
        <v>109243</v>
      </c>
      <c r="P11" s="182" t="n">
        <f aca="false">D11-H11-L11</f>
        <v>47819</v>
      </c>
      <c r="Q11" s="180" t="n">
        <f aca="false">O11-P11</f>
        <v>61424</v>
      </c>
    </row>
    <row r="12" customFormat="false" ht="12.75" hidden="false" customHeight="true" outlineLevel="0" collapsed="false">
      <c r="A12" s="46" t="str">
        <f aca="false">'QTD Mgmt Summary'!A12</f>
        <v>Midwest Origination (Sturm/Baughman)</v>
      </c>
      <c r="B12" s="51"/>
      <c r="C12" s="179" t="n">
        <f aca="false">'YTD GrossMargin'!I12</f>
        <v>5144</v>
      </c>
      <c r="D12" s="179" t="n">
        <f aca="false">'YTD GrossMargin'!J12</f>
        <v>30000</v>
      </c>
      <c r="E12" s="114" t="n">
        <f aca="false">C12-D12</f>
        <v>-24856</v>
      </c>
      <c r="F12" s="81"/>
      <c r="G12" s="179" t="n">
        <f aca="false">Expenses!C12+Expenses!F12+855</f>
        <v>1922</v>
      </c>
      <c r="H12" s="179" t="n">
        <f aca="false">Expenses!D12+Expenses!G12+2828</f>
        <v>3895</v>
      </c>
      <c r="I12" s="180" t="n">
        <f aca="false">H12-G12</f>
        <v>1973</v>
      </c>
      <c r="J12" s="47"/>
      <c r="K12" s="181" t="n">
        <f aca="false">'Cap Charge'!C12</f>
        <v>0</v>
      </c>
      <c r="L12" s="182" t="n">
        <f aca="false">'Cap Charge'!D12</f>
        <v>0</v>
      </c>
      <c r="M12" s="180" t="n">
        <f aca="false">L12-K12</f>
        <v>0</v>
      </c>
      <c r="N12" s="77"/>
      <c r="O12" s="78" t="n">
        <f aca="false">C12-G12-K12</f>
        <v>3222</v>
      </c>
      <c r="P12" s="182" t="n">
        <f aca="false">D12-H12-L12</f>
        <v>26105</v>
      </c>
      <c r="Q12" s="180" t="n">
        <f aca="false">O12-P12</f>
        <v>-22883</v>
      </c>
    </row>
    <row r="13" customFormat="false" ht="12.75" hidden="false" customHeight="true" outlineLevel="0" collapsed="false">
      <c r="A13" s="46" t="str">
        <f aca="false">'QTD Mgmt Summary'!A13</f>
        <v>Southeast Trading (Herndon/Kroll) </v>
      </c>
      <c r="B13" s="51"/>
      <c r="C13" s="179" t="n">
        <f aca="false">'YTD GrossMargin'!I13</f>
        <v>9827</v>
      </c>
      <c r="D13" s="179" t="n">
        <f aca="false">'YTD GrossMargin'!J13</f>
        <v>50000</v>
      </c>
      <c r="E13" s="114" t="n">
        <f aca="false">C13-D13</f>
        <v>-40173</v>
      </c>
      <c r="F13" s="81"/>
      <c r="G13" s="179" t="n">
        <f aca="false">Expenses!C13+Expenses!F13+1042</f>
        <v>1507</v>
      </c>
      <c r="H13" s="179" t="n">
        <f aca="false">Expenses!D13+Expenses!G13+1421</f>
        <v>1886</v>
      </c>
      <c r="I13" s="180" t="n">
        <f aca="false">H13-G13</f>
        <v>379</v>
      </c>
      <c r="J13" s="47"/>
      <c r="K13" s="181" t="n">
        <f aca="false">'Cap Charge'!C13+86</f>
        <v>161</v>
      </c>
      <c r="L13" s="182" t="n">
        <f aca="false">'Cap Charge'!D13</f>
        <v>0</v>
      </c>
      <c r="M13" s="180" t="n">
        <f aca="false">L13-K13</f>
        <v>-161</v>
      </c>
      <c r="N13" s="77"/>
      <c r="O13" s="78" t="n">
        <f aca="false">C13-G13-K13</f>
        <v>8159</v>
      </c>
      <c r="P13" s="182" t="n">
        <f aca="false">D13-H13-L13</f>
        <v>48114</v>
      </c>
      <c r="Q13" s="180" t="n">
        <f aca="false">O13-P13</f>
        <v>-39955</v>
      </c>
    </row>
    <row r="14" customFormat="false" ht="12.75" hidden="false" customHeight="true" outlineLevel="0" collapsed="false">
      <c r="A14" s="46" t="str">
        <f aca="false">'QTD Mgmt Summary'!A14</f>
        <v>Southeast Orig (Herndon/Kroll) </v>
      </c>
      <c r="B14" s="51"/>
      <c r="C14" s="179" t="n">
        <f aca="false">'YTD GrossMargin'!I14</f>
        <v>9670</v>
      </c>
      <c r="D14" s="179" t="n">
        <f aca="false">'YTD GrossMargin'!J14</f>
        <v>30000</v>
      </c>
      <c r="E14" s="114" t="n">
        <f aca="false">C14-D14</f>
        <v>-20330</v>
      </c>
      <c r="F14" s="81"/>
      <c r="G14" s="179" t="n">
        <f aca="false">Expenses!C14+Expenses!F14+1842</f>
        <v>2810</v>
      </c>
      <c r="H14" s="179" t="n">
        <f aca="false">Expenses!D14+Expenses!G14+2831</f>
        <v>3799</v>
      </c>
      <c r="I14" s="180" t="n">
        <f aca="false">H14-G14</f>
        <v>989</v>
      </c>
      <c r="J14" s="47"/>
      <c r="K14" s="181" t="n">
        <f aca="false">'Cap Charge'!C14</f>
        <v>0</v>
      </c>
      <c r="L14" s="182" t="n">
        <f aca="false">'Cap Charge'!D14</f>
        <v>0</v>
      </c>
      <c r="M14" s="180" t="n">
        <f aca="false">L14-K14</f>
        <v>0</v>
      </c>
      <c r="N14" s="77"/>
      <c r="O14" s="78" t="n">
        <f aca="false">C14-G14-K14</f>
        <v>6860</v>
      </c>
      <c r="P14" s="182" t="n">
        <f aca="false">D14-H14-L14</f>
        <v>26201</v>
      </c>
      <c r="Q14" s="180" t="n">
        <f aca="false">O14-P14</f>
        <v>-19341</v>
      </c>
    </row>
    <row r="15" customFormat="false" ht="12.75" hidden="false" customHeight="true" outlineLevel="0" collapsed="false">
      <c r="A15" s="46" t="str">
        <f aca="false">'QTD Mgmt Summary'!A15</f>
        <v>ERCOT Trading (Smith/Corry)</v>
      </c>
      <c r="B15" s="51"/>
      <c r="C15" s="179" t="n">
        <f aca="false">'YTD GrossMargin'!I15</f>
        <v>3685</v>
      </c>
      <c r="D15" s="179" t="n">
        <f aca="false">'YTD GrossMargin'!J15</f>
        <v>17500</v>
      </c>
      <c r="E15" s="114" t="n">
        <f aca="false">C15-D15</f>
        <v>-13815</v>
      </c>
      <c r="F15" s="81"/>
      <c r="G15" s="179" t="n">
        <f aca="false">Expenses!C15+Expenses!F15+557</f>
        <v>757</v>
      </c>
      <c r="H15" s="179" t="n">
        <f aca="false">Expenses!D15+Expenses!G15+680</f>
        <v>880</v>
      </c>
      <c r="I15" s="180" t="n">
        <f aca="false">H15-G15</f>
        <v>123</v>
      </c>
      <c r="J15" s="47"/>
      <c r="K15" s="181" t="n">
        <f aca="false">'Cap Charge'!C15</f>
        <v>0</v>
      </c>
      <c r="L15" s="182" t="n">
        <f aca="false">'Cap Charge'!D15</f>
        <v>0</v>
      </c>
      <c r="M15" s="180" t="n">
        <f aca="false">L15-K15</f>
        <v>0</v>
      </c>
      <c r="N15" s="77"/>
      <c r="O15" s="78" t="n">
        <f aca="false">C15-G15-K15</f>
        <v>2928</v>
      </c>
      <c r="P15" s="182" t="n">
        <f aca="false">D15-H15-L15</f>
        <v>16620</v>
      </c>
      <c r="Q15" s="180" t="n">
        <f aca="false">O15-P15</f>
        <v>-13692</v>
      </c>
    </row>
    <row r="16" customFormat="false" ht="12.75" hidden="false" customHeight="true" outlineLevel="0" collapsed="false">
      <c r="A16" s="46" t="str">
        <f aca="false">'QTD Mgmt Summary'!A16</f>
        <v>ERCOT Orig (Smith/Corry)</v>
      </c>
      <c r="B16" s="51"/>
      <c r="C16" s="179" t="n">
        <f aca="false">'YTD GrossMargin'!I16</f>
        <v>2462</v>
      </c>
      <c r="D16" s="179" t="n">
        <f aca="false">'YTD GrossMargin'!J16</f>
        <v>17500</v>
      </c>
      <c r="E16" s="114" t="n">
        <f aca="false">C16-D16</f>
        <v>-15038</v>
      </c>
      <c r="F16" s="81"/>
      <c r="G16" s="179" t="n">
        <f aca="false">Expenses!C16+Expenses!F16+544</f>
        <v>1271</v>
      </c>
      <c r="H16" s="179" t="n">
        <f aca="false">Expenses!D16+Expenses!G16+2351</f>
        <v>3078</v>
      </c>
      <c r="I16" s="180" t="n">
        <f aca="false">H16-G16</f>
        <v>1807</v>
      </c>
      <c r="J16" s="47"/>
      <c r="K16" s="181" t="n">
        <f aca="false">'Cap Charge'!C16</f>
        <v>0</v>
      </c>
      <c r="L16" s="182" t="n">
        <f aca="false">'Cap Charge'!D16</f>
        <v>0</v>
      </c>
      <c r="M16" s="180" t="n">
        <f aca="false">L16-K16</f>
        <v>0</v>
      </c>
      <c r="N16" s="77"/>
      <c r="O16" s="78" t="n">
        <f aca="false">C16-G16-K16</f>
        <v>1191</v>
      </c>
      <c r="P16" s="182" t="n">
        <f aca="false">D16-H16-L16</f>
        <v>14422</v>
      </c>
      <c r="Q16" s="180" t="n">
        <f aca="false">O16-P16</f>
        <v>-13231</v>
      </c>
    </row>
    <row r="17" customFormat="false" ht="12.75" hidden="false" customHeight="true" outlineLevel="0" collapsed="false">
      <c r="A17" s="46" t="str">
        <f aca="false">'QTD Mgmt Summary'!A17</f>
        <v>Options (Arora)</v>
      </c>
      <c r="B17" s="51"/>
      <c r="C17" s="179" t="n">
        <f aca="false">'YTD GrossMargin'!I17</f>
        <v>26003</v>
      </c>
      <c r="D17" s="179" t="n">
        <f aca="false">'YTD GrossMargin'!J17</f>
        <v>0</v>
      </c>
      <c r="E17" s="114" t="n">
        <f aca="false">C17-D17</f>
        <v>26003</v>
      </c>
      <c r="F17" s="81"/>
      <c r="G17" s="179" t="n">
        <f aca="false">Expenses!C17+Expenses!F17+254</f>
        <v>508</v>
      </c>
      <c r="H17" s="179" t="n">
        <f aca="false">Expenses!D17+Expenses!G17</f>
        <v>0</v>
      </c>
      <c r="I17" s="180" t="n">
        <f aca="false">H17-G17</f>
        <v>-508</v>
      </c>
      <c r="J17" s="47"/>
      <c r="K17" s="181" t="n">
        <f aca="false">'Cap Charge'!C17</f>
        <v>0</v>
      </c>
      <c r="L17" s="182" t="n">
        <f aca="false">'Cap Charge'!D17</f>
        <v>0</v>
      </c>
      <c r="M17" s="180" t="n">
        <f aca="false">L17-K17</f>
        <v>0</v>
      </c>
      <c r="N17" s="77"/>
      <c r="O17" s="78" t="n">
        <f aca="false">C17-G17-K17</f>
        <v>25495</v>
      </c>
      <c r="P17" s="182" t="n">
        <f aca="false">D17-H17-L17</f>
        <v>0</v>
      </c>
      <c r="Q17" s="180" t="n">
        <f aca="false">O17-P17</f>
        <v>25495</v>
      </c>
    </row>
    <row r="18" customFormat="false" ht="12.75" hidden="false" customHeight="true" outlineLevel="0" collapsed="false">
      <c r="A18" s="46" t="str">
        <f aca="false">'QTD Mgmt Summary'!A18</f>
        <v>Management  Book (Presto)</v>
      </c>
      <c r="B18" s="51"/>
      <c r="C18" s="179" t="n">
        <f aca="false">'YTD GrossMargin'!I18</f>
        <v>53118</v>
      </c>
      <c r="D18" s="179" t="n">
        <f aca="false">'YTD GrossMargin'!J18</f>
        <v>5000</v>
      </c>
      <c r="E18" s="114" t="n">
        <f aca="false">C18-D18</f>
        <v>48118</v>
      </c>
      <c r="F18" s="81"/>
      <c r="G18" s="179" t="n">
        <f aca="false">Expenses!C18+Expenses!F18+6295</f>
        <v>8923</v>
      </c>
      <c r="H18" s="179" t="n">
        <v>10916</v>
      </c>
      <c r="I18" s="180" t="n">
        <f aca="false">H18-G18</f>
        <v>1993</v>
      </c>
      <c r="J18" s="47"/>
      <c r="K18" s="181" t="n">
        <f aca="false">'Cap Charge'!C18</f>
        <v>0</v>
      </c>
      <c r="L18" s="182" t="n">
        <f aca="false">'Cap Charge'!D18</f>
        <v>0</v>
      </c>
      <c r="M18" s="180" t="n">
        <f aca="false">L18-K18</f>
        <v>0</v>
      </c>
      <c r="N18" s="77"/>
      <c r="O18" s="78" t="n">
        <f aca="false">C18-G18-K18</f>
        <v>44195</v>
      </c>
      <c r="P18" s="182" t="n">
        <f aca="false">D18-H18-L18</f>
        <v>-5916</v>
      </c>
      <c r="Q18" s="180" t="n">
        <f aca="false">O18-P18</f>
        <v>50111</v>
      </c>
    </row>
    <row r="19" customFormat="false" ht="12.75" hidden="false" customHeight="true" outlineLevel="0" collapsed="false">
      <c r="A19" s="46" t="str">
        <f aca="false">'QTD Mgmt Summary'!A19</f>
        <v>Services (Will)</v>
      </c>
      <c r="B19" s="51"/>
      <c r="C19" s="179" t="n">
        <f aca="false">'YTD GrossMargin'!I19</f>
        <v>1272</v>
      </c>
      <c r="D19" s="179" t="n">
        <f aca="false">'YTD GrossMargin'!J19</f>
        <v>0</v>
      </c>
      <c r="E19" s="114" t="n">
        <f aca="false">C19-D19</f>
        <v>1272</v>
      </c>
      <c r="F19" s="81"/>
      <c r="G19" s="179" t="n">
        <f aca="false">Expenses!C19+Expenses!F19+112</f>
        <v>224</v>
      </c>
      <c r="H19" s="179" t="n">
        <f aca="false">Expenses!D19+Expenses!G19</f>
        <v>0</v>
      </c>
      <c r="I19" s="180" t="n">
        <f aca="false">H19-G19</f>
        <v>-224</v>
      </c>
      <c r="J19" s="47"/>
      <c r="K19" s="181" t="n">
        <f aca="false">'Cap Charge'!C19</f>
        <v>0</v>
      </c>
      <c r="L19" s="182" t="n">
        <f aca="false">'Cap Charge'!D19</f>
        <v>0</v>
      </c>
      <c r="M19" s="180" t="n">
        <f aca="false">L19-K19</f>
        <v>0</v>
      </c>
      <c r="N19" s="77"/>
      <c r="O19" s="78" t="n">
        <f aca="false">C19-G19-K19</f>
        <v>1048</v>
      </c>
      <c r="P19" s="182" t="n">
        <f aca="false">D19-H19-L19</f>
        <v>0</v>
      </c>
      <c r="Q19" s="180" t="n">
        <f aca="false">O19-P19</f>
        <v>1048</v>
      </c>
    </row>
    <row r="20" customFormat="false" ht="12.75" hidden="false" customHeight="true" outlineLevel="0" collapsed="false">
      <c r="A20" s="46" t="str">
        <f aca="false">'QTD Mgmt Summary'!A20</f>
        <v>Development (Jacoby)</v>
      </c>
      <c r="B20" s="51"/>
      <c r="C20" s="179" t="n">
        <f aca="false">'YTD GrossMargin'!I20</f>
        <v>16633</v>
      </c>
      <c r="D20" s="179" t="n">
        <f aca="false">'YTD GrossMargin'!J20</f>
        <v>24000</v>
      </c>
      <c r="E20" s="114" t="n">
        <f aca="false">C20-D20</f>
        <v>-7367</v>
      </c>
      <c r="F20" s="81"/>
      <c r="G20" s="179" t="n">
        <f aca="false">Expenses!C20+Expenses!F20+4108</f>
        <v>6204</v>
      </c>
      <c r="H20" s="179" t="n">
        <v>8381</v>
      </c>
      <c r="I20" s="180" t="n">
        <f aca="false">H20-G20</f>
        <v>2177</v>
      </c>
      <c r="J20" s="47"/>
      <c r="K20" s="181" t="n">
        <f aca="false">'Cap Charge'!C20+290</f>
        <v>614</v>
      </c>
      <c r="L20" s="182" t="n">
        <v>989</v>
      </c>
      <c r="M20" s="180" t="n">
        <f aca="false">L20-K20</f>
        <v>375</v>
      </c>
      <c r="N20" s="77"/>
      <c r="O20" s="78" t="n">
        <f aca="false">C20-G20-K20</f>
        <v>9815</v>
      </c>
      <c r="P20" s="182" t="n">
        <f aca="false">D20-H20-L20</f>
        <v>14630</v>
      </c>
      <c r="Q20" s="180" t="n">
        <f aca="false">O20-P20</f>
        <v>-4815</v>
      </c>
    </row>
    <row r="21" customFormat="false" ht="12.75" hidden="false" customHeight="true" outlineLevel="0" collapsed="false">
      <c r="A21" s="46" t="str">
        <f aca="false">'QTD Mgmt Summary'!A21</f>
        <v>Generation Investments (Duran)</v>
      </c>
      <c r="B21" s="51"/>
      <c r="C21" s="179" t="n">
        <f aca="false">'YTD GrossMargin'!I21</f>
        <v>12715</v>
      </c>
      <c r="D21" s="179" t="n">
        <f aca="false">'YTD GrossMargin'!J21</f>
        <v>80000</v>
      </c>
      <c r="E21" s="114" t="n">
        <f aca="false">C21-D21</f>
        <v>-67285</v>
      </c>
      <c r="F21" s="81"/>
      <c r="G21" s="179" t="n">
        <f aca="false">Expenses!C21+Expenses!F21+3666</f>
        <v>5436</v>
      </c>
      <c r="H21" s="179" t="n">
        <v>7082</v>
      </c>
      <c r="I21" s="180" t="n">
        <f aca="false">H21-G21</f>
        <v>1646</v>
      </c>
      <c r="J21" s="47"/>
      <c r="K21" s="181" t="n">
        <f aca="false">'Cap Charge'!C21+31790</f>
        <v>48682</v>
      </c>
      <c r="L21" s="182" t="n">
        <v>63784</v>
      </c>
      <c r="M21" s="180" t="n">
        <f aca="false">L21-K21</f>
        <v>15102</v>
      </c>
      <c r="N21" s="77"/>
      <c r="O21" s="78" t="n">
        <f aca="false">C21-G21-K21</f>
        <v>-41403</v>
      </c>
      <c r="P21" s="182" t="n">
        <f aca="false">D21-H21-L21</f>
        <v>9134</v>
      </c>
      <c r="Q21" s="180" t="n">
        <f aca="false">O21-P21</f>
        <v>-50537</v>
      </c>
    </row>
    <row r="22" customFormat="false" ht="12.75" hidden="false" customHeight="true" outlineLevel="0" collapsed="false">
      <c r="A22" s="382" t="str">
        <f aca="false">'QTD Mgmt Summary'!A22</f>
        <v>Structuring/Fundamentals (Meyn/Will)</v>
      </c>
      <c r="B22" s="51"/>
      <c r="C22" s="179" t="n">
        <f aca="false">'YTD GrossMargin'!I22</f>
        <v>0</v>
      </c>
      <c r="D22" s="179" t="n">
        <f aca="false">'YTD GrossMargin'!J22</f>
        <v>0</v>
      </c>
      <c r="E22" s="114" t="n">
        <f aca="false">C22-D22</f>
        <v>0</v>
      </c>
      <c r="F22" s="81"/>
      <c r="G22" s="179" t="n">
        <f aca="false">Expenses!C22+Expenses!F22+2241</f>
        <v>3645</v>
      </c>
      <c r="H22" s="179" t="n">
        <v>5740</v>
      </c>
      <c r="I22" s="180" t="n">
        <f aca="false">H22-G22</f>
        <v>2095</v>
      </c>
      <c r="J22" s="47"/>
      <c r="K22" s="188" t="n">
        <f aca="false">'Cap Charge'!C22</f>
        <v>0</v>
      </c>
      <c r="L22" s="189" t="n">
        <f aca="false">'Cap Charge'!D22</f>
        <v>0</v>
      </c>
      <c r="M22" s="180" t="n">
        <f aca="false">L22-K22</f>
        <v>0</v>
      </c>
      <c r="N22" s="77"/>
      <c r="O22" s="78" t="n">
        <f aca="false">C22-G22-K22</f>
        <v>-3645</v>
      </c>
      <c r="P22" s="182" t="n">
        <f aca="false">D22-H22-L22</f>
        <v>-5740</v>
      </c>
      <c r="Q22" s="180" t="n">
        <f aca="false">O22-P22</f>
        <v>2095</v>
      </c>
    </row>
    <row r="23" customFormat="false" ht="12.75" hidden="false" customHeight="true" outlineLevel="0" collapsed="false">
      <c r="A23" s="101" t="s">
        <v>21</v>
      </c>
      <c r="B23" s="191"/>
      <c r="C23" s="192" t="n">
        <f aca="false">SUM(C9:C22)</f>
        <v>430608</v>
      </c>
      <c r="D23" s="193" t="n">
        <f aca="false">SUM(D9:D22)</f>
        <v>384000</v>
      </c>
      <c r="E23" s="194" t="n">
        <f aca="false">SUM(E9:E22)</f>
        <v>46608</v>
      </c>
      <c r="F23" s="106"/>
      <c r="G23" s="195" t="n">
        <f aca="false">SUM(G9:G22)</f>
        <v>39000</v>
      </c>
      <c r="H23" s="196" t="n">
        <f aca="false">SUM(H9:H22)</f>
        <v>55252</v>
      </c>
      <c r="I23" s="197" t="n">
        <f aca="false">SUM(I9:I22)</f>
        <v>16252</v>
      </c>
      <c r="J23" s="165"/>
      <c r="K23" s="196" t="n">
        <f aca="false">SUM(K9:K22)</f>
        <v>49457</v>
      </c>
      <c r="L23" s="196" t="n">
        <f aca="false">SUM(L9:L22)</f>
        <v>64773</v>
      </c>
      <c r="M23" s="197" t="n">
        <f aca="false">SUM(M9:M22)</f>
        <v>15316</v>
      </c>
      <c r="N23" s="111"/>
      <c r="O23" s="195" t="n">
        <f aca="false">SUM(O9:O22)</f>
        <v>342151</v>
      </c>
      <c r="P23" s="196" t="n">
        <f aca="false">SUM(P9:P22)</f>
        <v>263975</v>
      </c>
      <c r="Q23" s="197" t="n">
        <f aca="false">SUM(Q9:Q22)</f>
        <v>78176</v>
      </c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  <c r="IQ23" s="94"/>
      <c r="IR23" s="94"/>
      <c r="IS23" s="94"/>
      <c r="IT23" s="94"/>
      <c r="IU23" s="94"/>
      <c r="IV23" s="94"/>
      <c r="IW23" s="94"/>
    </row>
    <row r="24" customFormat="false" ht="12.75" hidden="false" customHeight="true" outlineLevel="0" collapsed="false">
      <c r="A24" s="46" t="s">
        <v>120</v>
      </c>
      <c r="B24" s="47"/>
      <c r="C24" s="179" t="n">
        <f aca="false">'YTD GrossMargin'!I24</f>
        <v>630525</v>
      </c>
      <c r="D24" s="179" t="n">
        <f aca="false">'YTD GrossMargin'!J24</f>
        <v>250000</v>
      </c>
      <c r="E24" s="114" t="n">
        <f aca="false">C24-D24</f>
        <v>380525</v>
      </c>
      <c r="F24" s="81"/>
      <c r="G24" s="63" t="n">
        <f aca="false">Expenses!C25+Expenses!F25+9240</f>
        <v>11867</v>
      </c>
      <c r="H24" s="63" t="n">
        <v>10632</v>
      </c>
      <c r="I24" s="63" t="n">
        <f aca="false">H24-G24</f>
        <v>-1235</v>
      </c>
      <c r="J24" s="47"/>
      <c r="K24" s="63" t="n">
        <f aca="false">'Cap Charge'!C24</f>
        <v>0</v>
      </c>
      <c r="L24" s="79" t="n">
        <f aca="false">'Cap Charge'!D24</f>
        <v>0</v>
      </c>
      <c r="M24" s="63" t="n">
        <f aca="false">L24-K24</f>
        <v>0</v>
      </c>
      <c r="N24" s="77"/>
      <c r="O24" s="78" t="n">
        <f aca="false">C24-G24-K24</f>
        <v>618658</v>
      </c>
      <c r="P24" s="182" t="n">
        <f aca="false">D24-H24-L24</f>
        <v>239368</v>
      </c>
      <c r="Q24" s="180" t="n">
        <f aca="false">O24-P24</f>
        <v>379290</v>
      </c>
    </row>
    <row r="25" customFormat="false" ht="12.75" hidden="false" customHeight="true" outlineLevel="0" collapsed="false">
      <c r="A25" s="46" t="s">
        <v>121</v>
      </c>
      <c r="B25" s="47"/>
      <c r="C25" s="179" t="n">
        <f aca="false">'YTD GrossMargin'!I25</f>
        <v>0</v>
      </c>
      <c r="D25" s="179" t="n">
        <f aca="false">'YTD GrossMargin'!J25</f>
        <v>0</v>
      </c>
      <c r="E25" s="114" t="n">
        <f aca="false">C25-D25</f>
        <v>0</v>
      </c>
      <c r="F25" s="81"/>
      <c r="G25" s="63" t="n">
        <f aca="false">Expenses!C24+Expenses!F24+186</f>
        <v>320</v>
      </c>
      <c r="H25" s="63" t="n">
        <v>548</v>
      </c>
      <c r="I25" s="63" t="n">
        <f aca="false">H25-G25</f>
        <v>228</v>
      </c>
      <c r="J25" s="47"/>
      <c r="K25" s="63" t="n">
        <f aca="false">'Cap Charge'!C25</f>
        <v>0</v>
      </c>
      <c r="L25" s="79" t="n">
        <f aca="false">'Cap Charge'!D25</f>
        <v>0</v>
      </c>
      <c r="M25" s="63" t="n">
        <f aca="false">L25-K25</f>
        <v>0</v>
      </c>
      <c r="N25" s="77"/>
      <c r="O25" s="78" t="n">
        <f aca="false">C25-G25-K25</f>
        <v>-320</v>
      </c>
      <c r="P25" s="182" t="n">
        <f aca="false">D25-H25-L25</f>
        <v>-548</v>
      </c>
      <c r="Q25" s="180" t="n">
        <f aca="false">O25-P25</f>
        <v>228</v>
      </c>
    </row>
    <row r="26" customFormat="false" ht="12.75" hidden="false" customHeight="true" outlineLevel="0" collapsed="false">
      <c r="A26" s="46" t="s">
        <v>206</v>
      </c>
      <c r="B26" s="47"/>
      <c r="C26" s="179" t="n">
        <f aca="false">'YTD GrossMargin'!I26</f>
        <v>44048</v>
      </c>
      <c r="D26" s="179" t="n">
        <f aca="false">'YTD GrossMargin'!J26</f>
        <v>50000</v>
      </c>
      <c r="E26" s="114" t="n">
        <f aca="false">C26-D26</f>
        <v>-5952</v>
      </c>
      <c r="F26" s="81"/>
      <c r="G26" s="63" t="n">
        <f aca="false">Expenses!C26+Expenses!F26+501</f>
        <v>794</v>
      </c>
      <c r="H26" s="63" t="n">
        <v>1172</v>
      </c>
      <c r="I26" s="63" t="n">
        <f aca="false">H26-G26</f>
        <v>378</v>
      </c>
      <c r="J26" s="47"/>
      <c r="K26" s="63" t="n">
        <f aca="false">'Cap Charge'!C26</f>
        <v>0</v>
      </c>
      <c r="L26" s="79" t="n">
        <f aca="false">'Cap Charge'!D26</f>
        <v>0</v>
      </c>
      <c r="M26" s="63" t="n">
        <f aca="false">L26-K26</f>
        <v>0</v>
      </c>
      <c r="N26" s="77"/>
      <c r="O26" s="78" t="n">
        <f aca="false">C26-G26-K26</f>
        <v>43254</v>
      </c>
      <c r="P26" s="182" t="n">
        <f aca="false">D26-H26-L26</f>
        <v>48828</v>
      </c>
      <c r="Q26" s="180" t="n">
        <f aca="false">O26-P26</f>
        <v>-5574</v>
      </c>
    </row>
    <row r="27" customFormat="false" ht="12.75" hidden="false" customHeight="true" outlineLevel="0" collapsed="false">
      <c r="A27" s="46" t="s">
        <v>123</v>
      </c>
      <c r="B27" s="47"/>
      <c r="C27" s="179" t="n">
        <f aca="false">'YTD GrossMargin'!I27</f>
        <v>39097</v>
      </c>
      <c r="D27" s="179" t="n">
        <f aca="false">'YTD GrossMargin'!J27</f>
        <v>62988</v>
      </c>
      <c r="E27" s="114" t="n">
        <f aca="false">C27-D27</f>
        <v>-23891</v>
      </c>
      <c r="F27" s="81"/>
      <c r="G27" s="63" t="n">
        <f aca="false">Expenses!C27+4619</f>
        <v>6077</v>
      </c>
      <c r="H27" s="63" t="n">
        <v>7894</v>
      </c>
      <c r="I27" s="63" t="n">
        <f aca="false">H27-G27</f>
        <v>1817</v>
      </c>
      <c r="J27" s="47"/>
      <c r="K27" s="63" t="n">
        <f aca="false">'Cap Charge'!C27+833</f>
        <v>1917</v>
      </c>
      <c r="L27" s="79" t="n">
        <v>3000</v>
      </c>
      <c r="M27" s="63" t="n">
        <f aca="false">L27-K27</f>
        <v>1083</v>
      </c>
      <c r="N27" s="77"/>
      <c r="O27" s="78" t="n">
        <f aca="false">C27-G27-K27</f>
        <v>31103</v>
      </c>
      <c r="P27" s="182" t="n">
        <f aca="false">D27-H27-L27</f>
        <v>52094</v>
      </c>
      <c r="Q27" s="180" t="n">
        <f aca="false">O27-P27</f>
        <v>-20991</v>
      </c>
    </row>
    <row r="28" customFormat="false" ht="12.75" hidden="false" customHeight="true" outlineLevel="0" collapsed="false">
      <c r="A28" s="46" t="s">
        <v>125</v>
      </c>
      <c r="B28" s="47"/>
      <c r="C28" s="179" t="n">
        <f aca="false">'YTD GrossMargin'!I28</f>
        <v>10500</v>
      </c>
      <c r="D28" s="179" t="n">
        <f aca="false">'YTD GrossMargin'!J28</f>
        <v>14000</v>
      </c>
      <c r="E28" s="114" t="n">
        <f aca="false">C28-D28</f>
        <v>-3500</v>
      </c>
      <c r="F28" s="81"/>
      <c r="G28" s="63" t="n">
        <f aca="false">Expenses!C28+Expenses!F28+170</f>
        <v>700</v>
      </c>
      <c r="H28" s="63" t="n">
        <v>2874</v>
      </c>
      <c r="I28" s="63" t="n">
        <f aca="false">H28-G28</f>
        <v>2174</v>
      </c>
      <c r="J28" s="47"/>
      <c r="K28" s="63" t="n">
        <f aca="false">'Cap Charge'!C28</f>
        <v>0</v>
      </c>
      <c r="L28" s="79" t="n">
        <f aca="false">'Cap Charge'!D28</f>
        <v>0</v>
      </c>
      <c r="M28" s="63" t="n">
        <f aca="false">L28-K28</f>
        <v>0</v>
      </c>
      <c r="N28" s="77"/>
      <c r="O28" s="78" t="n">
        <f aca="false">C28-G28-K28</f>
        <v>9800</v>
      </c>
      <c r="P28" s="182" t="n">
        <f aca="false">D28-H28-L28</f>
        <v>11126</v>
      </c>
      <c r="Q28" s="180" t="n">
        <f aca="false">O28-P28</f>
        <v>-1326</v>
      </c>
    </row>
    <row r="29" customFormat="false" ht="12.75" hidden="false" customHeight="true" outlineLevel="0" collapsed="false">
      <c r="A29" s="46" t="s">
        <v>126</v>
      </c>
      <c r="B29" s="47"/>
      <c r="C29" s="179" t="n">
        <f aca="false">'YTD GrossMargin'!I29</f>
        <v>53046</v>
      </c>
      <c r="D29" s="179" t="n">
        <f aca="false">'YTD GrossMargin'!J29</f>
        <v>46000</v>
      </c>
      <c r="E29" s="114" t="n">
        <f aca="false">C29-D29</f>
        <v>7046</v>
      </c>
      <c r="F29" s="81"/>
      <c r="G29" s="63" t="n">
        <f aca="false">Expenses!C29+Expenses!F29+1713</f>
        <v>3807</v>
      </c>
      <c r="H29" s="63" t="n">
        <v>5466</v>
      </c>
      <c r="I29" s="63" t="n">
        <f aca="false">H29-G29</f>
        <v>1659</v>
      </c>
      <c r="J29" s="47"/>
      <c r="K29" s="63" t="n">
        <f aca="false">'Cap Charge'!C29+4783</f>
        <v>6867</v>
      </c>
      <c r="L29" s="79" t="n">
        <v>9750</v>
      </c>
      <c r="M29" s="63" t="n">
        <f aca="false">L29-K29</f>
        <v>2883</v>
      </c>
      <c r="N29" s="77"/>
      <c r="O29" s="78" t="n">
        <f aca="false">C29-G29-K29</f>
        <v>42372</v>
      </c>
      <c r="P29" s="182" t="n">
        <f aca="false">D29-H29-L29</f>
        <v>30784</v>
      </c>
      <c r="Q29" s="180" t="n">
        <f aca="false">O29-P29</f>
        <v>11588</v>
      </c>
    </row>
    <row r="30" customFormat="false" ht="12.75" hidden="false" customHeight="true" outlineLevel="0" collapsed="false">
      <c r="A30" s="46" t="s">
        <v>128</v>
      </c>
      <c r="B30" s="47"/>
      <c r="C30" s="179" t="n">
        <f aca="false">'YTD GrossMargin'!I30</f>
        <v>0</v>
      </c>
      <c r="D30" s="179" t="n">
        <f aca="false">'YTD GrossMargin'!J30</f>
        <v>0</v>
      </c>
      <c r="E30" s="114" t="n">
        <f aca="false">C30-D30</f>
        <v>0</v>
      </c>
      <c r="F30" s="81"/>
      <c r="G30" s="63" t="n">
        <f aca="false">Expenses!C30+Expenses!F30+359</f>
        <v>632</v>
      </c>
      <c r="H30" s="63" t="n">
        <v>1080</v>
      </c>
      <c r="I30" s="63" t="n">
        <f aca="false">H30-G30</f>
        <v>448</v>
      </c>
      <c r="J30" s="47"/>
      <c r="K30" s="63" t="n">
        <f aca="false">'Cap Charge'!C30</f>
        <v>0</v>
      </c>
      <c r="L30" s="79" t="n">
        <f aca="false">'Cap Charge'!D30</f>
        <v>0</v>
      </c>
      <c r="M30" s="63" t="n">
        <f aca="false">L30-K30</f>
        <v>0</v>
      </c>
      <c r="N30" s="77"/>
      <c r="O30" s="78" t="n">
        <f aca="false">C30-G30-K30</f>
        <v>-632</v>
      </c>
      <c r="P30" s="182" t="n">
        <f aca="false">D30-H30-L30</f>
        <v>-1080</v>
      </c>
      <c r="Q30" s="180" t="n">
        <f aca="false">O30-P30</f>
        <v>448</v>
      </c>
    </row>
    <row r="31" customFormat="false" ht="12.75" hidden="false" customHeight="true" outlineLevel="0" collapsed="false">
      <c r="A31" s="101" t="s">
        <v>28</v>
      </c>
      <c r="B31" s="191"/>
      <c r="C31" s="210" t="n">
        <f aca="false">SUM(C24:C30)</f>
        <v>777216</v>
      </c>
      <c r="D31" s="192" t="n">
        <f aca="false">SUM(D24:D30)</f>
        <v>422988</v>
      </c>
      <c r="E31" s="194" t="n">
        <f aca="false">SUM(E24:E30)</f>
        <v>354228</v>
      </c>
      <c r="F31" s="383"/>
      <c r="G31" s="192" t="n">
        <f aca="false">SUM(G24:G30)</f>
        <v>24197</v>
      </c>
      <c r="H31" s="192" t="n">
        <f aca="false">SUM(H24:H30)</f>
        <v>29666</v>
      </c>
      <c r="I31" s="192" t="n">
        <f aca="false">SUM(I24:I30)</f>
        <v>5469</v>
      </c>
      <c r="J31" s="212"/>
      <c r="K31" s="192" t="n">
        <f aca="false">SUM(K24:K30)</f>
        <v>8784</v>
      </c>
      <c r="L31" s="192" t="n">
        <f aca="false">SUM(L24:L30)</f>
        <v>12750</v>
      </c>
      <c r="M31" s="192" t="n">
        <f aca="false">SUM(M24:M30)</f>
        <v>3966</v>
      </c>
      <c r="N31" s="213"/>
      <c r="O31" s="192" t="n">
        <f aca="false">SUM(O24:O30)</f>
        <v>744235</v>
      </c>
      <c r="P31" s="192" t="n">
        <f aca="false">SUM(P24:P30)</f>
        <v>380572</v>
      </c>
      <c r="Q31" s="194" t="n">
        <f aca="false">SUM(Q24:Q30)</f>
        <v>363663</v>
      </c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94"/>
      <c r="CH31" s="94"/>
      <c r="CI31" s="94"/>
      <c r="CJ31" s="94"/>
      <c r="CK31" s="94"/>
      <c r="CL31" s="94"/>
      <c r="CM31" s="94"/>
      <c r="CN31" s="94"/>
      <c r="CO31" s="94"/>
      <c r="CP31" s="94"/>
      <c r="CQ31" s="94"/>
      <c r="CR31" s="94"/>
      <c r="CS31" s="94"/>
      <c r="CT31" s="94"/>
      <c r="CU31" s="94"/>
      <c r="CV31" s="94"/>
      <c r="CW31" s="94"/>
      <c r="CX31" s="94"/>
      <c r="CY31" s="94"/>
      <c r="CZ31" s="94"/>
      <c r="DA31" s="94"/>
      <c r="DB31" s="94"/>
      <c r="DC31" s="94"/>
      <c r="DD31" s="94"/>
      <c r="DE31" s="94"/>
      <c r="DF31" s="94"/>
      <c r="DG31" s="94"/>
      <c r="DH31" s="94"/>
      <c r="DI31" s="94"/>
      <c r="DJ31" s="94"/>
      <c r="DK31" s="94"/>
      <c r="DL31" s="94"/>
      <c r="DM31" s="94"/>
      <c r="DN31" s="94"/>
      <c r="DO31" s="94"/>
      <c r="DP31" s="94"/>
      <c r="DQ31" s="94"/>
      <c r="DR31" s="94"/>
      <c r="DS31" s="94"/>
      <c r="DT31" s="94"/>
      <c r="DU31" s="94"/>
      <c r="DV31" s="94"/>
      <c r="DW31" s="94"/>
      <c r="DX31" s="94"/>
      <c r="DY31" s="94"/>
      <c r="DZ31" s="94"/>
      <c r="EA31" s="94"/>
      <c r="EB31" s="94"/>
      <c r="EC31" s="94"/>
      <c r="ED31" s="94"/>
      <c r="EE31" s="94"/>
      <c r="EF31" s="94"/>
      <c r="EG31" s="94"/>
      <c r="EH31" s="94"/>
      <c r="EI31" s="94"/>
      <c r="EJ31" s="94"/>
      <c r="EK31" s="94"/>
      <c r="EL31" s="94"/>
      <c r="EM31" s="94"/>
      <c r="EN31" s="94"/>
      <c r="EO31" s="94"/>
      <c r="EP31" s="94"/>
      <c r="EQ31" s="94"/>
      <c r="ER31" s="94"/>
      <c r="ES31" s="94"/>
      <c r="ET31" s="94"/>
      <c r="EU31" s="94"/>
      <c r="EV31" s="94"/>
      <c r="EW31" s="94"/>
      <c r="EX31" s="94"/>
      <c r="EY31" s="94"/>
      <c r="EZ31" s="94"/>
      <c r="FA31" s="94"/>
      <c r="FB31" s="94"/>
      <c r="FC31" s="94"/>
      <c r="FD31" s="94"/>
      <c r="FE31" s="94"/>
      <c r="FF31" s="94"/>
      <c r="FG31" s="94"/>
      <c r="FH31" s="94"/>
      <c r="FI31" s="94"/>
      <c r="FJ31" s="94"/>
      <c r="FK31" s="94"/>
      <c r="FL31" s="94"/>
      <c r="FM31" s="94"/>
      <c r="FN31" s="94"/>
      <c r="FO31" s="94"/>
      <c r="FP31" s="94"/>
      <c r="FQ31" s="94"/>
      <c r="FR31" s="94"/>
      <c r="FS31" s="94"/>
      <c r="FT31" s="94"/>
      <c r="FU31" s="94"/>
      <c r="FV31" s="94"/>
      <c r="FW31" s="94"/>
      <c r="FX31" s="94"/>
      <c r="FY31" s="94"/>
      <c r="FZ31" s="94"/>
      <c r="GA31" s="94"/>
      <c r="GB31" s="94"/>
      <c r="GC31" s="94"/>
      <c r="GD31" s="94"/>
      <c r="GE31" s="94"/>
      <c r="GF31" s="94"/>
      <c r="GG31" s="94"/>
      <c r="GH31" s="94"/>
      <c r="GI31" s="94"/>
      <c r="GJ31" s="94"/>
      <c r="GK31" s="94"/>
      <c r="GL31" s="94"/>
      <c r="GM31" s="94"/>
      <c r="GN31" s="94"/>
      <c r="GO31" s="94"/>
      <c r="GP31" s="94"/>
      <c r="GQ31" s="94"/>
      <c r="GR31" s="94"/>
      <c r="GS31" s="94"/>
      <c r="GT31" s="94"/>
      <c r="GU31" s="94"/>
      <c r="GV31" s="94"/>
      <c r="GW31" s="94"/>
      <c r="GX31" s="94"/>
      <c r="GY31" s="94"/>
      <c r="GZ31" s="94"/>
      <c r="HA31" s="94"/>
      <c r="HB31" s="94"/>
      <c r="HC31" s="94"/>
      <c r="HD31" s="94"/>
      <c r="HE31" s="94"/>
      <c r="HF31" s="94"/>
      <c r="HG31" s="94"/>
      <c r="HH31" s="94"/>
      <c r="HI31" s="94"/>
      <c r="HJ31" s="94"/>
      <c r="HK31" s="94"/>
      <c r="HL31" s="94"/>
      <c r="HM31" s="94"/>
      <c r="HN31" s="94"/>
      <c r="HO31" s="94"/>
      <c r="HP31" s="94"/>
      <c r="HQ31" s="94"/>
      <c r="HR31" s="94"/>
      <c r="HS31" s="94"/>
      <c r="HT31" s="94"/>
      <c r="HU31" s="94"/>
      <c r="HV31" s="94"/>
      <c r="HW31" s="94"/>
      <c r="HX31" s="94"/>
      <c r="HY31" s="94"/>
      <c r="HZ31" s="94"/>
      <c r="IA31" s="94"/>
      <c r="IB31" s="94"/>
      <c r="IC31" s="94"/>
      <c r="ID31" s="94"/>
      <c r="IE31" s="94"/>
      <c r="IF31" s="94"/>
      <c r="IG31" s="94"/>
      <c r="IH31" s="94"/>
      <c r="II31" s="94"/>
      <c r="IJ31" s="94"/>
      <c r="IK31" s="94"/>
      <c r="IL31" s="94"/>
      <c r="IM31" s="94"/>
      <c r="IN31" s="94"/>
      <c r="IO31" s="94"/>
      <c r="IP31" s="94"/>
      <c r="IQ31" s="94"/>
      <c r="IR31" s="94"/>
      <c r="IS31" s="94"/>
      <c r="IT31" s="94"/>
      <c r="IU31" s="94"/>
      <c r="IV31" s="94"/>
      <c r="IW31" s="94"/>
    </row>
    <row r="32" customFormat="false" ht="12.75" hidden="false" customHeight="true" outlineLevel="0" collapsed="false">
      <c r="A32" s="46" t="str">
        <f aca="false">'QTD Mgmt Summary'!A32</f>
        <v>East Trading (Neal)</v>
      </c>
      <c r="B32" s="33"/>
      <c r="C32" s="179" t="n">
        <f aca="false">'YTD GrossMargin'!I32</f>
        <v>14564</v>
      </c>
      <c r="D32" s="179" t="n">
        <f aca="false">'YTD GrossMargin'!J32</f>
        <v>60000</v>
      </c>
      <c r="E32" s="180" t="n">
        <f aca="false">C32-D32</f>
        <v>-45436</v>
      </c>
      <c r="F32" s="81"/>
      <c r="G32" s="63" t="n">
        <f aca="false">Expenses!C32+6824</f>
        <v>8726</v>
      </c>
      <c r="H32" s="63" t="n">
        <v>7663</v>
      </c>
      <c r="I32" s="203" t="n">
        <f aca="false">H32-G32</f>
        <v>-1063</v>
      </c>
      <c r="J32" s="47"/>
      <c r="K32" s="63" t="n">
        <f aca="false">'Cap Charge'!C32+1375</f>
        <v>2120</v>
      </c>
      <c r="L32" s="79" t="n">
        <v>6290</v>
      </c>
      <c r="M32" s="203" t="n">
        <f aca="false">L32-K32</f>
        <v>4170</v>
      </c>
      <c r="N32" s="77"/>
      <c r="O32" s="78" t="n">
        <f aca="false">C32-G32-K32</f>
        <v>3718</v>
      </c>
      <c r="P32" s="79" t="n">
        <f aca="false">D32-H32-L32</f>
        <v>46047</v>
      </c>
      <c r="Q32" s="203" t="n">
        <f aca="false">O32-P32</f>
        <v>-42329</v>
      </c>
    </row>
    <row r="33" customFormat="false" ht="12.75" hidden="false" customHeight="true" outlineLevel="0" collapsed="false">
      <c r="A33" s="46" t="str">
        <f aca="false">'QTD Mgmt Summary'!A33</f>
        <v>East Origination (Vickors)</v>
      </c>
      <c r="B33" s="33"/>
      <c r="C33" s="179" t="n">
        <f aca="false">'YTD GrossMargin'!I33</f>
        <v>9003</v>
      </c>
      <c r="D33" s="179" t="n">
        <f aca="false">'YTD GrossMargin'!J33</f>
        <v>20000</v>
      </c>
      <c r="E33" s="180" t="n">
        <f aca="false">C33-D33</f>
        <v>-10997</v>
      </c>
      <c r="F33" s="81"/>
      <c r="G33" s="63" t="n">
        <f aca="false">Expenses!C33+1692</f>
        <v>2668</v>
      </c>
      <c r="H33" s="63" t="n">
        <v>3959</v>
      </c>
      <c r="I33" s="203" t="n">
        <f aca="false">H33-G33</f>
        <v>1291</v>
      </c>
      <c r="J33" s="47"/>
      <c r="K33" s="63" t="n">
        <f aca="false">'Cap Charge'!C33</f>
        <v>0</v>
      </c>
      <c r="L33" s="79" t="n">
        <f aca="false">'Cap Charge'!D33</f>
        <v>0</v>
      </c>
      <c r="M33" s="203" t="n">
        <f aca="false">L33-K33</f>
        <v>0</v>
      </c>
      <c r="N33" s="77"/>
      <c r="O33" s="78" t="n">
        <f aca="false">C33-G33-K33</f>
        <v>6335</v>
      </c>
      <c r="P33" s="79" t="n">
        <f aca="false">D33-H33-L33</f>
        <v>16041</v>
      </c>
      <c r="Q33" s="203" t="n">
        <f aca="false">O33-P33</f>
        <v>-9706</v>
      </c>
    </row>
    <row r="34" customFormat="false" ht="12.75" hidden="false" customHeight="true" outlineLevel="0" collapsed="false">
      <c r="A34" s="46" t="str">
        <f aca="false">'QTD Mgmt Summary'!A34</f>
        <v>Central Trading (Shively)</v>
      </c>
      <c r="B34" s="33"/>
      <c r="C34" s="179" t="n">
        <f aca="false">'YTD GrossMargin'!I34</f>
        <v>163815</v>
      </c>
      <c r="D34" s="179" t="n">
        <f aca="false">'YTD GrossMargin'!J34</f>
        <v>63000</v>
      </c>
      <c r="E34" s="180" t="n">
        <f aca="false">C34-D34</f>
        <v>100815</v>
      </c>
      <c r="F34" s="81"/>
      <c r="G34" s="63" t="n">
        <f aca="false">Expenses!C34+3818</f>
        <v>5458</v>
      </c>
      <c r="H34" s="63" t="n">
        <v>6667</v>
      </c>
      <c r="I34" s="203" t="n">
        <f aca="false">H34-G34</f>
        <v>1209</v>
      </c>
      <c r="J34" s="47"/>
      <c r="K34" s="63" t="n">
        <f aca="false">'Cap Charge'!C34+659</f>
        <v>1506</v>
      </c>
      <c r="L34" s="79" t="n">
        <v>575</v>
      </c>
      <c r="M34" s="203" t="n">
        <f aca="false">L34-K34</f>
        <v>-931</v>
      </c>
      <c r="N34" s="77"/>
      <c r="O34" s="78" t="n">
        <f aca="false">C34-G34-K34</f>
        <v>156851</v>
      </c>
      <c r="P34" s="79" t="n">
        <f aca="false">D34-H34-L34</f>
        <v>55758</v>
      </c>
      <c r="Q34" s="203" t="n">
        <f aca="false">O34-P34</f>
        <v>101093</v>
      </c>
    </row>
    <row r="35" customFormat="false" ht="12.75" hidden="false" customHeight="true" outlineLevel="0" collapsed="false">
      <c r="A35" s="46" t="str">
        <f aca="false">'QTD Mgmt Summary'!A35</f>
        <v>Central Origination (Luce)</v>
      </c>
      <c r="B35" s="33"/>
      <c r="C35" s="179" t="n">
        <f aca="false">'YTD GrossMargin'!I35</f>
        <v>2511</v>
      </c>
      <c r="D35" s="179" t="n">
        <f aca="false">'YTD GrossMargin'!J35</f>
        <v>17000</v>
      </c>
      <c r="E35" s="180" t="n">
        <f aca="false">C35-D35</f>
        <v>-14489</v>
      </c>
      <c r="F35" s="81"/>
      <c r="G35" s="63" t="n">
        <f aca="false">Expenses!C35+1267</f>
        <v>2080</v>
      </c>
      <c r="H35" s="63" t="n">
        <v>3415</v>
      </c>
      <c r="I35" s="203" t="n">
        <f aca="false">H35-G35</f>
        <v>1335</v>
      </c>
      <c r="J35" s="47"/>
      <c r="K35" s="63" t="n">
        <f aca="false">'Cap Charge'!C35</f>
        <v>0</v>
      </c>
      <c r="L35" s="79" t="n">
        <f aca="false">'Cap Charge'!D35</f>
        <v>0</v>
      </c>
      <c r="M35" s="203" t="n">
        <f aca="false">L35-K35</f>
        <v>0</v>
      </c>
      <c r="N35" s="77"/>
      <c r="O35" s="78" t="n">
        <f aca="false">C35-G35-K35</f>
        <v>431</v>
      </c>
      <c r="P35" s="79" t="n">
        <f aca="false">D35-H35-L35</f>
        <v>13585</v>
      </c>
      <c r="Q35" s="203" t="n">
        <f aca="false">O35-P35</f>
        <v>-13154</v>
      </c>
    </row>
    <row r="36" customFormat="false" ht="12.75" hidden="false" customHeight="true" outlineLevel="0" collapsed="false">
      <c r="A36" s="46" t="str">
        <f aca="false">'QTD Mgmt Summary'!A36</f>
        <v>Texas Trading (Martin)</v>
      </c>
      <c r="B36" s="33"/>
      <c r="C36" s="179" t="n">
        <f aca="false">'YTD GrossMargin'!I36</f>
        <v>127107</v>
      </c>
      <c r="D36" s="179" t="n">
        <f aca="false">'YTD GrossMargin'!J36</f>
        <v>40000</v>
      </c>
      <c r="E36" s="180" t="n">
        <f aca="false">C36-D36</f>
        <v>87107</v>
      </c>
      <c r="F36" s="81"/>
      <c r="G36" s="63" t="n">
        <f aca="false">Expenses!C36+2061</f>
        <v>3143</v>
      </c>
      <c r="H36" s="63" t="n">
        <v>4901</v>
      </c>
      <c r="I36" s="203" t="n">
        <f aca="false">H36-G36</f>
        <v>1758</v>
      </c>
      <c r="J36" s="47"/>
      <c r="K36" s="63" t="n">
        <f aca="false">'Cap Charge'!C36</f>
        <v>0</v>
      </c>
      <c r="L36" s="79" t="n">
        <f aca="false">'Cap Charge'!D36</f>
        <v>0</v>
      </c>
      <c r="M36" s="203" t="n">
        <f aca="false">L36-K36</f>
        <v>0</v>
      </c>
      <c r="N36" s="77"/>
      <c r="O36" s="78" t="n">
        <f aca="false">C36-G36-K36</f>
        <v>123964</v>
      </c>
      <c r="P36" s="79" t="n">
        <f aca="false">D36-H36-L36</f>
        <v>35099</v>
      </c>
      <c r="Q36" s="203" t="n">
        <f aca="false">O36-P36</f>
        <v>88865</v>
      </c>
    </row>
    <row r="37" customFormat="false" ht="12.75" hidden="false" customHeight="true" outlineLevel="0" collapsed="false">
      <c r="A37" s="46" t="str">
        <f aca="false">'QTD Mgmt Summary'!A37</f>
        <v>Texas Origination (Redmond)</v>
      </c>
      <c r="B37" s="33"/>
      <c r="C37" s="179" t="n">
        <f aca="false">'YTD GrossMargin'!I37</f>
        <v>0</v>
      </c>
      <c r="D37" s="179" t="n">
        <f aca="false">'YTD GrossMargin'!J37</f>
        <v>0</v>
      </c>
      <c r="E37" s="180" t="n">
        <f aca="false">C37-D37</f>
        <v>0</v>
      </c>
      <c r="F37" s="81"/>
      <c r="G37" s="63" t="n">
        <f aca="false">Expenses!C37</f>
        <v>0</v>
      </c>
      <c r="H37" s="63" t="n">
        <f aca="false">Expenses!D37</f>
        <v>0</v>
      </c>
      <c r="I37" s="203" t="n">
        <f aca="false">H37-G37</f>
        <v>0</v>
      </c>
      <c r="J37" s="47"/>
      <c r="K37" s="63" t="n">
        <f aca="false">'Cap Charge'!C37</f>
        <v>0</v>
      </c>
      <c r="L37" s="79" t="n">
        <f aca="false">'Cap Charge'!D37</f>
        <v>0</v>
      </c>
      <c r="M37" s="203" t="n">
        <f aca="false">L37-K37</f>
        <v>0</v>
      </c>
      <c r="N37" s="77"/>
      <c r="O37" s="78" t="n">
        <f aca="false">C37-G37-K37</f>
        <v>0</v>
      </c>
      <c r="P37" s="79" t="n">
        <f aca="false">D37-H37-L37</f>
        <v>0</v>
      </c>
      <c r="Q37" s="203" t="n">
        <f aca="false">O37-P37</f>
        <v>0</v>
      </c>
    </row>
    <row r="38" customFormat="false" ht="12.75" hidden="false" customHeight="true" outlineLevel="0" collapsed="false">
      <c r="A38" s="46" t="str">
        <f aca="false">'QTD Mgmt Summary'!A38</f>
        <v>West Trading (Allen)</v>
      </c>
      <c r="B38" s="33"/>
      <c r="C38" s="179" t="n">
        <f aca="false">'YTD GrossMargin'!I38</f>
        <v>-114147</v>
      </c>
      <c r="D38" s="179" t="n">
        <f aca="false">'YTD GrossMargin'!J38</f>
        <v>20000</v>
      </c>
      <c r="E38" s="180" t="n">
        <f aca="false">C38-D38</f>
        <v>-134147</v>
      </c>
      <c r="F38" s="81"/>
      <c r="G38" s="63" t="n">
        <f aca="false">Expenses!C38+2464</f>
        <v>3570</v>
      </c>
      <c r="H38" s="63" t="n">
        <v>4485</v>
      </c>
      <c r="I38" s="203" t="n">
        <f aca="false">H38-G38</f>
        <v>915</v>
      </c>
      <c r="J38" s="47"/>
      <c r="K38" s="63" t="n">
        <f aca="false">'Cap Charge'!C38</f>
        <v>0</v>
      </c>
      <c r="L38" s="79" t="n">
        <f aca="false">'Cap Charge'!D38</f>
        <v>0</v>
      </c>
      <c r="M38" s="203" t="n">
        <f aca="false">L38-K38</f>
        <v>0</v>
      </c>
      <c r="N38" s="77"/>
      <c r="O38" s="78" t="n">
        <f aca="false">C38-G38-K38</f>
        <v>-117717</v>
      </c>
      <c r="P38" s="79" t="n">
        <f aca="false">D38-H38-L38</f>
        <v>15515</v>
      </c>
      <c r="Q38" s="203" t="n">
        <f aca="false">O38-P38</f>
        <v>-133232</v>
      </c>
    </row>
    <row r="39" customFormat="false" ht="12.75" hidden="false" customHeight="true" outlineLevel="0" collapsed="false">
      <c r="A39" s="46" t="str">
        <f aca="false">'QTD Mgmt Summary'!A39</f>
        <v>West Origination (Tycholiz)</v>
      </c>
      <c r="B39" s="33"/>
      <c r="C39" s="179" t="n">
        <f aca="false">'YTD GrossMargin'!I39</f>
        <v>43807</v>
      </c>
      <c r="D39" s="179" t="n">
        <f aca="false">'YTD GrossMargin'!J39</f>
        <v>106000</v>
      </c>
      <c r="E39" s="180" t="n">
        <f aca="false">C39-D39</f>
        <v>-62193</v>
      </c>
      <c r="F39" s="81"/>
      <c r="G39" s="63" t="n">
        <f aca="false">Expenses!C39+1962</f>
        <v>2586</v>
      </c>
      <c r="H39" s="63" t="n">
        <v>2699</v>
      </c>
      <c r="I39" s="203" t="n">
        <f aca="false">H39-G39</f>
        <v>113</v>
      </c>
      <c r="J39" s="47"/>
      <c r="K39" s="63" t="n">
        <f aca="false">'Cap Charge'!C39</f>
        <v>0</v>
      </c>
      <c r="L39" s="79" t="n">
        <f aca="false">'Cap Charge'!D39</f>
        <v>0</v>
      </c>
      <c r="M39" s="203" t="n">
        <f aca="false">L39-K39</f>
        <v>0</v>
      </c>
      <c r="N39" s="77"/>
      <c r="O39" s="78" t="n">
        <f aca="false">C39-G39-K39</f>
        <v>41221</v>
      </c>
      <c r="P39" s="79" t="n">
        <f aca="false">D39-H39-L39</f>
        <v>103301</v>
      </c>
      <c r="Q39" s="203" t="n">
        <f aca="false">O39-P39</f>
        <v>-62080</v>
      </c>
    </row>
    <row r="40" customFormat="false" ht="12.75" hidden="false" customHeight="true" outlineLevel="0" collapsed="false">
      <c r="A40" s="46" t="str">
        <f aca="false">'QTD Mgmt Summary'!A40</f>
        <v>Financial Gas (Arnold)</v>
      </c>
      <c r="B40" s="33"/>
      <c r="C40" s="179" t="n">
        <f aca="false">'YTD GrossMargin'!I40</f>
        <v>678345</v>
      </c>
      <c r="D40" s="179" t="n">
        <f aca="false">'YTD GrossMargin'!J40</f>
        <v>125000</v>
      </c>
      <c r="E40" s="180" t="n">
        <f aca="false">C40-D40</f>
        <v>553345</v>
      </c>
      <c r="F40" s="81"/>
      <c r="G40" s="63" t="n">
        <f aca="false">Expenses!C40+923</f>
        <v>1325</v>
      </c>
      <c r="H40" s="63" t="n">
        <v>1653</v>
      </c>
      <c r="I40" s="203" t="n">
        <f aca="false">H40-G40</f>
        <v>328</v>
      </c>
      <c r="J40" s="47"/>
      <c r="K40" s="63" t="n">
        <f aca="false">'Cap Charge'!C40</f>
        <v>0</v>
      </c>
      <c r="L40" s="79" t="n">
        <f aca="false">'Cap Charge'!D40</f>
        <v>0</v>
      </c>
      <c r="M40" s="203" t="n">
        <f aca="false">L40-K40</f>
        <v>0</v>
      </c>
      <c r="N40" s="77"/>
      <c r="O40" s="78" t="n">
        <f aca="false">C40-G40-K40</f>
        <v>677020</v>
      </c>
      <c r="P40" s="79" t="n">
        <f aca="false">D40-H40-L40</f>
        <v>123347</v>
      </c>
      <c r="Q40" s="203" t="n">
        <f aca="false">O40-P40</f>
        <v>553673</v>
      </c>
    </row>
    <row r="41" customFormat="false" ht="12.75" hidden="false" customHeight="true" outlineLevel="0" collapsed="false">
      <c r="A41" s="46" t="str">
        <f aca="false">'QTD Mgmt Summary'!A41</f>
        <v>Derivative (Lagrasta)</v>
      </c>
      <c r="B41" s="33"/>
      <c r="C41" s="179" t="n">
        <f aca="false">'YTD GrossMargin'!I41</f>
        <v>23366</v>
      </c>
      <c r="D41" s="179" t="n">
        <f aca="false">'YTD GrossMargin'!J41</f>
        <v>25000</v>
      </c>
      <c r="E41" s="180" t="n">
        <f aca="false">C41-D41</f>
        <v>-1634</v>
      </c>
      <c r="F41" s="81"/>
      <c r="G41" s="63" t="n">
        <f aca="false">Expenses!C41+2073</f>
        <v>3157</v>
      </c>
      <c r="H41" s="63" t="n">
        <v>4402</v>
      </c>
      <c r="I41" s="203" t="n">
        <f aca="false">H41-G41</f>
        <v>1245</v>
      </c>
      <c r="J41" s="47"/>
      <c r="K41" s="63" t="n">
        <f aca="false">'Cap Charge'!C41</f>
        <v>0</v>
      </c>
      <c r="L41" s="79" t="n">
        <f aca="false">'Cap Charge'!D41</f>
        <v>0</v>
      </c>
      <c r="M41" s="203" t="n">
        <f aca="false">L41-K41</f>
        <v>0</v>
      </c>
      <c r="N41" s="77"/>
      <c r="O41" s="78" t="n">
        <f aca="false">C41-G41-K41</f>
        <v>20209</v>
      </c>
      <c r="P41" s="79" t="n">
        <f aca="false">D41-H41-L41</f>
        <v>20598</v>
      </c>
      <c r="Q41" s="203" t="n">
        <f aca="false">O41-P41</f>
        <v>-389</v>
      </c>
    </row>
    <row r="42" customFormat="false" ht="12.75" hidden="false" customHeight="true" outlineLevel="0" collapsed="false">
      <c r="A42" s="46" t="str">
        <f aca="false">'QTD Mgmt Summary'!A42</f>
        <v>NG Structuring (McMichael)</v>
      </c>
      <c r="B42" s="33"/>
      <c r="C42" s="179" t="n">
        <f aca="false">'YTD GrossMargin'!I42</f>
        <v>0</v>
      </c>
      <c r="D42" s="179" t="n">
        <f aca="false">'YTD GrossMargin'!J42</f>
        <v>0</v>
      </c>
      <c r="E42" s="180" t="n">
        <f aca="false">C42-D42</f>
        <v>0</v>
      </c>
      <c r="F42" s="81"/>
      <c r="G42" s="63" t="n">
        <f aca="false">Expenses!C42+886</f>
        <v>1620</v>
      </c>
      <c r="H42" s="63" t="n">
        <v>2738</v>
      </c>
      <c r="I42" s="203" t="n">
        <f aca="false">H42-G42</f>
        <v>1118</v>
      </c>
      <c r="J42" s="47"/>
      <c r="K42" s="63" t="n">
        <f aca="false">'Cap Charge'!C42</f>
        <v>0</v>
      </c>
      <c r="L42" s="79" t="n">
        <f aca="false">'Cap Charge'!D42</f>
        <v>0</v>
      </c>
      <c r="M42" s="203" t="n">
        <f aca="false">L42-K42</f>
        <v>0</v>
      </c>
      <c r="N42" s="77"/>
      <c r="O42" s="78" t="n">
        <f aca="false">C42-G42-K42</f>
        <v>-1620</v>
      </c>
      <c r="P42" s="79" t="n">
        <f aca="false">D42-H42-L42</f>
        <v>-2738</v>
      </c>
      <c r="Q42" s="203" t="n">
        <f aca="false">O42-P42</f>
        <v>1118</v>
      </c>
    </row>
    <row r="43" customFormat="false" ht="12.75" hidden="false" customHeight="true" outlineLevel="0" collapsed="false">
      <c r="A43" s="46" t="str">
        <f aca="false">'QTD Mgmt Summary'!A43</f>
        <v>NG Fundamentals (Gaskill)</v>
      </c>
      <c r="B43" s="33"/>
      <c r="C43" s="179" t="n">
        <f aca="false">'YTD GrossMargin'!I43</f>
        <v>0</v>
      </c>
      <c r="D43" s="179" t="n">
        <f aca="false">'YTD GrossMargin'!J43</f>
        <v>0</v>
      </c>
      <c r="E43" s="180" t="n">
        <f aca="false">C43-D43</f>
        <v>0</v>
      </c>
      <c r="F43" s="81"/>
      <c r="G43" s="63" t="n">
        <f aca="false">Expenses!C43+799</f>
        <v>1307</v>
      </c>
      <c r="H43" s="63" t="n">
        <v>2091</v>
      </c>
      <c r="I43" s="203" t="n">
        <f aca="false">H43-G43</f>
        <v>784</v>
      </c>
      <c r="J43" s="47"/>
      <c r="K43" s="63" t="n">
        <f aca="false">'Cap Charge'!C43</f>
        <v>0</v>
      </c>
      <c r="L43" s="79" t="n">
        <f aca="false">'Cap Charge'!D43</f>
        <v>0</v>
      </c>
      <c r="M43" s="203" t="n">
        <f aca="false">L43-K43</f>
        <v>0</v>
      </c>
      <c r="N43" s="77"/>
      <c r="O43" s="78" t="n">
        <f aca="false">C43-G43-K43</f>
        <v>-1307</v>
      </c>
      <c r="P43" s="79" t="n">
        <f aca="false">D43-H43-L43</f>
        <v>-2091</v>
      </c>
      <c r="Q43" s="203" t="n">
        <f aca="false">O43-P43</f>
        <v>784</v>
      </c>
    </row>
    <row r="44" customFormat="false" ht="12.75" hidden="false" customHeight="true" outlineLevel="0" collapsed="false">
      <c r="A44" s="46" t="str">
        <f aca="false">'QTD Mgmt Summary'!A44</f>
        <v>Management</v>
      </c>
      <c r="B44" s="33"/>
      <c r="C44" s="179" t="n">
        <f aca="false">'YTD GrossMargin'!I44</f>
        <v>-247000</v>
      </c>
      <c r="D44" s="179" t="n">
        <f aca="false">'YTD GrossMargin'!J44</f>
        <v>0</v>
      </c>
      <c r="E44" s="180" t="n">
        <f aca="false">C44-D44</f>
        <v>-247000</v>
      </c>
      <c r="F44" s="81"/>
      <c r="G44" s="63" t="n">
        <f aca="false">Expenses!C44</f>
        <v>0</v>
      </c>
      <c r="H44" s="63" t="n">
        <f aca="false">Expenses!D44</f>
        <v>0</v>
      </c>
      <c r="I44" s="203" t="n">
        <f aca="false">H44-G44</f>
        <v>0</v>
      </c>
      <c r="J44" s="47"/>
      <c r="K44" s="63" t="n">
        <f aca="false">'Cap Charge'!C44</f>
        <v>0</v>
      </c>
      <c r="L44" s="79" t="n">
        <f aca="false">'Cap Charge'!D44</f>
        <v>0</v>
      </c>
      <c r="M44" s="203" t="n">
        <f aca="false">L44-K44</f>
        <v>0</v>
      </c>
      <c r="N44" s="77"/>
      <c r="O44" s="78" t="n">
        <f aca="false">C44-G44-K44</f>
        <v>-247000</v>
      </c>
      <c r="P44" s="79" t="n">
        <f aca="false">D44-H44-L44</f>
        <v>0</v>
      </c>
      <c r="Q44" s="203" t="n">
        <f aca="false">O44-P44</f>
        <v>-247000</v>
      </c>
    </row>
    <row r="45" customFormat="false" ht="12.75" hidden="false" customHeight="true" outlineLevel="0" collapsed="false">
      <c r="A45" s="101" t="s">
        <v>38</v>
      </c>
      <c r="B45" s="191"/>
      <c r="C45" s="223" t="n">
        <f aca="false">SUM(C32:C44)</f>
        <v>701371</v>
      </c>
      <c r="D45" s="384" t="n">
        <f aca="false">SUM(D32:D44)</f>
        <v>476000</v>
      </c>
      <c r="E45" s="310" t="n">
        <f aca="false">SUM(E32:E44)</f>
        <v>225371</v>
      </c>
      <c r="F45" s="106"/>
      <c r="G45" s="219" t="n">
        <f aca="false">SUM(G32:G44)</f>
        <v>35640</v>
      </c>
      <c r="H45" s="219" t="n">
        <f aca="false">SUM(H32:H44)</f>
        <v>44673</v>
      </c>
      <c r="I45" s="219" t="n">
        <f aca="false">SUM(I32:I44)</f>
        <v>9033</v>
      </c>
      <c r="J45" s="220"/>
      <c r="K45" s="219" t="n">
        <f aca="false">SUM(K32:K44)</f>
        <v>3626</v>
      </c>
      <c r="L45" s="219" t="n">
        <f aca="false">SUM(L32:L44)</f>
        <v>6865</v>
      </c>
      <c r="M45" s="219" t="n">
        <f aca="false">SUM(M32:M44)</f>
        <v>3239</v>
      </c>
      <c r="N45" s="111"/>
      <c r="O45" s="219" t="n">
        <f aca="false">SUM(O32:O44)</f>
        <v>662105</v>
      </c>
      <c r="P45" s="219" t="n">
        <f aca="false">SUM(P32:P44)</f>
        <v>424462</v>
      </c>
      <c r="Q45" s="197" t="n">
        <f aca="false">SUM(Q32:Q44)</f>
        <v>237643</v>
      </c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94"/>
      <c r="CD45" s="94"/>
      <c r="CE45" s="94"/>
      <c r="CF45" s="94"/>
      <c r="CG45" s="94"/>
      <c r="CH45" s="94"/>
      <c r="CI45" s="94"/>
      <c r="CJ45" s="94"/>
      <c r="CK45" s="94"/>
      <c r="CL45" s="94"/>
      <c r="CM45" s="94"/>
      <c r="CN45" s="94"/>
      <c r="CO45" s="94"/>
      <c r="CP45" s="94"/>
      <c r="CQ45" s="94"/>
      <c r="CR45" s="94"/>
      <c r="CS45" s="94"/>
      <c r="CT45" s="94"/>
      <c r="CU45" s="94"/>
      <c r="CV45" s="94"/>
      <c r="CW45" s="94"/>
      <c r="CX45" s="94"/>
      <c r="CY45" s="94"/>
      <c r="CZ45" s="94"/>
      <c r="DA45" s="94"/>
      <c r="DB45" s="94"/>
      <c r="DC45" s="94"/>
      <c r="DD45" s="94"/>
      <c r="DE45" s="94"/>
      <c r="DF45" s="94"/>
      <c r="DG45" s="94"/>
      <c r="DH45" s="94"/>
      <c r="DI45" s="94"/>
      <c r="DJ45" s="94"/>
      <c r="DK45" s="94"/>
      <c r="DL45" s="94"/>
      <c r="DM45" s="94"/>
      <c r="DN45" s="94"/>
      <c r="DO45" s="94"/>
      <c r="DP45" s="94"/>
      <c r="DQ45" s="94"/>
      <c r="DR45" s="94"/>
      <c r="DS45" s="94"/>
      <c r="DT45" s="94"/>
      <c r="DU45" s="94"/>
      <c r="DV45" s="94"/>
      <c r="DW45" s="94"/>
      <c r="DX45" s="94"/>
      <c r="DY45" s="94"/>
      <c r="DZ45" s="94"/>
      <c r="EA45" s="94"/>
      <c r="EB45" s="94"/>
      <c r="EC45" s="94"/>
      <c r="ED45" s="94"/>
      <c r="EE45" s="94"/>
      <c r="EF45" s="94"/>
      <c r="EG45" s="94"/>
      <c r="EH45" s="94"/>
      <c r="EI45" s="94"/>
      <c r="EJ45" s="94"/>
      <c r="EK45" s="94"/>
      <c r="EL45" s="94"/>
      <c r="EM45" s="94"/>
      <c r="EN45" s="94"/>
      <c r="EO45" s="94"/>
      <c r="EP45" s="94"/>
      <c r="EQ45" s="94"/>
      <c r="ER45" s="94"/>
      <c r="ES45" s="94"/>
      <c r="ET45" s="94"/>
      <c r="EU45" s="94"/>
      <c r="EV45" s="94"/>
      <c r="EW45" s="94"/>
      <c r="EX45" s="94"/>
      <c r="EY45" s="94"/>
      <c r="EZ45" s="94"/>
      <c r="FA45" s="94"/>
      <c r="FB45" s="94"/>
      <c r="FC45" s="94"/>
      <c r="FD45" s="94"/>
      <c r="FE45" s="94"/>
      <c r="FF45" s="94"/>
      <c r="FG45" s="94"/>
      <c r="FH45" s="94"/>
      <c r="FI45" s="94"/>
      <c r="FJ45" s="94"/>
      <c r="FK45" s="94"/>
      <c r="FL45" s="94"/>
      <c r="FM45" s="94"/>
      <c r="FN45" s="94"/>
      <c r="FO45" s="94"/>
      <c r="FP45" s="94"/>
      <c r="FQ45" s="94"/>
      <c r="FR45" s="94"/>
      <c r="FS45" s="94"/>
      <c r="FT45" s="94"/>
      <c r="FU45" s="94"/>
      <c r="FV45" s="94"/>
      <c r="FW45" s="94"/>
      <c r="FX45" s="94"/>
      <c r="FY45" s="94"/>
      <c r="FZ45" s="94"/>
      <c r="GA45" s="94"/>
      <c r="GB45" s="94"/>
      <c r="GC45" s="94"/>
      <c r="GD45" s="94"/>
      <c r="GE45" s="94"/>
      <c r="GF45" s="94"/>
      <c r="GG45" s="94"/>
      <c r="GH45" s="94"/>
      <c r="GI45" s="94"/>
      <c r="GJ45" s="94"/>
      <c r="GK45" s="94"/>
      <c r="GL45" s="94"/>
      <c r="GM45" s="94"/>
      <c r="GN45" s="94"/>
      <c r="GO45" s="94"/>
      <c r="GP45" s="94"/>
      <c r="GQ45" s="94"/>
      <c r="GR45" s="94"/>
      <c r="GS45" s="94"/>
      <c r="GT45" s="94"/>
      <c r="GU45" s="94"/>
      <c r="GV45" s="94"/>
      <c r="GW45" s="94"/>
      <c r="GX45" s="94"/>
      <c r="GY45" s="94"/>
      <c r="GZ45" s="94"/>
      <c r="HA45" s="94"/>
      <c r="HB45" s="94"/>
      <c r="HC45" s="94"/>
      <c r="HD45" s="94"/>
      <c r="HE45" s="94"/>
      <c r="HF45" s="94"/>
      <c r="HG45" s="94"/>
      <c r="HH45" s="94"/>
      <c r="HI45" s="94"/>
      <c r="HJ45" s="94"/>
      <c r="HK45" s="94"/>
      <c r="HL45" s="94"/>
      <c r="HM45" s="94"/>
      <c r="HN45" s="94"/>
      <c r="HO45" s="94"/>
      <c r="HP45" s="94"/>
      <c r="HQ45" s="94"/>
      <c r="HR45" s="94"/>
      <c r="HS45" s="94"/>
      <c r="HT45" s="94"/>
      <c r="HU45" s="94"/>
      <c r="HV45" s="94"/>
      <c r="HW45" s="94"/>
      <c r="HX45" s="94"/>
      <c r="HY45" s="94"/>
      <c r="HZ45" s="94"/>
      <c r="IA45" s="94"/>
      <c r="IB45" s="94"/>
      <c r="IC45" s="94"/>
      <c r="ID45" s="94"/>
      <c r="IE45" s="94"/>
      <c r="IF45" s="94"/>
      <c r="IG45" s="94"/>
      <c r="IH45" s="94"/>
      <c r="II45" s="94"/>
      <c r="IJ45" s="94"/>
      <c r="IK45" s="94"/>
      <c r="IL45" s="94"/>
      <c r="IM45" s="94"/>
      <c r="IN45" s="94"/>
      <c r="IO45" s="94"/>
      <c r="IP45" s="94"/>
      <c r="IQ45" s="94"/>
      <c r="IR45" s="94"/>
      <c r="IS45" s="94"/>
      <c r="IT45" s="94"/>
      <c r="IU45" s="94"/>
      <c r="IV45" s="94"/>
      <c r="IW45" s="94"/>
    </row>
    <row r="46" customFormat="false" ht="12.75" hidden="false" customHeight="true" outlineLevel="0" collapsed="false">
      <c r="A46" s="46" t="str">
        <f aca="false">'QTD Mgmt Summary'!A46</f>
        <v>Natural Gas Trading (Zufferli)</v>
      </c>
      <c r="B46" s="47"/>
      <c r="C46" s="74" t="n">
        <f aca="false">'YTD GrossMargin'!I46</f>
        <v>-21417</v>
      </c>
      <c r="D46" s="179" t="n">
        <f aca="false">'YTD GrossMargin'!J46</f>
        <v>25000</v>
      </c>
      <c r="E46" s="180" t="n">
        <f aca="false">-D46+C46</f>
        <v>-46417</v>
      </c>
      <c r="F46" s="81"/>
      <c r="G46" s="63" t="n">
        <f aca="false">Expenses!C46+1574</f>
        <v>2304</v>
      </c>
      <c r="H46" s="63" t="n">
        <v>2433</v>
      </c>
      <c r="I46" s="203" t="n">
        <f aca="false">H46-G46</f>
        <v>129</v>
      </c>
      <c r="J46" s="47"/>
      <c r="K46" s="79" t="n">
        <f aca="false">'Cap Charge'!C46+214</f>
        <v>436</v>
      </c>
      <c r="L46" s="79" t="n">
        <v>396</v>
      </c>
      <c r="M46" s="203" t="n">
        <f aca="false">L46-K46</f>
        <v>-40</v>
      </c>
      <c r="N46" s="77"/>
      <c r="O46" s="78" t="n">
        <f aca="false">C46-G46-K46</f>
        <v>-24157</v>
      </c>
      <c r="P46" s="79" t="n">
        <f aca="false">D46-H46-L46</f>
        <v>22171</v>
      </c>
      <c r="Q46" s="203" t="n">
        <f aca="false">O46-P46</f>
        <v>-46328</v>
      </c>
    </row>
    <row r="47" customFormat="false" ht="12.75" hidden="false" customHeight="true" outlineLevel="0" collapsed="false">
      <c r="A47" s="46" t="str">
        <f aca="false">'QTD Mgmt Summary'!A47</f>
        <v>Natural Gas Origination (LeDain)</v>
      </c>
      <c r="B47" s="47"/>
      <c r="C47" s="74" t="n">
        <f aca="false">'YTD GrossMargin'!I47</f>
        <v>13136</v>
      </c>
      <c r="D47" s="179" t="n">
        <f aca="false">'YTD GrossMargin'!J47</f>
        <v>25000</v>
      </c>
      <c r="E47" s="180" t="n">
        <f aca="false">-D47+C47</f>
        <v>-11864</v>
      </c>
      <c r="F47" s="81"/>
      <c r="G47" s="63" t="n">
        <f aca="false">Expenses!C47+1573</f>
        <v>2060</v>
      </c>
      <c r="H47" s="63" t="n">
        <v>2433</v>
      </c>
      <c r="I47" s="203" t="n">
        <f aca="false">H47-G47</f>
        <v>373</v>
      </c>
      <c r="J47" s="47"/>
      <c r="K47" s="63" t="n">
        <f aca="false">'Cap Charge'!C47</f>
        <v>0</v>
      </c>
      <c r="L47" s="79" t="n">
        <f aca="false">'Cap Charge'!D47</f>
        <v>0</v>
      </c>
      <c r="M47" s="203" t="n">
        <f aca="false">L47-K47</f>
        <v>0</v>
      </c>
      <c r="N47" s="77"/>
      <c r="O47" s="78" t="n">
        <f aca="false">C47-G47-K47</f>
        <v>11076</v>
      </c>
      <c r="P47" s="79" t="n">
        <f aca="false">D47-H47-L47</f>
        <v>22567</v>
      </c>
      <c r="Q47" s="203" t="n">
        <f aca="false">O47-P47</f>
        <v>-11491</v>
      </c>
    </row>
    <row r="48" customFormat="false" ht="12.75" hidden="false" customHeight="true" outlineLevel="0" collapsed="false">
      <c r="A48" s="46" t="str">
        <f aca="false">'QTD Mgmt Summary'!A48</f>
        <v>Finance (Kitagawa)</v>
      </c>
      <c r="B48" s="47"/>
      <c r="C48" s="74" t="n">
        <f aca="false">'YTD GrossMargin'!I48</f>
        <v>7637</v>
      </c>
      <c r="D48" s="179" t="n">
        <f aca="false">'YTD GrossMargin'!J48</f>
        <v>20000</v>
      </c>
      <c r="E48" s="180" t="n">
        <f aca="false">-D48+C48</f>
        <v>-12363</v>
      </c>
      <c r="F48" s="81"/>
      <c r="G48" s="63" t="n">
        <f aca="false">Expenses!C48+343</f>
        <v>766</v>
      </c>
      <c r="H48" s="63" t="n">
        <v>1692</v>
      </c>
      <c r="I48" s="203" t="n">
        <f aca="false">H48-G48</f>
        <v>926</v>
      </c>
      <c r="J48" s="47"/>
      <c r="K48" s="63" t="n">
        <f aca="false">'Cap Charge'!C48+2862</f>
        <v>3769</v>
      </c>
      <c r="L48" s="79" t="n">
        <v>1409</v>
      </c>
      <c r="M48" s="203" t="n">
        <f aca="false">L48-K48</f>
        <v>-2360</v>
      </c>
      <c r="N48" s="77"/>
      <c r="O48" s="78" t="n">
        <f aca="false">C48-G48-K48</f>
        <v>3102</v>
      </c>
      <c r="P48" s="79" t="n">
        <f aca="false">D48-H48-L48</f>
        <v>16899</v>
      </c>
      <c r="Q48" s="203" t="n">
        <f aca="false">O48-P48</f>
        <v>-13797</v>
      </c>
    </row>
    <row r="49" customFormat="false" ht="12.75" hidden="false" customHeight="true" outlineLevel="0" collapsed="false">
      <c r="A49" s="46" t="str">
        <f aca="false">'QTD Mgmt Summary'!A49</f>
        <v>Alberta Power (Zufferli/Davies)</v>
      </c>
      <c r="B49" s="47"/>
      <c r="C49" s="74" t="n">
        <f aca="false">'YTD GrossMargin'!I49</f>
        <v>208180</v>
      </c>
      <c r="D49" s="179" t="n">
        <f aca="false">'YTD GrossMargin'!J49</f>
        <v>155000</v>
      </c>
      <c r="E49" s="180" t="n">
        <f aca="false">-D49+C49</f>
        <v>53180</v>
      </c>
      <c r="F49" s="81"/>
      <c r="G49" s="63" t="n">
        <f aca="false">Expenses!C49+978</f>
        <v>1552</v>
      </c>
      <c r="H49" s="63" t="n">
        <v>2296</v>
      </c>
      <c r="I49" s="203" t="n">
        <f aca="false">H49-G49</f>
        <v>744</v>
      </c>
      <c r="J49" s="47"/>
      <c r="K49" s="79" t="n">
        <f aca="false">'Cap Charge'!C49</f>
        <v>0</v>
      </c>
      <c r="L49" s="79" t="n">
        <f aca="false">'Cap Charge'!D49</f>
        <v>0</v>
      </c>
      <c r="M49" s="203" t="n">
        <f aca="false">L49-K49</f>
        <v>0</v>
      </c>
      <c r="N49" s="77"/>
      <c r="O49" s="78" t="n">
        <f aca="false">C49-G49-K49</f>
        <v>206628</v>
      </c>
      <c r="P49" s="79" t="n">
        <f aca="false">D49-H49-L49</f>
        <v>152704</v>
      </c>
      <c r="Q49" s="203" t="n">
        <f aca="false">O49-P49</f>
        <v>53924</v>
      </c>
    </row>
    <row r="50" customFormat="false" ht="12.75" hidden="false" customHeight="true" outlineLevel="0" collapsed="false">
      <c r="A50" s="46" t="str">
        <f aca="false">'QTD Mgmt Summary'!A50</f>
        <v>Ontario Power (Devries)</v>
      </c>
      <c r="B50" s="47"/>
      <c r="C50" s="74" t="n">
        <f aca="false">'YTD GrossMargin'!I50</f>
        <v>-712</v>
      </c>
      <c r="D50" s="179" t="n">
        <f aca="false">'YTD GrossMargin'!J50</f>
        <v>50000</v>
      </c>
      <c r="E50" s="180" t="n">
        <f aca="false">-D50+C50</f>
        <v>-50712</v>
      </c>
      <c r="F50" s="81"/>
      <c r="G50" s="63" t="n">
        <f aca="false">Expenses!C50+652</f>
        <v>1807</v>
      </c>
      <c r="H50" s="63" t="n">
        <v>4621</v>
      </c>
      <c r="I50" s="203" t="n">
        <f aca="false">H50-G50</f>
        <v>2814</v>
      </c>
      <c r="J50" s="47"/>
      <c r="K50" s="79" t="n">
        <f aca="false">'Cap Charge'!C50</f>
        <v>0</v>
      </c>
      <c r="L50" s="79" t="n">
        <v>1788</v>
      </c>
      <c r="M50" s="203" t="n">
        <f aca="false">L50-K50</f>
        <v>1788</v>
      </c>
      <c r="N50" s="77"/>
      <c r="O50" s="78" t="n">
        <f aca="false">C50-G50-K50</f>
        <v>-2519</v>
      </c>
      <c r="P50" s="79" t="n">
        <f aca="false">D50-H50-L50</f>
        <v>43591</v>
      </c>
      <c r="Q50" s="203" t="n">
        <f aca="false">O50-P50</f>
        <v>-46110</v>
      </c>
    </row>
    <row r="51" customFormat="false" ht="12.75" hidden="false" customHeight="true" outlineLevel="0" collapsed="false">
      <c r="A51" s="46" t="str">
        <f aca="false">'QTD Mgmt Summary'!A51</f>
        <v>Executive (Milnthorp)</v>
      </c>
      <c r="B51" s="47"/>
      <c r="C51" s="74" t="n">
        <f aca="false">'YTD GrossMargin'!I51</f>
        <v>-5049</v>
      </c>
      <c r="D51" s="179" t="n">
        <f aca="false">'YTD GrossMargin'!J51</f>
        <v>10000</v>
      </c>
      <c r="E51" s="180" t="n">
        <f aca="false">-D51+C51</f>
        <v>-15049</v>
      </c>
      <c r="F51" s="81"/>
      <c r="G51" s="63" t="n">
        <f aca="false">Expenses!C51+1212</f>
        <v>2526</v>
      </c>
      <c r="H51" s="63" t="n">
        <v>5255</v>
      </c>
      <c r="I51" s="203" t="n">
        <f aca="false">H51-G51</f>
        <v>2729</v>
      </c>
      <c r="J51" s="47"/>
      <c r="K51" s="63" t="n">
        <f aca="false">'Cap Charge'!C51</f>
        <v>0</v>
      </c>
      <c r="L51" s="79" t="n">
        <f aca="false">'Cap Charge'!D51</f>
        <v>0</v>
      </c>
      <c r="M51" s="203" t="n">
        <f aca="false">L51-K51</f>
        <v>0</v>
      </c>
      <c r="N51" s="77"/>
      <c r="O51" s="78" t="n">
        <f aca="false">C51-G51-K51</f>
        <v>-7575</v>
      </c>
      <c r="P51" s="79" t="n">
        <f aca="false">D51-H51-L51</f>
        <v>4745</v>
      </c>
      <c r="Q51" s="203" t="n">
        <f aca="false">O51-P51</f>
        <v>-12320</v>
      </c>
    </row>
    <row r="52" customFormat="false" ht="12.75" hidden="false" customHeight="true" outlineLevel="0" collapsed="false">
      <c r="A52" s="101" t="s">
        <v>45</v>
      </c>
      <c r="B52" s="191"/>
      <c r="C52" s="223" t="n">
        <f aca="false">SUM(C46:C51)</f>
        <v>201775</v>
      </c>
      <c r="D52" s="385" t="n">
        <f aca="false">SUM(D46:D51)</f>
        <v>285000</v>
      </c>
      <c r="E52" s="310" t="n">
        <f aca="false">SUM(E46:E51)</f>
        <v>-83225</v>
      </c>
      <c r="F52" s="106"/>
      <c r="G52" s="192" t="n">
        <f aca="false">SUM(G46:G51)</f>
        <v>11015</v>
      </c>
      <c r="H52" s="192" t="n">
        <f aca="false">SUM(H46:H51)</f>
        <v>18730</v>
      </c>
      <c r="I52" s="192" t="n">
        <f aca="false">SUM(I46:I51)</f>
        <v>7715</v>
      </c>
      <c r="J52" s="220"/>
      <c r="K52" s="192" t="n">
        <f aca="false">SUM(K46:K51)</f>
        <v>4205</v>
      </c>
      <c r="L52" s="192" t="n">
        <f aca="false">SUM(L46:L51)</f>
        <v>3593</v>
      </c>
      <c r="M52" s="192" t="n">
        <f aca="false">SUM(M46:M51)</f>
        <v>-612</v>
      </c>
      <c r="N52" s="111"/>
      <c r="O52" s="192" t="n">
        <f aca="false">SUM(O46:O51)</f>
        <v>186555</v>
      </c>
      <c r="P52" s="192" t="n">
        <f aca="false">SUM(P46:P51)</f>
        <v>262677</v>
      </c>
      <c r="Q52" s="194" t="n">
        <f aca="false">SUM(Q46:Q51)</f>
        <v>-76122</v>
      </c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4"/>
      <c r="BR52" s="94"/>
      <c r="BS52" s="94"/>
      <c r="BT52" s="94"/>
      <c r="BU52" s="94"/>
      <c r="BV52" s="94"/>
      <c r="BW52" s="94"/>
      <c r="BX52" s="94"/>
      <c r="BY52" s="94"/>
      <c r="BZ52" s="94"/>
      <c r="CA52" s="94"/>
      <c r="CB52" s="94"/>
      <c r="CC52" s="94"/>
      <c r="CD52" s="94"/>
      <c r="CE52" s="94"/>
      <c r="CF52" s="94"/>
      <c r="CG52" s="94"/>
      <c r="CH52" s="94"/>
      <c r="CI52" s="94"/>
      <c r="CJ52" s="94"/>
      <c r="CK52" s="94"/>
      <c r="CL52" s="94"/>
      <c r="CM52" s="94"/>
      <c r="CN52" s="94"/>
      <c r="CO52" s="94"/>
      <c r="CP52" s="94"/>
      <c r="CQ52" s="94"/>
      <c r="CR52" s="94"/>
      <c r="CS52" s="94"/>
      <c r="CT52" s="94"/>
      <c r="CU52" s="94"/>
      <c r="CV52" s="94"/>
      <c r="CW52" s="94"/>
      <c r="CX52" s="94"/>
      <c r="CY52" s="94"/>
      <c r="CZ52" s="94"/>
      <c r="DA52" s="94"/>
      <c r="DB52" s="94"/>
      <c r="DC52" s="94"/>
      <c r="DD52" s="94"/>
      <c r="DE52" s="94"/>
      <c r="DF52" s="94"/>
      <c r="DG52" s="94"/>
      <c r="DH52" s="94"/>
      <c r="DI52" s="94"/>
      <c r="DJ52" s="94"/>
      <c r="DK52" s="94"/>
      <c r="DL52" s="94"/>
      <c r="DM52" s="94"/>
      <c r="DN52" s="94"/>
      <c r="DO52" s="94"/>
      <c r="DP52" s="94"/>
      <c r="DQ52" s="94"/>
      <c r="DR52" s="94"/>
      <c r="DS52" s="94"/>
      <c r="DT52" s="94"/>
      <c r="DU52" s="94"/>
      <c r="DV52" s="94"/>
      <c r="DW52" s="94"/>
      <c r="DX52" s="94"/>
      <c r="DY52" s="94"/>
      <c r="DZ52" s="94"/>
      <c r="EA52" s="94"/>
      <c r="EB52" s="94"/>
      <c r="EC52" s="94"/>
      <c r="ED52" s="94"/>
      <c r="EE52" s="94"/>
      <c r="EF52" s="94"/>
      <c r="EG52" s="94"/>
      <c r="EH52" s="94"/>
      <c r="EI52" s="94"/>
      <c r="EJ52" s="94"/>
      <c r="EK52" s="94"/>
      <c r="EL52" s="94"/>
      <c r="EM52" s="94"/>
      <c r="EN52" s="94"/>
      <c r="EO52" s="94"/>
      <c r="EP52" s="94"/>
      <c r="EQ52" s="94"/>
      <c r="ER52" s="94"/>
      <c r="ES52" s="94"/>
      <c r="ET52" s="94"/>
      <c r="EU52" s="94"/>
      <c r="EV52" s="94"/>
      <c r="EW52" s="94"/>
      <c r="EX52" s="94"/>
      <c r="EY52" s="94"/>
      <c r="EZ52" s="94"/>
      <c r="FA52" s="94"/>
      <c r="FB52" s="94"/>
      <c r="FC52" s="94"/>
      <c r="FD52" s="94"/>
      <c r="FE52" s="94"/>
      <c r="FF52" s="94"/>
      <c r="FG52" s="94"/>
      <c r="FH52" s="94"/>
      <c r="FI52" s="94"/>
      <c r="FJ52" s="94"/>
      <c r="FK52" s="94"/>
      <c r="FL52" s="94"/>
      <c r="FM52" s="94"/>
      <c r="FN52" s="94"/>
      <c r="FO52" s="94"/>
      <c r="FP52" s="94"/>
      <c r="FQ52" s="94"/>
      <c r="FR52" s="94"/>
      <c r="FS52" s="94"/>
      <c r="FT52" s="94"/>
      <c r="FU52" s="94"/>
      <c r="FV52" s="94"/>
      <c r="FW52" s="94"/>
      <c r="FX52" s="94"/>
      <c r="FY52" s="94"/>
      <c r="FZ52" s="94"/>
      <c r="GA52" s="94"/>
      <c r="GB52" s="94"/>
      <c r="GC52" s="94"/>
      <c r="GD52" s="94"/>
      <c r="GE52" s="94"/>
      <c r="GF52" s="94"/>
      <c r="GG52" s="94"/>
      <c r="GH52" s="94"/>
      <c r="GI52" s="94"/>
      <c r="GJ52" s="94"/>
      <c r="GK52" s="94"/>
      <c r="GL52" s="94"/>
      <c r="GM52" s="94"/>
      <c r="GN52" s="94"/>
      <c r="GO52" s="94"/>
      <c r="GP52" s="94"/>
      <c r="GQ52" s="94"/>
      <c r="GR52" s="94"/>
      <c r="GS52" s="94"/>
      <c r="GT52" s="94"/>
      <c r="GU52" s="94"/>
      <c r="GV52" s="94"/>
      <c r="GW52" s="94"/>
      <c r="GX52" s="94"/>
      <c r="GY52" s="94"/>
      <c r="GZ52" s="94"/>
      <c r="HA52" s="94"/>
      <c r="HB52" s="94"/>
      <c r="HC52" s="94"/>
      <c r="HD52" s="94"/>
      <c r="HE52" s="94"/>
      <c r="HF52" s="94"/>
      <c r="HG52" s="94"/>
      <c r="HH52" s="94"/>
      <c r="HI52" s="94"/>
      <c r="HJ52" s="94"/>
      <c r="HK52" s="94"/>
      <c r="HL52" s="94"/>
      <c r="HM52" s="94"/>
      <c r="HN52" s="94"/>
      <c r="HO52" s="94"/>
      <c r="HP52" s="94"/>
      <c r="HQ52" s="94"/>
      <c r="HR52" s="94"/>
      <c r="HS52" s="94"/>
      <c r="HT52" s="94"/>
      <c r="HU52" s="94"/>
      <c r="HV52" s="94"/>
      <c r="HW52" s="94"/>
      <c r="HX52" s="94"/>
      <c r="HY52" s="94"/>
      <c r="HZ52" s="94"/>
      <c r="IA52" s="94"/>
      <c r="IB52" s="94"/>
      <c r="IC52" s="94"/>
      <c r="ID52" s="94"/>
      <c r="IE52" s="94"/>
      <c r="IF52" s="94"/>
      <c r="IG52" s="94"/>
      <c r="IH52" s="94"/>
      <c r="II52" s="94"/>
      <c r="IJ52" s="94"/>
      <c r="IK52" s="94"/>
      <c r="IL52" s="94"/>
      <c r="IM52" s="94"/>
      <c r="IN52" s="94"/>
      <c r="IO52" s="94"/>
      <c r="IP52" s="94"/>
      <c r="IQ52" s="94"/>
      <c r="IR52" s="94"/>
      <c r="IS52" s="94"/>
      <c r="IT52" s="94"/>
      <c r="IU52" s="94"/>
      <c r="IV52" s="94"/>
      <c r="IW52" s="94"/>
    </row>
    <row r="53" customFormat="false" ht="12.75" hidden="false" customHeight="true" outlineLevel="0" collapsed="false">
      <c r="A53" s="46" t="s">
        <v>207</v>
      </c>
      <c r="B53" s="33"/>
      <c r="C53" s="74" t="n">
        <f aca="false">'YTD GrossMargin'!I53</f>
        <v>18633</v>
      </c>
      <c r="D53" s="179" t="n">
        <f aca="false">'YTD GrossMargin'!J53</f>
        <v>40546</v>
      </c>
      <c r="E53" s="180" t="n">
        <f aca="false">C53-D53</f>
        <v>-21913</v>
      </c>
      <c r="F53" s="81"/>
      <c r="G53" s="78" t="n">
        <f aca="false">Expenses!C53+Expenses!F53+3651</f>
        <v>5599</v>
      </c>
      <c r="H53" s="79" t="n">
        <v>6704</v>
      </c>
      <c r="I53" s="79" t="n">
        <f aca="false">H53-G53</f>
        <v>1105</v>
      </c>
      <c r="J53" s="47"/>
      <c r="K53" s="79" t="n">
        <f aca="false">'Cap Charge'!C53+1019</f>
        <v>1019</v>
      </c>
      <c r="L53" s="79" t="n">
        <v>1655</v>
      </c>
      <c r="M53" s="79" t="n">
        <f aca="false">L53-K53</f>
        <v>636</v>
      </c>
      <c r="N53" s="77"/>
      <c r="O53" s="78" t="n">
        <f aca="false">C53-G53-K53</f>
        <v>12015</v>
      </c>
      <c r="P53" s="79" t="n">
        <f aca="false">D53-H53-L53</f>
        <v>32187</v>
      </c>
      <c r="Q53" s="203" t="n">
        <f aca="false">O53-P53</f>
        <v>-20172</v>
      </c>
    </row>
    <row r="54" customFormat="false" ht="12.75" hidden="false" customHeight="true" outlineLevel="0" collapsed="false">
      <c r="A54" s="46" t="s">
        <v>208</v>
      </c>
      <c r="B54" s="33"/>
      <c r="C54" s="74" t="n">
        <f aca="false">'YTD GrossMargin'!I54</f>
        <v>7205</v>
      </c>
      <c r="D54" s="179" t="n">
        <f aca="false">'YTD GrossMargin'!J54</f>
        <v>11637</v>
      </c>
      <c r="E54" s="180" t="n">
        <f aca="false">C54-D54</f>
        <v>-4432</v>
      </c>
      <c r="F54" s="81"/>
      <c r="G54" s="78" t="n">
        <f aca="false">Expenses!C54+Expenses!F54</f>
        <v>0</v>
      </c>
      <c r="H54" s="79" t="n">
        <f aca="false">Expenses!D54+Expenses!G54</f>
        <v>0</v>
      </c>
      <c r="I54" s="79" t="n">
        <f aca="false">H54-G54</f>
        <v>0</v>
      </c>
      <c r="J54" s="47"/>
      <c r="K54" s="63" t="n">
        <f aca="false">'Cap Charge'!C54+11552</f>
        <v>17002</v>
      </c>
      <c r="L54" s="79" t="n">
        <v>25128</v>
      </c>
      <c r="M54" s="79" t="n">
        <f aca="false">L54-K54</f>
        <v>8126</v>
      </c>
      <c r="N54" s="77"/>
      <c r="O54" s="78" t="n">
        <f aca="false">C54-G54-K54</f>
        <v>-9797</v>
      </c>
      <c r="P54" s="79" t="n">
        <f aca="false">D54-H54-L54</f>
        <v>-13491</v>
      </c>
      <c r="Q54" s="203" t="n">
        <f aca="false">O54-P54</f>
        <v>3694</v>
      </c>
    </row>
    <row r="55" customFormat="false" ht="12.75" hidden="false" customHeight="true" outlineLevel="0" collapsed="false">
      <c r="A55" s="46" t="s">
        <v>153</v>
      </c>
      <c r="B55" s="33"/>
      <c r="C55" s="74" t="n">
        <f aca="false">'YTD GrossMargin'!I55</f>
        <v>43481</v>
      </c>
      <c r="D55" s="179" t="n">
        <f aca="false">'YTD GrossMargin'!J55</f>
        <v>-77380</v>
      </c>
      <c r="E55" s="180" t="n">
        <f aca="false">C55-D55</f>
        <v>120861</v>
      </c>
      <c r="F55" s="81"/>
      <c r="G55" s="78" t="n">
        <f aca="false">Expenses!C55+Expenses!F55+118176</f>
        <v>136508</v>
      </c>
      <c r="H55" s="79" t="n">
        <v>8383</v>
      </c>
      <c r="I55" s="79" t="n">
        <f aca="false">H55-G55</f>
        <v>-128125</v>
      </c>
      <c r="J55" s="47"/>
      <c r="K55" s="63" t="n">
        <f aca="false">'Cap Charge'!C55</f>
        <v>0</v>
      </c>
      <c r="L55" s="79" t="n">
        <f aca="false">'Cap Charge'!D55</f>
        <v>0</v>
      </c>
      <c r="M55" s="79" t="n">
        <f aca="false">L55-K55</f>
        <v>0</v>
      </c>
      <c r="N55" s="77"/>
      <c r="O55" s="78" t="n">
        <f aca="false">C55-G55-K55</f>
        <v>-93027</v>
      </c>
      <c r="P55" s="79" t="n">
        <f aca="false">D55-H55-L55</f>
        <v>-85763</v>
      </c>
      <c r="Q55" s="203" t="n">
        <f aca="false">O55-P55</f>
        <v>-7264</v>
      </c>
    </row>
    <row r="56" customFormat="false" ht="12.75" hidden="false" customHeight="true" outlineLevel="0" collapsed="false">
      <c r="A56" s="46" t="s">
        <v>154</v>
      </c>
      <c r="B56" s="33"/>
      <c r="C56" s="74" t="n">
        <f aca="false">'YTD GrossMargin'!I56</f>
        <v>2455</v>
      </c>
      <c r="D56" s="179" t="n">
        <f aca="false">'YTD GrossMargin'!J56</f>
        <v>60000</v>
      </c>
      <c r="E56" s="180" t="n">
        <f aca="false">C56-D56</f>
        <v>-57545</v>
      </c>
      <c r="F56" s="81"/>
      <c r="G56" s="78" t="n">
        <f aca="false">Expenses!C56+Expenses!F56+2535</f>
        <v>3846</v>
      </c>
      <c r="H56" s="79" t="n">
        <v>5543</v>
      </c>
      <c r="I56" s="79" t="n">
        <f aca="false">H56-G56</f>
        <v>1697</v>
      </c>
      <c r="J56" s="47"/>
      <c r="K56" s="79" t="n">
        <f aca="false">'Cap Charge'!C56+41</f>
        <v>82</v>
      </c>
      <c r="L56" s="79" t="n">
        <f aca="false">'Cap Charge'!D56</f>
        <v>0</v>
      </c>
      <c r="M56" s="79" t="n">
        <f aca="false">L56-K56</f>
        <v>-82</v>
      </c>
      <c r="N56" s="77"/>
      <c r="O56" s="78" t="n">
        <f aca="false">C56-G56-K56</f>
        <v>-1473</v>
      </c>
      <c r="P56" s="79" t="n">
        <f aca="false">D56-H56-L56</f>
        <v>54457</v>
      </c>
      <c r="Q56" s="203" t="n">
        <f aca="false">O56-P56</f>
        <v>-55930</v>
      </c>
    </row>
    <row r="57" customFormat="false" ht="12.75" hidden="false" customHeight="true" outlineLevel="0" collapsed="false">
      <c r="A57" s="46" t="s">
        <v>156</v>
      </c>
      <c r="B57" s="33"/>
      <c r="C57" s="74" t="n">
        <f aca="false">'YTD GrossMargin'!I57</f>
        <v>18419</v>
      </c>
      <c r="D57" s="179" t="n">
        <f aca="false">'YTD GrossMargin'!J57</f>
        <v>51643</v>
      </c>
      <c r="E57" s="180" t="n">
        <f aca="false">C57-D57</f>
        <v>-33224</v>
      </c>
      <c r="F57" s="81"/>
      <c r="G57" s="78" t="n">
        <f aca="false">Expenses!C57+Expenses!F57+3340</f>
        <v>5285</v>
      </c>
      <c r="H57" s="79" t="n">
        <v>7789</v>
      </c>
      <c r="I57" s="79" t="n">
        <f aca="false">H57-G57</f>
        <v>2504</v>
      </c>
      <c r="J57" s="47"/>
      <c r="K57" s="63" t="n">
        <f aca="false">'Cap Charge'!C57+16817</f>
        <v>21896</v>
      </c>
      <c r="L57" s="79" t="n">
        <f aca="false">24878+501+1641</f>
        <v>27020</v>
      </c>
      <c r="M57" s="79" t="n">
        <f aca="false">L57-K57</f>
        <v>5124</v>
      </c>
      <c r="N57" s="77"/>
      <c r="O57" s="78" t="n">
        <f aca="false">C57-G57-K57</f>
        <v>-8762</v>
      </c>
      <c r="P57" s="79" t="n">
        <f aca="false">D57-H57-L57</f>
        <v>16834</v>
      </c>
      <c r="Q57" s="203" t="n">
        <f aca="false">O57-P57</f>
        <v>-25596</v>
      </c>
    </row>
    <row r="58" customFormat="false" ht="12.75" hidden="false" customHeight="true" outlineLevel="0" collapsed="false">
      <c r="A58" s="46" t="s">
        <v>158</v>
      </c>
      <c r="B58" s="33"/>
      <c r="C58" s="74" t="n">
        <f aca="false">'YTD GrossMargin'!I58</f>
        <v>15003</v>
      </c>
      <c r="D58" s="179" t="n">
        <f aca="false">'YTD GrossMargin'!J58</f>
        <v>0</v>
      </c>
      <c r="E58" s="180" t="n">
        <f aca="false">C58-D58</f>
        <v>15003</v>
      </c>
      <c r="F58" s="81"/>
      <c r="G58" s="78" t="n">
        <f aca="false">Expenses!C58+Expenses!F58</f>
        <v>0</v>
      </c>
      <c r="H58" s="79" t="n">
        <f aca="false">Expenses!D58+Expenses!G58</f>
        <v>0</v>
      </c>
      <c r="I58" s="79" t="n">
        <f aca="false">H58-G58</f>
        <v>0</v>
      </c>
      <c r="J58" s="47"/>
      <c r="K58" s="63" t="n">
        <f aca="false">'Cap Charge'!C58+27670</f>
        <v>41614</v>
      </c>
      <c r="L58" s="79" t="n">
        <v>24020</v>
      </c>
      <c r="M58" s="79" t="n">
        <f aca="false">L58-K58</f>
        <v>-17594</v>
      </c>
      <c r="N58" s="77"/>
      <c r="O58" s="78" t="n">
        <f aca="false">C58-G58-K58</f>
        <v>-26611</v>
      </c>
      <c r="P58" s="79" t="n">
        <f aca="false">D58-H58-L58</f>
        <v>-24020</v>
      </c>
      <c r="Q58" s="203" t="n">
        <f aca="false">O58-P58</f>
        <v>-2591</v>
      </c>
    </row>
    <row r="59" customFormat="false" ht="12.75" hidden="false" customHeight="true" outlineLevel="0" collapsed="false">
      <c r="A59" s="46" t="s">
        <v>209</v>
      </c>
      <c r="B59" s="51"/>
      <c r="C59" s="74" t="n">
        <f aca="false">'YTD GrossMargin'!I59</f>
        <v>3000</v>
      </c>
      <c r="D59" s="179" t="n">
        <f aca="false">'YTD GrossMargin'!J59</f>
        <v>20000</v>
      </c>
      <c r="E59" s="180" t="n">
        <f aca="false">C59-D59</f>
        <v>-17000</v>
      </c>
      <c r="F59" s="81"/>
      <c r="G59" s="78" t="n">
        <f aca="false">Expenses!C59+Expenses!F59+269</f>
        <v>605</v>
      </c>
      <c r="H59" s="79" t="n">
        <v>1017</v>
      </c>
      <c r="I59" s="79" t="n">
        <f aca="false">H59-G59</f>
        <v>412</v>
      </c>
      <c r="J59" s="47"/>
      <c r="K59" s="63" t="n">
        <f aca="false">'Cap Charge'!C59</f>
        <v>0</v>
      </c>
      <c r="L59" s="79" t="n">
        <f aca="false">'Cap Charge'!D59</f>
        <v>0</v>
      </c>
      <c r="M59" s="79" t="n">
        <f aca="false">L59-K59</f>
        <v>0</v>
      </c>
      <c r="N59" s="77"/>
      <c r="O59" s="78" t="n">
        <f aca="false">C59-G59-K59</f>
        <v>2395</v>
      </c>
      <c r="P59" s="79" t="n">
        <f aca="false">D59-H59-L59</f>
        <v>18983</v>
      </c>
      <c r="Q59" s="203" t="n">
        <f aca="false">O59-P59</f>
        <v>-16588</v>
      </c>
    </row>
    <row r="60" customFormat="false" ht="12.75" hidden="false" customHeight="true" outlineLevel="0" collapsed="false">
      <c r="A60" s="46" t="s">
        <v>210</v>
      </c>
      <c r="B60" s="51"/>
      <c r="C60" s="74" t="n">
        <f aca="false">'YTD GrossMargin'!I60</f>
        <v>-6408</v>
      </c>
      <c r="D60" s="179" t="n">
        <f aca="false">'YTD GrossMargin'!J60</f>
        <v>27812</v>
      </c>
      <c r="E60" s="180" t="n">
        <f aca="false">C60-D60</f>
        <v>-34220</v>
      </c>
      <c r="F60" s="81"/>
      <c r="G60" s="78" t="n">
        <v>1721</v>
      </c>
      <c r="H60" s="79" t="n">
        <v>1782</v>
      </c>
      <c r="I60" s="79" t="n">
        <f aca="false">H60-G60</f>
        <v>61</v>
      </c>
      <c r="J60" s="47"/>
      <c r="K60" s="63" t="n">
        <v>9630</v>
      </c>
      <c r="L60" s="79" t="n">
        <v>21328</v>
      </c>
      <c r="M60" s="79" t="n">
        <f aca="false">L60-K60</f>
        <v>11698</v>
      </c>
      <c r="N60" s="77"/>
      <c r="O60" s="78" t="n">
        <f aca="false">C60-G60-K60</f>
        <v>-17759</v>
      </c>
      <c r="P60" s="79" t="n">
        <f aca="false">D60-H60-L60</f>
        <v>4702</v>
      </c>
      <c r="Q60" s="203" t="n">
        <f aca="false">O60-P60</f>
        <v>-22461</v>
      </c>
    </row>
    <row r="61" customFormat="false" ht="12.75" hidden="false" customHeight="true" outlineLevel="0" collapsed="false">
      <c r="A61" s="46" t="s">
        <v>211</v>
      </c>
      <c r="B61" s="51"/>
      <c r="C61" s="74" t="n">
        <f aca="false">'YTD GrossMargin'!I61</f>
        <v>0</v>
      </c>
      <c r="D61" s="179" t="n">
        <f aca="false">'YTD GrossMargin'!J61</f>
        <v>5000</v>
      </c>
      <c r="E61" s="180" t="n">
        <f aca="false">C61-D61</f>
        <v>-5000</v>
      </c>
      <c r="F61" s="81"/>
      <c r="G61" s="78" t="n">
        <v>700</v>
      </c>
      <c r="H61" s="79" t="n">
        <v>720</v>
      </c>
      <c r="I61" s="79" t="n">
        <f aca="false">H61-G61</f>
        <v>20</v>
      </c>
      <c r="J61" s="47"/>
      <c r="K61" s="63" t="n">
        <v>0</v>
      </c>
      <c r="L61" s="79" t="n">
        <v>13627</v>
      </c>
      <c r="M61" s="79" t="n">
        <f aca="false">L61-K61</f>
        <v>13627</v>
      </c>
      <c r="N61" s="77"/>
      <c r="O61" s="78" t="n">
        <f aca="false">C61-G61-K61</f>
        <v>-700</v>
      </c>
      <c r="P61" s="79" t="n">
        <f aca="false">D61-H61-L61</f>
        <v>-9347</v>
      </c>
      <c r="Q61" s="203" t="n">
        <f aca="false">O61-P61</f>
        <v>8647</v>
      </c>
    </row>
    <row r="62" customFormat="false" ht="12.75" hidden="false" customHeight="true" outlineLevel="0" collapsed="false">
      <c r="A62" s="46" t="s">
        <v>161</v>
      </c>
      <c r="B62" s="51"/>
      <c r="C62" s="74" t="n">
        <f aca="false">'YTD GrossMargin'!I62</f>
        <v>633729</v>
      </c>
      <c r="D62" s="179" t="n">
        <f aca="false">'YTD GrossMargin'!J62</f>
        <v>-23653</v>
      </c>
      <c r="E62" s="180" t="n">
        <f aca="false">C62-D62</f>
        <v>657382</v>
      </c>
      <c r="F62" s="81"/>
      <c r="G62" s="78" t="n">
        <f aca="false">Expenses!C60+Expenses!F60+12167</f>
        <v>13161</v>
      </c>
      <c r="H62" s="79" t="n">
        <v>3974</v>
      </c>
      <c r="I62" s="79" t="n">
        <f aca="false">H62-G62</f>
        <v>-9187</v>
      </c>
      <c r="J62" s="47"/>
      <c r="K62" s="63" t="n">
        <v>40525</v>
      </c>
      <c r="L62" s="79" t="n">
        <v>65776</v>
      </c>
      <c r="M62" s="79" t="n">
        <f aca="false">L62-K62</f>
        <v>25251</v>
      </c>
      <c r="N62" s="77"/>
      <c r="O62" s="78" t="n">
        <f aca="false">C62-G62-K62</f>
        <v>580043</v>
      </c>
      <c r="P62" s="79" t="n">
        <f aca="false">D62-H62-L62</f>
        <v>-93403</v>
      </c>
      <c r="Q62" s="203" t="n">
        <f aca="false">O62-P62</f>
        <v>673446</v>
      </c>
    </row>
    <row r="63" customFormat="false" ht="12.75" hidden="false" customHeight="true" outlineLevel="0" collapsed="false">
      <c r="A63" s="46" t="s">
        <v>162</v>
      </c>
      <c r="B63" s="51"/>
      <c r="C63" s="74" t="n">
        <f aca="false">'YTD GrossMargin'!I63</f>
        <v>25041</v>
      </c>
      <c r="D63" s="179" t="n">
        <f aca="false">'YTD GrossMargin'!J63</f>
        <v>0</v>
      </c>
      <c r="E63" s="180" t="n">
        <f aca="false">C63-D63</f>
        <v>25041</v>
      </c>
      <c r="F63" s="81"/>
      <c r="G63" s="78" t="n">
        <f aca="false">Expenses!C61+Expenses!F61</f>
        <v>0</v>
      </c>
      <c r="H63" s="79" t="n">
        <f aca="false">Expenses!D61+Expenses!G61</f>
        <v>0</v>
      </c>
      <c r="I63" s="79" t="n">
        <f aca="false">H63-G63</f>
        <v>0</v>
      </c>
      <c r="J63" s="47"/>
      <c r="K63" s="79" t="n">
        <f aca="false">'Cap Charge'!C61</f>
        <v>0</v>
      </c>
      <c r="L63" s="79" t="n">
        <f aca="false">'Cap Charge'!D61</f>
        <v>0</v>
      </c>
      <c r="M63" s="79" t="n">
        <f aca="false">L63-K63</f>
        <v>0</v>
      </c>
      <c r="N63" s="77"/>
      <c r="O63" s="78" t="n">
        <f aca="false">C63-G63-K63</f>
        <v>25041</v>
      </c>
      <c r="P63" s="79" t="n">
        <f aca="false">D63-H63-L63</f>
        <v>0</v>
      </c>
      <c r="Q63" s="203" t="n">
        <f aca="false">O63-P63</f>
        <v>25041</v>
      </c>
    </row>
    <row r="64" customFormat="false" ht="12.75" hidden="false" customHeight="true" outlineLevel="0" collapsed="false">
      <c r="A64" s="97" t="s">
        <v>163</v>
      </c>
      <c r="B64" s="33"/>
      <c r="C64" s="74" t="n">
        <f aca="false">'YTD GrossMargin'!I64</f>
        <v>-24009</v>
      </c>
      <c r="D64" s="179" t="n">
        <f aca="false">'YTD GrossMargin'!J64</f>
        <v>-81641</v>
      </c>
      <c r="E64" s="180" t="n">
        <f aca="false">C64-D64</f>
        <v>57632</v>
      </c>
      <c r="F64" s="81"/>
      <c r="G64" s="78" t="n">
        <f aca="false">Expenses!C62+Expenses!F62+2614</f>
        <v>3906</v>
      </c>
      <c r="H64" s="79" t="n">
        <v>5328</v>
      </c>
      <c r="I64" s="79" t="n">
        <f aca="false">H64-G64</f>
        <v>1422</v>
      </c>
      <c r="J64" s="47"/>
      <c r="K64" s="79" t="n">
        <f aca="false">'Cap Charge'!C62</f>
        <v>0</v>
      </c>
      <c r="L64" s="79" t="n">
        <f aca="false">'Cap Charge'!D62</f>
        <v>0</v>
      </c>
      <c r="M64" s="79" t="n">
        <f aca="false">L64-K64</f>
        <v>0</v>
      </c>
      <c r="N64" s="77"/>
      <c r="O64" s="78" t="n">
        <f aca="false">C64-G64-K64</f>
        <v>-27915</v>
      </c>
      <c r="P64" s="79" t="n">
        <f aca="false">D64-H64-L64</f>
        <v>-86969</v>
      </c>
      <c r="Q64" s="203" t="n">
        <f aca="false">O64-P64</f>
        <v>59054</v>
      </c>
    </row>
    <row r="65" customFormat="false" ht="12.75" hidden="false" customHeight="true" outlineLevel="0" collapsed="false">
      <c r="A65" s="97" t="s">
        <v>164</v>
      </c>
      <c r="B65" s="33"/>
      <c r="C65" s="74" t="n">
        <f aca="false">'YTD GrossMargin'!I65</f>
        <v>0</v>
      </c>
      <c r="D65" s="179" t="n">
        <f aca="false">'YTD GrossMargin'!J65</f>
        <v>0</v>
      </c>
      <c r="E65" s="180"/>
      <c r="F65" s="81"/>
      <c r="G65" s="78" t="n">
        <f aca="false">Expenses!C63+Expenses!F63+253300</f>
        <v>253300</v>
      </c>
      <c r="H65" s="79" t="n">
        <f aca="false">Expenses!D63+Expenses!G63</f>
        <v>0</v>
      </c>
      <c r="I65" s="79" t="n">
        <f aca="false">H65-G65</f>
        <v>-253300</v>
      </c>
      <c r="J65" s="47"/>
      <c r="K65" s="79" t="n">
        <f aca="false">'Cap Charge'!C63</f>
        <v>0</v>
      </c>
      <c r="L65" s="79" t="n">
        <f aca="false">'Cap Charge'!D63</f>
        <v>0</v>
      </c>
      <c r="M65" s="79" t="n">
        <f aca="false">L65-K65</f>
        <v>0</v>
      </c>
      <c r="N65" s="77"/>
      <c r="O65" s="78" t="n">
        <f aca="false">C65-G65-K65</f>
        <v>-253300</v>
      </c>
      <c r="P65" s="79" t="n">
        <f aca="false">D65-H65-L65</f>
        <v>0</v>
      </c>
      <c r="Q65" s="203" t="n">
        <f aca="false">O65-P65</f>
        <v>-253300</v>
      </c>
    </row>
    <row r="66" customFormat="false" ht="12.75" hidden="false" customHeight="true" outlineLevel="0" collapsed="false">
      <c r="A66" s="97" t="s">
        <v>165</v>
      </c>
      <c r="B66" s="33"/>
      <c r="C66" s="74" t="n">
        <f aca="false">'YTD GrossMargin'!I66</f>
        <v>-16660</v>
      </c>
      <c r="D66" s="179" t="n">
        <f aca="false">'YTD GrossMargin'!J66</f>
        <v>-18500</v>
      </c>
      <c r="E66" s="180" t="n">
        <f aca="false">C66-D66</f>
        <v>1840</v>
      </c>
      <c r="F66" s="81"/>
      <c r="G66" s="78" t="n">
        <f aca="false">Expenses!C64+Expenses!F64+3338+500</f>
        <v>4446</v>
      </c>
      <c r="H66" s="79" t="n">
        <v>5263</v>
      </c>
      <c r="I66" s="79" t="n">
        <f aca="false">H66-G66</f>
        <v>817</v>
      </c>
      <c r="J66" s="47"/>
      <c r="K66" s="79" t="n">
        <f aca="false">'Cap Charge'!C64+20276</f>
        <v>19846</v>
      </c>
      <c r="L66" s="79" t="n">
        <v>57787</v>
      </c>
      <c r="M66" s="79" t="n">
        <f aca="false">L66-K66</f>
        <v>37941</v>
      </c>
      <c r="N66" s="77"/>
      <c r="O66" s="78" t="n">
        <f aca="false">C66-G66-K66</f>
        <v>-40952</v>
      </c>
      <c r="P66" s="79" t="n">
        <f aca="false">D66-H66-L66</f>
        <v>-81550</v>
      </c>
      <c r="Q66" s="203" t="n">
        <f aca="false">O66-P66</f>
        <v>40598</v>
      </c>
    </row>
    <row r="67" customFormat="false" ht="12.75" hidden="false" customHeight="true" outlineLevel="0" collapsed="false">
      <c r="A67" s="101" t="s">
        <v>66</v>
      </c>
      <c r="B67" s="102"/>
      <c r="C67" s="223" t="n">
        <f aca="false">SUM(C53:C66)+C52+C45+C31+C23</f>
        <v>2830859</v>
      </c>
      <c r="D67" s="224" t="n">
        <f aca="false">SUM(D53:D66)+D52+D45+D31+D23</f>
        <v>1583452</v>
      </c>
      <c r="E67" s="194" t="n">
        <f aca="false">SUM(E53:E66)+E52+E45+E31+E23</f>
        <v>1247407</v>
      </c>
      <c r="F67" s="106" t="n">
        <f aca="false">SUM(F53:F66)+F52+F45+F31+F23</f>
        <v>0</v>
      </c>
      <c r="G67" s="223" t="n">
        <f aca="false">(SUM(G53:G66))+G23+G31+G45+G52</f>
        <v>538929</v>
      </c>
      <c r="H67" s="224" t="n">
        <f aca="false">SUM(H53:H66)+H52+H45+H31+H23</f>
        <v>194824</v>
      </c>
      <c r="I67" s="194" t="n">
        <f aca="false">H67-G67</f>
        <v>-344105</v>
      </c>
      <c r="J67" s="165" t="n">
        <f aca="false">SUM(J53:J66)+J52+J45+J31+J23</f>
        <v>0</v>
      </c>
      <c r="K67" s="196" t="n">
        <f aca="false">SUM(K53:K66)+K52+K45+K31+K23</f>
        <v>217686</v>
      </c>
      <c r="L67" s="196" t="n">
        <f aca="false">SUM(L53:L66)+L52+L45+L31+L23</f>
        <v>324322</v>
      </c>
      <c r="M67" s="194" t="n">
        <f aca="false">L67-K67</f>
        <v>106636</v>
      </c>
      <c r="N67" s="111" t="n">
        <f aca="false">SUM(N53:N66)+N52+N45+N31+N23</f>
        <v>0</v>
      </c>
      <c r="O67" s="195" t="n">
        <f aca="false">SUM(O53:O66)+O52+O45+O31+O23</f>
        <v>2074244</v>
      </c>
      <c r="P67" s="196" t="n">
        <f aca="false">SUM(P53:P66)+P52+P45+P31+P23</f>
        <v>1064306</v>
      </c>
      <c r="Q67" s="197" t="n">
        <f aca="false">SUM(Q53:Q66)+Q52+Q45+Q31+Q23</f>
        <v>1009938</v>
      </c>
      <c r="R67" s="98"/>
      <c r="S67" s="98"/>
      <c r="T67" s="225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98"/>
      <c r="AG67" s="98"/>
      <c r="AH67" s="98"/>
      <c r="AI67" s="98"/>
      <c r="AJ67" s="98"/>
      <c r="AK67" s="98"/>
      <c r="AL67" s="98"/>
      <c r="AM67" s="98"/>
      <c r="AN67" s="98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  <c r="BA67" s="98"/>
      <c r="BB67" s="98"/>
      <c r="BC67" s="98"/>
      <c r="BD67" s="98"/>
      <c r="BE67" s="98"/>
      <c r="BF67" s="98"/>
      <c r="BG67" s="98"/>
      <c r="BH67" s="98"/>
      <c r="BI67" s="98"/>
      <c r="BJ67" s="98"/>
      <c r="BK67" s="98"/>
      <c r="BL67" s="98"/>
      <c r="BM67" s="98"/>
      <c r="BN67" s="98"/>
      <c r="BO67" s="98"/>
      <c r="BP67" s="98"/>
      <c r="BQ67" s="98"/>
      <c r="BR67" s="98"/>
      <c r="BS67" s="98"/>
      <c r="BT67" s="98"/>
      <c r="BU67" s="98"/>
      <c r="BV67" s="98"/>
      <c r="BW67" s="98"/>
      <c r="BX67" s="98"/>
      <c r="BY67" s="98"/>
      <c r="BZ67" s="98"/>
      <c r="CA67" s="98"/>
      <c r="CB67" s="98"/>
      <c r="CC67" s="98"/>
      <c r="CD67" s="98"/>
      <c r="CE67" s="98"/>
      <c r="CF67" s="98"/>
      <c r="CG67" s="98"/>
      <c r="CH67" s="98"/>
      <c r="CI67" s="98"/>
      <c r="CJ67" s="98"/>
      <c r="CK67" s="98"/>
      <c r="CL67" s="98"/>
      <c r="CM67" s="98"/>
      <c r="CN67" s="98"/>
      <c r="CO67" s="98"/>
      <c r="CP67" s="98"/>
      <c r="CQ67" s="98"/>
      <c r="CR67" s="98"/>
      <c r="CS67" s="98"/>
      <c r="CT67" s="98"/>
      <c r="CU67" s="98"/>
      <c r="CV67" s="98"/>
      <c r="CW67" s="98"/>
      <c r="CX67" s="98"/>
      <c r="CY67" s="98"/>
      <c r="CZ67" s="98"/>
      <c r="DA67" s="98"/>
      <c r="DB67" s="98"/>
      <c r="DC67" s="98"/>
      <c r="DD67" s="98"/>
      <c r="DE67" s="98"/>
      <c r="DF67" s="98"/>
      <c r="DG67" s="98"/>
      <c r="DH67" s="98"/>
      <c r="DI67" s="98"/>
      <c r="DJ67" s="98"/>
      <c r="DK67" s="98"/>
      <c r="DL67" s="98"/>
      <c r="DM67" s="98"/>
      <c r="DN67" s="98"/>
      <c r="DO67" s="98"/>
      <c r="DP67" s="98"/>
      <c r="DQ67" s="98"/>
      <c r="DR67" s="98"/>
      <c r="DS67" s="98"/>
      <c r="DT67" s="98"/>
      <c r="DU67" s="98"/>
      <c r="DV67" s="98"/>
      <c r="DW67" s="98"/>
      <c r="DX67" s="98"/>
      <c r="DY67" s="98"/>
      <c r="DZ67" s="98"/>
      <c r="EA67" s="98"/>
      <c r="EB67" s="98"/>
      <c r="EC67" s="98"/>
      <c r="ED67" s="98"/>
      <c r="EE67" s="98"/>
      <c r="EF67" s="98"/>
      <c r="EG67" s="98"/>
      <c r="EH67" s="98"/>
      <c r="EI67" s="98"/>
      <c r="EJ67" s="98"/>
      <c r="EK67" s="98"/>
      <c r="EL67" s="98"/>
      <c r="EM67" s="98"/>
      <c r="EN67" s="98"/>
      <c r="EO67" s="98"/>
      <c r="EP67" s="98"/>
      <c r="EQ67" s="98"/>
      <c r="ER67" s="98"/>
      <c r="ES67" s="98"/>
      <c r="ET67" s="98"/>
      <c r="EU67" s="98"/>
      <c r="EV67" s="98"/>
      <c r="EW67" s="98"/>
      <c r="EX67" s="98"/>
      <c r="EY67" s="98"/>
      <c r="EZ67" s="98"/>
      <c r="FA67" s="98"/>
      <c r="FB67" s="98"/>
      <c r="FC67" s="98"/>
      <c r="FD67" s="98"/>
      <c r="FE67" s="98"/>
      <c r="FF67" s="98"/>
      <c r="FG67" s="98"/>
      <c r="FH67" s="98"/>
      <c r="FI67" s="98"/>
      <c r="FJ67" s="98"/>
      <c r="FK67" s="98"/>
      <c r="FL67" s="98"/>
      <c r="FM67" s="98"/>
      <c r="FN67" s="98"/>
      <c r="FO67" s="98"/>
      <c r="FP67" s="98"/>
      <c r="FQ67" s="98"/>
      <c r="FR67" s="98"/>
      <c r="FS67" s="98"/>
      <c r="FT67" s="98"/>
      <c r="FU67" s="98"/>
      <c r="FV67" s="98"/>
      <c r="FW67" s="98"/>
      <c r="FX67" s="98"/>
      <c r="FY67" s="98"/>
      <c r="FZ67" s="98"/>
      <c r="GA67" s="98"/>
      <c r="GB67" s="98"/>
      <c r="GC67" s="98"/>
      <c r="GD67" s="98"/>
      <c r="GE67" s="98"/>
      <c r="GF67" s="98"/>
      <c r="GG67" s="98"/>
      <c r="GH67" s="98"/>
      <c r="GI67" s="98"/>
      <c r="GJ67" s="98"/>
      <c r="GK67" s="98"/>
      <c r="GL67" s="98"/>
      <c r="GM67" s="98"/>
      <c r="GN67" s="98"/>
      <c r="GO67" s="98"/>
      <c r="GP67" s="98"/>
      <c r="GQ67" s="98"/>
      <c r="GR67" s="98"/>
      <c r="GS67" s="98"/>
      <c r="GT67" s="98"/>
      <c r="GU67" s="98"/>
      <c r="GV67" s="98"/>
      <c r="GW67" s="98"/>
      <c r="GX67" s="98"/>
      <c r="GY67" s="98"/>
      <c r="GZ67" s="98"/>
      <c r="HA67" s="98"/>
      <c r="HB67" s="98"/>
      <c r="HC67" s="98"/>
      <c r="HD67" s="98"/>
      <c r="HE67" s="98"/>
      <c r="HF67" s="98"/>
      <c r="HG67" s="98"/>
      <c r="HH67" s="98"/>
      <c r="HI67" s="98"/>
      <c r="HJ67" s="98"/>
      <c r="HK67" s="98"/>
      <c r="HL67" s="98"/>
      <c r="HM67" s="98"/>
      <c r="HN67" s="98"/>
      <c r="HO67" s="98"/>
      <c r="HP67" s="98"/>
      <c r="HQ67" s="98"/>
      <c r="HR67" s="98"/>
      <c r="HS67" s="98"/>
      <c r="HT67" s="98"/>
      <c r="HU67" s="98"/>
      <c r="HV67" s="98"/>
      <c r="HW67" s="98"/>
      <c r="HX67" s="98"/>
      <c r="HY67" s="98"/>
      <c r="HZ67" s="98"/>
      <c r="IA67" s="98"/>
      <c r="IB67" s="98"/>
      <c r="IC67" s="98"/>
      <c r="ID67" s="98"/>
      <c r="IE67" s="98"/>
      <c r="IF67" s="98"/>
      <c r="IG67" s="98"/>
      <c r="IH67" s="98"/>
      <c r="II67" s="98"/>
      <c r="IJ67" s="98"/>
      <c r="IK67" s="98"/>
      <c r="IL67" s="98"/>
      <c r="IM67" s="98"/>
      <c r="IN67" s="98"/>
      <c r="IO67" s="98"/>
      <c r="IP67" s="98"/>
      <c r="IQ67" s="98"/>
      <c r="IR67" s="98"/>
      <c r="IS67" s="98"/>
      <c r="IT67" s="98"/>
      <c r="IU67" s="98"/>
      <c r="IV67" s="98"/>
      <c r="IW67" s="98"/>
    </row>
    <row r="68" customFormat="false" ht="7.5" hidden="false" customHeight="true" outlineLevel="0" collapsed="false">
      <c r="A68" s="97"/>
      <c r="B68" s="47"/>
      <c r="C68" s="114"/>
      <c r="D68" s="95"/>
      <c r="E68" s="76"/>
      <c r="F68" s="81"/>
      <c r="G68" s="226"/>
      <c r="H68" s="79"/>
      <c r="I68" s="79"/>
      <c r="J68" s="47"/>
      <c r="K68" s="79"/>
      <c r="L68" s="79"/>
      <c r="M68" s="79"/>
      <c r="N68" s="77"/>
      <c r="O68" s="78"/>
      <c r="P68" s="79"/>
      <c r="Q68" s="67"/>
    </row>
    <row r="69" customFormat="false" ht="12.75" hidden="true" customHeight="true" outlineLevel="0" collapsed="false">
      <c r="A69" s="97" t="s">
        <v>67</v>
      </c>
      <c r="B69" s="47"/>
      <c r="C69" s="79" t="n">
        <v>0</v>
      </c>
      <c r="D69" s="79" t="n">
        <v>0</v>
      </c>
      <c r="E69" s="76" t="n">
        <f aca="false">-D69+C69</f>
        <v>0</v>
      </c>
      <c r="F69" s="81"/>
      <c r="G69" s="63" t="n">
        <f aca="false">Expenses!C67+Expenses!F67+4537</f>
        <v>7166</v>
      </c>
      <c r="H69" s="63" t="n">
        <v>10398</v>
      </c>
      <c r="I69" s="203" t="n">
        <f aca="false">H69-G69</f>
        <v>3232</v>
      </c>
      <c r="J69" s="47"/>
      <c r="K69" s="66" t="n">
        <v>0</v>
      </c>
      <c r="L69" s="66" t="n">
        <v>0</v>
      </c>
      <c r="M69" s="203" t="n">
        <f aca="false">L69-K69</f>
        <v>0</v>
      </c>
      <c r="N69" s="77"/>
      <c r="O69" s="78" t="n">
        <f aca="false">C69-G69-K69</f>
        <v>-7166</v>
      </c>
      <c r="P69" s="79" t="n">
        <f aca="false">D69-H69-L69</f>
        <v>-10398</v>
      </c>
      <c r="Q69" s="67" t="n">
        <f aca="false">O69-P69</f>
        <v>3232</v>
      </c>
    </row>
    <row r="70" customFormat="false" ht="12.75" hidden="true" customHeight="true" outlineLevel="0" collapsed="false">
      <c r="A70" s="97" t="s">
        <v>68</v>
      </c>
      <c r="B70" s="47"/>
      <c r="C70" s="79" t="n">
        <v>0</v>
      </c>
      <c r="D70" s="79" t="n">
        <v>0</v>
      </c>
      <c r="E70" s="76" t="n">
        <f aca="false">-D70+C70</f>
        <v>0</v>
      </c>
      <c r="F70" s="81"/>
      <c r="G70" s="63" t="n">
        <f aca="false">Expenses!C68+Expenses!F68+1256</f>
        <v>1755</v>
      </c>
      <c r="H70" s="63" t="n">
        <v>1996</v>
      </c>
      <c r="I70" s="203" t="n">
        <f aca="false">H70-G70</f>
        <v>241</v>
      </c>
      <c r="J70" s="47"/>
      <c r="K70" s="66" t="n">
        <v>0</v>
      </c>
      <c r="L70" s="66" t="n">
        <v>0</v>
      </c>
      <c r="M70" s="203" t="n">
        <f aca="false">L70-K70</f>
        <v>0</v>
      </c>
      <c r="N70" s="77"/>
      <c r="O70" s="78" t="n">
        <f aca="false">C70-G70-K70</f>
        <v>-1755</v>
      </c>
      <c r="P70" s="79" t="n">
        <f aca="false">D70-H70-L70</f>
        <v>-1996</v>
      </c>
      <c r="Q70" s="67" t="n">
        <f aca="false">O70-P70</f>
        <v>241</v>
      </c>
    </row>
    <row r="71" customFormat="false" ht="12.75" hidden="true" customHeight="true" outlineLevel="0" collapsed="false">
      <c r="A71" s="97" t="s">
        <v>69</v>
      </c>
      <c r="B71" s="47"/>
      <c r="C71" s="79" t="n">
        <v>0</v>
      </c>
      <c r="D71" s="79" t="n">
        <v>0</v>
      </c>
      <c r="E71" s="76" t="n">
        <f aca="false">-D71+C71</f>
        <v>0</v>
      </c>
      <c r="F71" s="81"/>
      <c r="G71" s="63" t="n">
        <f aca="false">Expenses!C69+Expenses!F69+2262</f>
        <v>3681</v>
      </c>
      <c r="H71" s="63" t="n">
        <v>5667</v>
      </c>
      <c r="I71" s="203" t="n">
        <f aca="false">H71-G71</f>
        <v>1986</v>
      </c>
      <c r="J71" s="47"/>
      <c r="K71" s="66" t="n">
        <v>0</v>
      </c>
      <c r="L71" s="66" t="n">
        <v>0</v>
      </c>
      <c r="M71" s="203" t="n">
        <f aca="false">L71-K71</f>
        <v>0</v>
      </c>
      <c r="N71" s="77"/>
      <c r="O71" s="78" t="n">
        <f aca="false">C71-G71-K71</f>
        <v>-3681</v>
      </c>
      <c r="P71" s="79" t="n">
        <f aca="false">D71-H71-L71</f>
        <v>-5667</v>
      </c>
      <c r="Q71" s="67" t="n">
        <f aca="false">O71-P71</f>
        <v>1986</v>
      </c>
    </row>
    <row r="72" customFormat="false" ht="12.75" hidden="true" customHeight="true" outlineLevel="0" collapsed="false">
      <c r="A72" s="97" t="s">
        <v>70</v>
      </c>
      <c r="B72" s="47"/>
      <c r="C72" s="79" t="n">
        <v>0</v>
      </c>
      <c r="D72" s="79" t="n">
        <v>0</v>
      </c>
      <c r="E72" s="76" t="n">
        <f aca="false">-D72+C72</f>
        <v>0</v>
      </c>
      <c r="F72" s="81"/>
      <c r="G72" s="63" t="n">
        <f aca="false">Expenses!C70+Expenses!F70+19642</f>
        <v>29785</v>
      </c>
      <c r="H72" s="63" t="n">
        <v>40573</v>
      </c>
      <c r="I72" s="203" t="n">
        <f aca="false">H72-G72</f>
        <v>10788</v>
      </c>
      <c r="J72" s="47"/>
      <c r="K72" s="66" t="n">
        <v>0</v>
      </c>
      <c r="L72" s="66" t="n">
        <v>0</v>
      </c>
      <c r="M72" s="203" t="n">
        <f aca="false">L72-K72</f>
        <v>0</v>
      </c>
      <c r="N72" s="77"/>
      <c r="O72" s="78" t="n">
        <f aca="false">C72-G72-K72</f>
        <v>-29785</v>
      </c>
      <c r="P72" s="79" t="n">
        <f aca="false">D72-H72-L72</f>
        <v>-40573</v>
      </c>
      <c r="Q72" s="67" t="n">
        <f aca="false">O72-P72</f>
        <v>10788</v>
      </c>
    </row>
    <row r="73" customFormat="false" ht="12.75" hidden="true" customHeight="true" outlineLevel="0" collapsed="false">
      <c r="A73" s="97" t="s">
        <v>71</v>
      </c>
      <c r="B73" s="47"/>
      <c r="C73" s="79" t="n">
        <v>0</v>
      </c>
      <c r="D73" s="79" t="n">
        <v>0</v>
      </c>
      <c r="E73" s="76" t="n">
        <f aca="false">-D73+C73</f>
        <v>0</v>
      </c>
      <c r="F73" s="81"/>
      <c r="G73" s="63" t="n">
        <f aca="false">Expenses!C71+Expenses!F71+2116</f>
        <v>3320</v>
      </c>
      <c r="H73" s="63" t="n">
        <v>4816</v>
      </c>
      <c r="I73" s="203" t="n">
        <f aca="false">H73-G73</f>
        <v>1496</v>
      </c>
      <c r="J73" s="47"/>
      <c r="K73" s="66" t="n">
        <v>0</v>
      </c>
      <c r="L73" s="66" t="n">
        <v>0</v>
      </c>
      <c r="M73" s="203" t="n">
        <f aca="false">L73-K73</f>
        <v>0</v>
      </c>
      <c r="N73" s="77"/>
      <c r="O73" s="78" t="n">
        <f aca="false">C73-G73-K73</f>
        <v>-3320</v>
      </c>
      <c r="P73" s="79" t="n">
        <f aca="false">D73-H73-L73</f>
        <v>-4816</v>
      </c>
      <c r="Q73" s="67" t="n">
        <f aca="false">O73-P73</f>
        <v>1496</v>
      </c>
    </row>
    <row r="74" customFormat="false" ht="12.75" hidden="true" customHeight="true" outlineLevel="0" collapsed="false">
      <c r="A74" s="97" t="s">
        <v>72</v>
      </c>
      <c r="B74" s="47"/>
      <c r="C74" s="79" t="n">
        <v>0</v>
      </c>
      <c r="D74" s="79" t="n">
        <v>0</v>
      </c>
      <c r="E74" s="76" t="n">
        <f aca="false">-D74+C74</f>
        <v>0</v>
      </c>
      <c r="F74" s="81"/>
      <c r="G74" s="63" t="n">
        <f aca="false">Expenses!C72+Expenses!F72+6117</f>
        <v>8368</v>
      </c>
      <c r="H74" s="63" t="n">
        <v>10312</v>
      </c>
      <c r="I74" s="203" t="n">
        <f aca="false">H74-G74</f>
        <v>1944</v>
      </c>
      <c r="J74" s="47"/>
      <c r="K74" s="66" t="n">
        <v>0</v>
      </c>
      <c r="L74" s="66" t="n">
        <v>0</v>
      </c>
      <c r="M74" s="203" t="n">
        <f aca="false">L74-K74</f>
        <v>0</v>
      </c>
      <c r="N74" s="77"/>
      <c r="O74" s="78" t="n">
        <f aca="false">C74-G74-K74</f>
        <v>-8368</v>
      </c>
      <c r="P74" s="79" t="n">
        <f aca="false">D74-H74-L74</f>
        <v>-10312</v>
      </c>
      <c r="Q74" s="67" t="n">
        <f aca="false">O74-P74</f>
        <v>1944</v>
      </c>
    </row>
    <row r="75" customFormat="false" ht="12.75" hidden="true" customHeight="true" outlineLevel="0" collapsed="false">
      <c r="A75" s="97" t="s">
        <v>73</v>
      </c>
      <c r="B75" s="47"/>
      <c r="C75" s="79" t="n">
        <v>0</v>
      </c>
      <c r="D75" s="79" t="n">
        <v>0</v>
      </c>
      <c r="E75" s="76" t="n">
        <f aca="false">-D75+C75</f>
        <v>0</v>
      </c>
      <c r="F75" s="81"/>
      <c r="G75" s="63" t="n">
        <f aca="false">Expenses!C73+Expenses!F73+328</f>
        <v>646</v>
      </c>
      <c r="H75" s="63" t="n">
        <v>1572</v>
      </c>
      <c r="I75" s="203" t="n">
        <f aca="false">H75-G75</f>
        <v>926</v>
      </c>
      <c r="J75" s="47"/>
      <c r="K75" s="66" t="n">
        <v>0</v>
      </c>
      <c r="L75" s="66" t="n">
        <v>0</v>
      </c>
      <c r="M75" s="203" t="n">
        <f aca="false">L75-K75</f>
        <v>0</v>
      </c>
      <c r="N75" s="77"/>
      <c r="O75" s="78" t="n">
        <f aca="false">C75-G75-K75</f>
        <v>-646</v>
      </c>
      <c r="P75" s="79" t="n">
        <f aca="false">D75-H75-L75</f>
        <v>-1572</v>
      </c>
      <c r="Q75" s="67" t="n">
        <f aca="false">O75-P75</f>
        <v>926</v>
      </c>
    </row>
    <row r="76" customFormat="false" ht="12.75" hidden="true" customHeight="true" outlineLevel="0" collapsed="false">
      <c r="A76" s="97" t="s">
        <v>74</v>
      </c>
      <c r="B76" s="47"/>
      <c r="C76" s="79" t="n">
        <v>0</v>
      </c>
      <c r="D76" s="79" t="n">
        <v>0</v>
      </c>
      <c r="E76" s="76" t="n">
        <f aca="false">-D76+C76</f>
        <v>0</v>
      </c>
      <c r="F76" s="81"/>
      <c r="G76" s="63" t="n">
        <f aca="false">Expenses!C74+Expenses!F74+1057</f>
        <v>1632</v>
      </c>
      <c r="H76" s="216" t="n">
        <v>2336</v>
      </c>
      <c r="I76" s="203" t="n">
        <f aca="false">H76-G76</f>
        <v>704</v>
      </c>
      <c r="J76" s="47"/>
      <c r="K76" s="66" t="n">
        <v>0</v>
      </c>
      <c r="L76" s="66" t="n">
        <v>0</v>
      </c>
      <c r="M76" s="203" t="n">
        <f aca="false">L76-K76</f>
        <v>0</v>
      </c>
      <c r="N76" s="77"/>
      <c r="O76" s="78" t="n">
        <f aca="false">C76-G76-K76</f>
        <v>-1632</v>
      </c>
      <c r="P76" s="79" t="n">
        <f aca="false">D76-H76-L76</f>
        <v>-2336</v>
      </c>
      <c r="Q76" s="67" t="n">
        <f aca="false">O76-P76</f>
        <v>704</v>
      </c>
    </row>
    <row r="77" customFormat="false" ht="12.75" hidden="true" customHeight="true" outlineLevel="0" collapsed="false">
      <c r="A77" s="97" t="s">
        <v>75</v>
      </c>
      <c r="B77" s="47"/>
      <c r="C77" s="79" t="n">
        <v>0</v>
      </c>
      <c r="D77" s="79" t="n">
        <v>0</v>
      </c>
      <c r="E77" s="76" t="n">
        <f aca="false">-D77+C77</f>
        <v>0</v>
      </c>
      <c r="F77" s="81"/>
      <c r="G77" s="63" t="n">
        <f aca="false">Expenses!C75+Expenses!F75+1015</f>
        <v>1560</v>
      </c>
      <c r="H77" s="63" t="n">
        <v>2200</v>
      </c>
      <c r="I77" s="203" t="n">
        <f aca="false">H77-G77</f>
        <v>640</v>
      </c>
      <c r="J77" s="47"/>
      <c r="K77" s="66" t="n">
        <v>0</v>
      </c>
      <c r="L77" s="66" t="n">
        <v>0</v>
      </c>
      <c r="M77" s="203" t="n">
        <f aca="false">L77-K77</f>
        <v>0</v>
      </c>
      <c r="N77" s="77"/>
      <c r="O77" s="78" t="n">
        <f aca="false">C77-G77-K77</f>
        <v>-1560</v>
      </c>
      <c r="P77" s="79" t="n">
        <f aca="false">D77-H77-L77</f>
        <v>-2200</v>
      </c>
      <c r="Q77" s="67" t="n">
        <f aca="false">O77-P77</f>
        <v>640</v>
      </c>
    </row>
    <row r="78" customFormat="false" ht="12.75" hidden="true" customHeight="true" outlineLevel="0" collapsed="false">
      <c r="A78" s="97" t="s">
        <v>76</v>
      </c>
      <c r="B78" s="47"/>
      <c r="C78" s="79" t="n">
        <v>0</v>
      </c>
      <c r="D78" s="79" t="n">
        <v>0</v>
      </c>
      <c r="E78" s="76" t="n">
        <f aca="false">-D78+C78</f>
        <v>0</v>
      </c>
      <c r="F78" s="81"/>
      <c r="G78" s="63" t="n">
        <f aca="false">Expenses!C76+Expenses!F76+471</f>
        <v>669</v>
      </c>
      <c r="H78" s="63" t="n">
        <v>792</v>
      </c>
      <c r="I78" s="203" t="n">
        <f aca="false">H78-G78</f>
        <v>123</v>
      </c>
      <c r="J78" s="47"/>
      <c r="K78" s="66" t="n">
        <v>0</v>
      </c>
      <c r="L78" s="66" t="n">
        <v>0</v>
      </c>
      <c r="M78" s="203" t="n">
        <f aca="false">L78-K78</f>
        <v>0</v>
      </c>
      <c r="N78" s="77"/>
      <c r="O78" s="78" t="n">
        <f aca="false">C78-G78-K78</f>
        <v>-669</v>
      </c>
      <c r="P78" s="79" t="n">
        <f aca="false">D78-H78-L78</f>
        <v>-792</v>
      </c>
      <c r="Q78" s="67" t="n">
        <f aca="false">O78-P78</f>
        <v>123</v>
      </c>
    </row>
    <row r="79" customFormat="false" ht="12.75" hidden="true" customHeight="true" outlineLevel="0" collapsed="false">
      <c r="A79" s="97" t="s">
        <v>77</v>
      </c>
      <c r="B79" s="47"/>
      <c r="C79" s="79" t="n">
        <v>0</v>
      </c>
      <c r="D79" s="79" t="n">
        <v>0</v>
      </c>
      <c r="E79" s="76" t="n">
        <f aca="false">-D79+C79</f>
        <v>0</v>
      </c>
      <c r="F79" s="81"/>
      <c r="G79" s="63" t="n">
        <f aca="false">Expenses!C77+Expenses!F77+917</f>
        <v>1599</v>
      </c>
      <c r="H79" s="63" t="n">
        <v>2755</v>
      </c>
      <c r="I79" s="203" t="n">
        <f aca="false">H79-G79</f>
        <v>1156</v>
      </c>
      <c r="J79" s="47"/>
      <c r="K79" s="66" t="n">
        <v>0</v>
      </c>
      <c r="L79" s="66" t="n">
        <v>0</v>
      </c>
      <c r="M79" s="203" t="n">
        <f aca="false">L79-K79</f>
        <v>0</v>
      </c>
      <c r="N79" s="77"/>
      <c r="O79" s="78" t="n">
        <f aca="false">C79-G79-K79</f>
        <v>-1599</v>
      </c>
      <c r="P79" s="79" t="n">
        <f aca="false">D79-H79-L79</f>
        <v>-2755</v>
      </c>
      <c r="Q79" s="67" t="n">
        <f aca="false">O79-P79</f>
        <v>1156</v>
      </c>
    </row>
    <row r="80" customFormat="false" ht="12.75" hidden="true" customHeight="true" outlineLevel="0" collapsed="false">
      <c r="A80" s="97" t="s">
        <v>78</v>
      </c>
      <c r="B80" s="47"/>
      <c r="C80" s="79" t="n">
        <v>0</v>
      </c>
      <c r="D80" s="79" t="n">
        <v>0</v>
      </c>
      <c r="E80" s="76" t="n">
        <f aca="false">-D80+C80</f>
        <v>0</v>
      </c>
      <c r="F80" s="81"/>
      <c r="G80" s="63" t="n">
        <f aca="false">Expenses!C78+Expenses!F78+2148</f>
        <v>3567</v>
      </c>
      <c r="H80" s="63" t="n">
        <v>5676</v>
      </c>
      <c r="I80" s="203" t="n">
        <f aca="false">H80-G80</f>
        <v>2109</v>
      </c>
      <c r="J80" s="47"/>
      <c r="K80" s="66" t="n">
        <v>0</v>
      </c>
      <c r="L80" s="66" t="n">
        <v>0</v>
      </c>
      <c r="M80" s="203" t="n">
        <f aca="false">L80-K80</f>
        <v>0</v>
      </c>
      <c r="N80" s="77"/>
      <c r="O80" s="78" t="n">
        <f aca="false">C80-G80-K80</f>
        <v>-3567</v>
      </c>
      <c r="P80" s="79" t="n">
        <f aca="false">D80-H80-L80</f>
        <v>-5676</v>
      </c>
      <c r="Q80" s="67" t="n">
        <f aca="false">O80-P80</f>
        <v>2109</v>
      </c>
    </row>
    <row r="81" customFormat="false" ht="12.75" hidden="true" customHeight="true" outlineLevel="0" collapsed="false">
      <c r="A81" s="97" t="s">
        <v>79</v>
      </c>
      <c r="B81" s="47"/>
      <c r="C81" s="79" t="n">
        <v>0</v>
      </c>
      <c r="D81" s="79" t="n">
        <v>0</v>
      </c>
      <c r="E81" s="76" t="n">
        <f aca="false">-D81+C81</f>
        <v>0</v>
      </c>
      <c r="F81" s="81"/>
      <c r="G81" s="63" t="n">
        <f aca="false">Expenses!C79+Expenses!F79+62010</f>
        <v>85085</v>
      </c>
      <c r="H81" s="63" t="n">
        <v>92300</v>
      </c>
      <c r="I81" s="203" t="n">
        <f aca="false">H81-G81</f>
        <v>7215</v>
      </c>
      <c r="J81" s="47"/>
      <c r="K81" s="66" t="n">
        <v>0</v>
      </c>
      <c r="L81" s="66" t="n">
        <v>0</v>
      </c>
      <c r="M81" s="203" t="n">
        <f aca="false">L81-K81</f>
        <v>0</v>
      </c>
      <c r="N81" s="77"/>
      <c r="O81" s="78" t="n">
        <f aca="false">C81-G81-K81</f>
        <v>-85085</v>
      </c>
      <c r="P81" s="79" t="n">
        <f aca="false">D81-H81-L81</f>
        <v>-92300</v>
      </c>
      <c r="Q81" s="67" t="n">
        <f aca="false">O81-P81</f>
        <v>7215</v>
      </c>
    </row>
    <row r="82" customFormat="false" ht="12.75" hidden="true" customHeight="true" outlineLevel="0" collapsed="false">
      <c r="A82" s="97" t="s">
        <v>80</v>
      </c>
      <c r="B82" s="47"/>
      <c r="C82" s="79" t="n">
        <v>0</v>
      </c>
      <c r="D82" s="79" t="n">
        <v>0</v>
      </c>
      <c r="E82" s="76" t="n">
        <f aca="false">-D82+C82</f>
        <v>0</v>
      </c>
      <c r="F82" s="81"/>
      <c r="G82" s="63" t="n">
        <f aca="false">Expenses!C80+Expenses!F80+92129</f>
        <v>139491</v>
      </c>
      <c r="H82" s="63" t="n">
        <v>186520</v>
      </c>
      <c r="I82" s="203" t="n">
        <f aca="false">H82-G82</f>
        <v>47029</v>
      </c>
      <c r="J82" s="47"/>
      <c r="K82" s="66" t="n">
        <v>0</v>
      </c>
      <c r="L82" s="66" t="n">
        <v>0</v>
      </c>
      <c r="M82" s="203" t="n">
        <f aca="false">L82-K82</f>
        <v>0</v>
      </c>
      <c r="N82" s="77"/>
      <c r="O82" s="78" t="n">
        <f aca="false">C82-G82-K82</f>
        <v>-139491</v>
      </c>
      <c r="P82" s="79" t="n">
        <f aca="false">D82-H82-L82</f>
        <v>-186520</v>
      </c>
      <c r="Q82" s="67" t="n">
        <f aca="false">O82-P82</f>
        <v>47029</v>
      </c>
    </row>
    <row r="83" customFormat="false" ht="12.75" hidden="false" customHeight="true" outlineLevel="0" collapsed="false">
      <c r="A83" s="101" t="s">
        <v>81</v>
      </c>
      <c r="B83" s="102"/>
      <c r="C83" s="223" t="n">
        <f aca="false">SUM(C69:C82)</f>
        <v>0</v>
      </c>
      <c r="D83" s="224" t="n">
        <f aca="false">SUM(D69:D82)</f>
        <v>0</v>
      </c>
      <c r="E83" s="194" t="n">
        <f aca="false">SUM(E69:E82)</f>
        <v>0</v>
      </c>
      <c r="F83" s="106"/>
      <c r="G83" s="195" t="n">
        <f aca="false">SUM(G69:G82)</f>
        <v>288324</v>
      </c>
      <c r="H83" s="196" t="n">
        <f aca="false">SUM(H69:H82)</f>
        <v>367913</v>
      </c>
      <c r="I83" s="196" t="n">
        <f aca="false">H83-G83</f>
        <v>79589</v>
      </c>
      <c r="J83" s="165"/>
      <c r="K83" s="196" t="n">
        <f aca="false">SUM(K69:K82)</f>
        <v>0</v>
      </c>
      <c r="L83" s="196" t="n">
        <f aca="false">SUM(L69:L82)</f>
        <v>0</v>
      </c>
      <c r="M83" s="196" t="n">
        <f aca="false">L83-K83</f>
        <v>0</v>
      </c>
      <c r="N83" s="111"/>
      <c r="O83" s="195" t="n">
        <f aca="false">C83-G83-K83</f>
        <v>-288324</v>
      </c>
      <c r="P83" s="196" t="n">
        <f aca="false">SUM(P69:P82)</f>
        <v>-367913</v>
      </c>
      <c r="Q83" s="197" t="n">
        <f aca="false">SUM(Q69:Q82)</f>
        <v>79589</v>
      </c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98"/>
      <c r="AE83" s="98"/>
      <c r="AF83" s="98"/>
      <c r="AG83" s="98"/>
      <c r="AH83" s="98"/>
      <c r="AI83" s="98"/>
      <c r="AJ83" s="98"/>
      <c r="AK83" s="98"/>
      <c r="AL83" s="98"/>
      <c r="AM83" s="98"/>
      <c r="AN83" s="98"/>
      <c r="AO83" s="98"/>
      <c r="AP83" s="98"/>
      <c r="AQ83" s="98"/>
      <c r="AR83" s="98"/>
      <c r="AS83" s="98"/>
      <c r="AT83" s="98"/>
      <c r="AU83" s="98"/>
      <c r="AV83" s="98"/>
      <c r="AW83" s="98"/>
      <c r="AX83" s="98"/>
      <c r="AY83" s="98"/>
      <c r="AZ83" s="98"/>
      <c r="BA83" s="98"/>
      <c r="BB83" s="98"/>
      <c r="BC83" s="98"/>
      <c r="BD83" s="98"/>
      <c r="BE83" s="98"/>
      <c r="BF83" s="98"/>
      <c r="BG83" s="98"/>
      <c r="BH83" s="98"/>
      <c r="BI83" s="98"/>
      <c r="BJ83" s="98"/>
      <c r="BK83" s="98"/>
      <c r="BL83" s="98"/>
      <c r="BM83" s="98"/>
      <c r="BN83" s="98"/>
      <c r="BO83" s="98"/>
      <c r="BP83" s="98"/>
      <c r="BQ83" s="98"/>
      <c r="BR83" s="98"/>
      <c r="BS83" s="98"/>
      <c r="BT83" s="98"/>
      <c r="BU83" s="98"/>
      <c r="BV83" s="98"/>
      <c r="BW83" s="98"/>
      <c r="BX83" s="98"/>
      <c r="BY83" s="98"/>
      <c r="BZ83" s="98"/>
      <c r="CA83" s="98"/>
      <c r="CB83" s="98"/>
      <c r="CC83" s="98"/>
      <c r="CD83" s="98"/>
      <c r="CE83" s="98"/>
      <c r="CF83" s="98"/>
      <c r="CG83" s="98"/>
      <c r="CH83" s="98"/>
      <c r="CI83" s="98"/>
      <c r="CJ83" s="98"/>
      <c r="CK83" s="98"/>
      <c r="CL83" s="98"/>
      <c r="CM83" s="98"/>
      <c r="CN83" s="98"/>
      <c r="CO83" s="98"/>
      <c r="CP83" s="98"/>
      <c r="CQ83" s="98"/>
      <c r="CR83" s="98"/>
      <c r="CS83" s="98"/>
      <c r="CT83" s="98"/>
      <c r="CU83" s="98"/>
      <c r="CV83" s="98"/>
      <c r="CW83" s="98"/>
      <c r="CX83" s="98"/>
      <c r="CY83" s="98"/>
      <c r="CZ83" s="98"/>
      <c r="DA83" s="98"/>
      <c r="DB83" s="98"/>
      <c r="DC83" s="98"/>
      <c r="DD83" s="98"/>
      <c r="DE83" s="98"/>
      <c r="DF83" s="98"/>
      <c r="DG83" s="98"/>
      <c r="DH83" s="98"/>
      <c r="DI83" s="98"/>
      <c r="DJ83" s="98"/>
      <c r="DK83" s="98"/>
      <c r="DL83" s="98"/>
      <c r="DM83" s="98"/>
      <c r="DN83" s="98"/>
      <c r="DO83" s="98"/>
      <c r="DP83" s="98"/>
      <c r="DQ83" s="98"/>
      <c r="DR83" s="98"/>
      <c r="DS83" s="98"/>
      <c r="DT83" s="98"/>
      <c r="DU83" s="98"/>
      <c r="DV83" s="98"/>
      <c r="DW83" s="98"/>
      <c r="DX83" s="98"/>
      <c r="DY83" s="98"/>
      <c r="DZ83" s="98"/>
      <c r="EA83" s="98"/>
      <c r="EB83" s="98"/>
      <c r="EC83" s="98"/>
      <c r="ED83" s="98"/>
      <c r="EE83" s="98"/>
      <c r="EF83" s="98"/>
      <c r="EG83" s="98"/>
      <c r="EH83" s="98"/>
      <c r="EI83" s="98"/>
      <c r="EJ83" s="98"/>
      <c r="EK83" s="98"/>
      <c r="EL83" s="98"/>
      <c r="EM83" s="98"/>
      <c r="EN83" s="98"/>
      <c r="EO83" s="98"/>
      <c r="EP83" s="98"/>
      <c r="EQ83" s="98"/>
      <c r="ER83" s="98"/>
      <c r="ES83" s="98"/>
      <c r="ET83" s="98"/>
      <c r="EU83" s="98"/>
      <c r="EV83" s="98"/>
      <c r="EW83" s="98"/>
      <c r="EX83" s="98"/>
      <c r="EY83" s="98"/>
      <c r="EZ83" s="98"/>
      <c r="FA83" s="98"/>
      <c r="FB83" s="98"/>
      <c r="FC83" s="98"/>
      <c r="FD83" s="98"/>
      <c r="FE83" s="98"/>
      <c r="FF83" s="98"/>
      <c r="FG83" s="98"/>
      <c r="FH83" s="98"/>
      <c r="FI83" s="98"/>
      <c r="FJ83" s="98"/>
      <c r="FK83" s="98"/>
      <c r="FL83" s="98"/>
      <c r="FM83" s="98"/>
      <c r="FN83" s="98"/>
      <c r="FO83" s="98"/>
      <c r="FP83" s="98"/>
      <c r="FQ83" s="98"/>
      <c r="FR83" s="98"/>
      <c r="FS83" s="98"/>
      <c r="FT83" s="98"/>
      <c r="FU83" s="98"/>
      <c r="FV83" s="98"/>
      <c r="FW83" s="98"/>
      <c r="FX83" s="98"/>
      <c r="FY83" s="98"/>
      <c r="FZ83" s="98"/>
      <c r="GA83" s="98"/>
      <c r="GB83" s="98"/>
      <c r="GC83" s="98"/>
      <c r="GD83" s="98"/>
      <c r="GE83" s="98"/>
      <c r="GF83" s="98"/>
      <c r="GG83" s="98"/>
      <c r="GH83" s="98"/>
      <c r="GI83" s="98"/>
      <c r="GJ83" s="98"/>
      <c r="GK83" s="98"/>
      <c r="GL83" s="98"/>
      <c r="GM83" s="98"/>
      <c r="GN83" s="98"/>
      <c r="GO83" s="98"/>
      <c r="GP83" s="98"/>
      <c r="GQ83" s="98"/>
      <c r="GR83" s="98"/>
      <c r="GS83" s="98"/>
      <c r="GT83" s="98"/>
      <c r="GU83" s="98"/>
      <c r="GV83" s="98"/>
      <c r="GW83" s="98"/>
      <c r="GX83" s="98"/>
      <c r="GY83" s="98"/>
      <c r="GZ83" s="98"/>
      <c r="HA83" s="98"/>
      <c r="HB83" s="98"/>
      <c r="HC83" s="98"/>
      <c r="HD83" s="98"/>
      <c r="HE83" s="98"/>
      <c r="HF83" s="98"/>
      <c r="HG83" s="98"/>
      <c r="HH83" s="98"/>
      <c r="HI83" s="98"/>
      <c r="HJ83" s="98"/>
      <c r="HK83" s="98"/>
      <c r="HL83" s="98"/>
      <c r="HM83" s="98"/>
      <c r="HN83" s="98"/>
      <c r="HO83" s="98"/>
      <c r="HP83" s="98"/>
      <c r="HQ83" s="98"/>
      <c r="HR83" s="98"/>
      <c r="HS83" s="98"/>
      <c r="HT83" s="98"/>
      <c r="HU83" s="98"/>
      <c r="HV83" s="98"/>
      <c r="HW83" s="98"/>
      <c r="HX83" s="98"/>
      <c r="HY83" s="98"/>
      <c r="HZ83" s="98"/>
      <c r="IA83" s="98"/>
      <c r="IB83" s="98"/>
      <c r="IC83" s="98"/>
      <c r="ID83" s="98"/>
      <c r="IE83" s="98"/>
      <c r="IF83" s="98"/>
      <c r="IG83" s="98"/>
      <c r="IH83" s="98"/>
      <c r="II83" s="98"/>
      <c r="IJ83" s="98"/>
      <c r="IK83" s="98"/>
      <c r="IL83" s="98"/>
      <c r="IM83" s="98"/>
      <c r="IN83" s="98"/>
      <c r="IO83" s="98"/>
      <c r="IP83" s="98"/>
      <c r="IQ83" s="98"/>
      <c r="IR83" s="98"/>
      <c r="IS83" s="98"/>
      <c r="IT83" s="98"/>
      <c r="IU83" s="98"/>
      <c r="IV83" s="98"/>
      <c r="IW83" s="98"/>
    </row>
    <row r="84" customFormat="false" ht="12.75" hidden="false" customHeight="true" outlineLevel="0" collapsed="false">
      <c r="A84" s="99" t="s">
        <v>167</v>
      </c>
      <c r="B84" s="47"/>
      <c r="C84" s="79" t="n">
        <f aca="false">'YTD GrossMargin'!I84</f>
        <v>0</v>
      </c>
      <c r="D84" s="79" t="n">
        <f aca="false">'YTD GrossMargin'!J84</f>
        <v>0</v>
      </c>
      <c r="E84" s="214" t="n">
        <f aca="false">-D84+C84</f>
        <v>0</v>
      </c>
      <c r="F84" s="81"/>
      <c r="G84" s="63" t="n">
        <f aca="false">Expenses!C82+Expenses!F82+28770</f>
        <v>65902</v>
      </c>
      <c r="H84" s="63" t="n">
        <v>149780</v>
      </c>
      <c r="I84" s="203" t="n">
        <f aca="false">H84-G84</f>
        <v>83878</v>
      </c>
      <c r="J84" s="47"/>
      <c r="K84" s="79" t="n">
        <f aca="false">'Cap Charge'!C82</f>
        <v>0</v>
      </c>
      <c r="L84" s="79" t="n">
        <f aca="false">'Cap Charge'!D82</f>
        <v>0</v>
      </c>
      <c r="M84" s="203" t="n">
        <f aca="false">L84-K84</f>
        <v>0</v>
      </c>
      <c r="N84" s="77"/>
      <c r="O84" s="78" t="n">
        <f aca="false">C84-G84-K84</f>
        <v>-65902</v>
      </c>
      <c r="P84" s="79" t="n">
        <f aca="false">D84-H84-L84</f>
        <v>-149780</v>
      </c>
      <c r="Q84" s="203" t="n">
        <f aca="false">O84-P84</f>
        <v>83878</v>
      </c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  <c r="AS84" s="100"/>
      <c r="AT84" s="100"/>
      <c r="AU84" s="100"/>
      <c r="AV84" s="100"/>
      <c r="AW84" s="100"/>
      <c r="AX84" s="100"/>
      <c r="AY84" s="100"/>
      <c r="AZ84" s="100"/>
      <c r="BA84" s="100"/>
      <c r="BB84" s="100"/>
      <c r="BC84" s="100"/>
      <c r="BD84" s="100"/>
      <c r="BE84" s="100"/>
      <c r="BF84" s="100"/>
      <c r="BG84" s="100"/>
      <c r="BH84" s="100"/>
      <c r="BI84" s="100"/>
      <c r="BJ84" s="100"/>
      <c r="BK84" s="100"/>
      <c r="BL84" s="100"/>
      <c r="BM84" s="100"/>
      <c r="BN84" s="100"/>
      <c r="BO84" s="100"/>
      <c r="BP84" s="100"/>
      <c r="BQ84" s="100"/>
      <c r="BR84" s="100"/>
      <c r="BS84" s="100"/>
      <c r="BT84" s="100"/>
      <c r="BU84" s="100"/>
      <c r="BV84" s="100"/>
      <c r="BW84" s="100"/>
      <c r="BX84" s="100"/>
      <c r="BY84" s="100"/>
      <c r="BZ84" s="100"/>
      <c r="CA84" s="100"/>
      <c r="CB84" s="100"/>
      <c r="CC84" s="100"/>
      <c r="CD84" s="100"/>
      <c r="CE84" s="100"/>
      <c r="CF84" s="100"/>
      <c r="CG84" s="100"/>
      <c r="CH84" s="100"/>
      <c r="CI84" s="100"/>
      <c r="CJ84" s="100"/>
      <c r="CK84" s="100"/>
      <c r="CL84" s="100"/>
      <c r="CM84" s="100"/>
      <c r="CN84" s="100"/>
      <c r="CO84" s="100"/>
      <c r="CP84" s="100"/>
      <c r="CQ84" s="100"/>
      <c r="CR84" s="100"/>
      <c r="CS84" s="100"/>
      <c r="CT84" s="100"/>
      <c r="CU84" s="100"/>
      <c r="CV84" s="100"/>
      <c r="CW84" s="100"/>
      <c r="CX84" s="100"/>
      <c r="CY84" s="100"/>
      <c r="CZ84" s="100"/>
      <c r="DA84" s="100"/>
      <c r="DB84" s="100"/>
      <c r="DC84" s="100"/>
      <c r="DD84" s="100"/>
      <c r="DE84" s="100"/>
      <c r="DF84" s="100"/>
      <c r="DG84" s="100"/>
      <c r="DH84" s="100"/>
      <c r="DI84" s="100"/>
      <c r="DJ84" s="100"/>
      <c r="DK84" s="100"/>
      <c r="DL84" s="100"/>
      <c r="DM84" s="100"/>
      <c r="DN84" s="100"/>
      <c r="DO84" s="100"/>
      <c r="DP84" s="100"/>
      <c r="DQ84" s="100"/>
      <c r="DR84" s="100"/>
      <c r="DS84" s="100"/>
      <c r="DT84" s="100"/>
      <c r="DU84" s="100"/>
      <c r="DV84" s="100"/>
      <c r="DW84" s="100"/>
      <c r="DX84" s="100"/>
      <c r="DY84" s="100"/>
      <c r="DZ84" s="100"/>
      <c r="EA84" s="100"/>
      <c r="EB84" s="100"/>
      <c r="EC84" s="100"/>
      <c r="ED84" s="100"/>
      <c r="EE84" s="100"/>
      <c r="EF84" s="100"/>
      <c r="EG84" s="100"/>
      <c r="EH84" s="100"/>
      <c r="EI84" s="100"/>
      <c r="EJ84" s="100"/>
      <c r="EK84" s="100"/>
      <c r="EL84" s="100"/>
      <c r="EM84" s="100"/>
      <c r="EN84" s="100"/>
      <c r="EO84" s="100"/>
      <c r="EP84" s="100"/>
      <c r="EQ84" s="100"/>
      <c r="ER84" s="100"/>
      <c r="ES84" s="100"/>
      <c r="ET84" s="100"/>
      <c r="EU84" s="100"/>
      <c r="EV84" s="100"/>
      <c r="EW84" s="100"/>
      <c r="EX84" s="100"/>
      <c r="EY84" s="100"/>
      <c r="EZ84" s="100"/>
      <c r="FA84" s="100"/>
      <c r="FB84" s="100"/>
      <c r="FC84" s="100"/>
      <c r="FD84" s="100"/>
      <c r="FE84" s="100"/>
      <c r="FF84" s="100"/>
      <c r="FG84" s="100"/>
      <c r="FH84" s="100"/>
      <c r="FI84" s="100"/>
      <c r="FJ84" s="100"/>
      <c r="FK84" s="100"/>
      <c r="FL84" s="100"/>
      <c r="FM84" s="100"/>
      <c r="FN84" s="100"/>
      <c r="FO84" s="100"/>
      <c r="FP84" s="100"/>
      <c r="FQ84" s="100"/>
      <c r="FR84" s="100"/>
      <c r="FS84" s="100"/>
      <c r="FT84" s="100"/>
      <c r="FU84" s="100"/>
      <c r="FV84" s="100"/>
      <c r="FW84" s="100"/>
      <c r="FX84" s="100"/>
      <c r="FY84" s="100"/>
      <c r="FZ84" s="100"/>
      <c r="GA84" s="100"/>
      <c r="GB84" s="100"/>
      <c r="GC84" s="100"/>
      <c r="GD84" s="100"/>
      <c r="GE84" s="100"/>
      <c r="GF84" s="100"/>
      <c r="GG84" s="100"/>
      <c r="GH84" s="100"/>
      <c r="GI84" s="100"/>
      <c r="GJ84" s="100"/>
      <c r="GK84" s="100"/>
      <c r="GL84" s="100"/>
      <c r="GM84" s="100"/>
      <c r="GN84" s="100"/>
      <c r="GO84" s="100"/>
      <c r="GP84" s="100"/>
      <c r="GQ84" s="100"/>
      <c r="GR84" s="100"/>
      <c r="GS84" s="100"/>
      <c r="GT84" s="100"/>
      <c r="GU84" s="100"/>
      <c r="GV84" s="100"/>
      <c r="GW84" s="100"/>
      <c r="GX84" s="100"/>
      <c r="GY84" s="100"/>
      <c r="GZ84" s="100"/>
      <c r="HA84" s="100"/>
      <c r="HB84" s="100"/>
      <c r="HC84" s="100"/>
      <c r="HD84" s="100"/>
      <c r="HE84" s="100"/>
      <c r="HF84" s="100"/>
      <c r="HG84" s="100"/>
      <c r="HH84" s="100"/>
      <c r="HI84" s="100"/>
      <c r="HJ84" s="100"/>
      <c r="HK84" s="100"/>
      <c r="HL84" s="100"/>
      <c r="HM84" s="100"/>
      <c r="HN84" s="100"/>
      <c r="HO84" s="100"/>
      <c r="HP84" s="100"/>
      <c r="HQ84" s="100"/>
      <c r="HR84" s="100"/>
      <c r="HS84" s="100"/>
      <c r="HT84" s="100"/>
      <c r="HU84" s="100"/>
      <c r="HV84" s="100"/>
      <c r="HW84" s="100"/>
      <c r="HX84" s="100"/>
      <c r="HY84" s="100"/>
      <c r="HZ84" s="100"/>
      <c r="IA84" s="100"/>
      <c r="IB84" s="100"/>
      <c r="IC84" s="100"/>
      <c r="ID84" s="100"/>
      <c r="IE84" s="100"/>
      <c r="IF84" s="100"/>
      <c r="IG84" s="100"/>
      <c r="IH84" s="100"/>
      <c r="II84" s="100"/>
      <c r="IJ84" s="100"/>
      <c r="IK84" s="100"/>
      <c r="IL84" s="100"/>
      <c r="IM84" s="100"/>
      <c r="IN84" s="100"/>
      <c r="IO84" s="100"/>
      <c r="IP84" s="100"/>
      <c r="IQ84" s="100"/>
      <c r="IR84" s="100"/>
      <c r="IS84" s="100"/>
      <c r="IT84" s="100"/>
      <c r="IU84" s="100"/>
      <c r="IV84" s="100"/>
      <c r="IW84" s="100"/>
    </row>
    <row r="85" customFormat="false" ht="12.75" hidden="false" customHeight="true" outlineLevel="0" collapsed="false">
      <c r="A85" s="99" t="s">
        <v>168</v>
      </c>
      <c r="B85" s="47"/>
      <c r="C85" s="79" t="n">
        <f aca="false">'YTD GrossMargin'!I85</f>
        <v>104519</v>
      </c>
      <c r="D85" s="79" t="n">
        <f aca="false">'YTD GrossMargin'!J85</f>
        <v>118538</v>
      </c>
      <c r="E85" s="214" t="n">
        <f aca="false">-D85+C85</f>
        <v>-14019</v>
      </c>
      <c r="F85" s="81"/>
      <c r="G85" s="63" t="n">
        <f aca="false">Expenses!C83+Expenses!F83+2312</f>
        <v>2912</v>
      </c>
      <c r="H85" s="63" t="n">
        <v>4693</v>
      </c>
      <c r="I85" s="203" t="n">
        <f aca="false">H85-G85</f>
        <v>1781</v>
      </c>
      <c r="J85" s="47"/>
      <c r="K85" s="79" t="n">
        <f aca="false">'Cap Charge'!C83</f>
        <v>0</v>
      </c>
      <c r="L85" s="79" t="n">
        <f aca="false">'Cap Charge'!D83</f>
        <v>0</v>
      </c>
      <c r="M85" s="203" t="n">
        <f aca="false">L85-K85</f>
        <v>0</v>
      </c>
      <c r="N85" s="77"/>
      <c r="O85" s="78" t="n">
        <f aca="false">C85-G85-K85</f>
        <v>101607</v>
      </c>
      <c r="P85" s="79" t="n">
        <f aca="false">D85-H85-L85</f>
        <v>113845</v>
      </c>
      <c r="Q85" s="203" t="n">
        <f aca="false">O85-P85</f>
        <v>-12238</v>
      </c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100"/>
      <c r="AO85" s="100"/>
      <c r="AP85" s="100"/>
      <c r="AQ85" s="100"/>
      <c r="AR85" s="100"/>
      <c r="AS85" s="100"/>
      <c r="AT85" s="100"/>
      <c r="AU85" s="100"/>
      <c r="AV85" s="100"/>
      <c r="AW85" s="100"/>
      <c r="AX85" s="100"/>
      <c r="AY85" s="100"/>
      <c r="AZ85" s="100"/>
      <c r="BA85" s="100"/>
      <c r="BB85" s="100"/>
      <c r="BC85" s="100"/>
      <c r="BD85" s="100"/>
      <c r="BE85" s="100"/>
      <c r="BF85" s="100"/>
      <c r="BG85" s="100"/>
      <c r="BH85" s="100"/>
      <c r="BI85" s="100"/>
      <c r="BJ85" s="100"/>
      <c r="BK85" s="100"/>
      <c r="BL85" s="100"/>
      <c r="BM85" s="100"/>
      <c r="BN85" s="100"/>
      <c r="BO85" s="100"/>
      <c r="BP85" s="100"/>
      <c r="BQ85" s="100"/>
      <c r="BR85" s="100"/>
      <c r="BS85" s="100"/>
      <c r="BT85" s="100"/>
      <c r="BU85" s="100"/>
      <c r="BV85" s="100"/>
      <c r="BW85" s="100"/>
      <c r="BX85" s="100"/>
      <c r="BY85" s="100"/>
      <c r="BZ85" s="100"/>
      <c r="CA85" s="100"/>
      <c r="CB85" s="100"/>
      <c r="CC85" s="100"/>
      <c r="CD85" s="100"/>
      <c r="CE85" s="100"/>
      <c r="CF85" s="100"/>
      <c r="CG85" s="100"/>
      <c r="CH85" s="100"/>
      <c r="CI85" s="100"/>
      <c r="CJ85" s="100"/>
      <c r="CK85" s="100"/>
      <c r="CL85" s="100"/>
      <c r="CM85" s="100"/>
      <c r="CN85" s="100"/>
      <c r="CO85" s="100"/>
      <c r="CP85" s="100"/>
      <c r="CQ85" s="100"/>
      <c r="CR85" s="100"/>
      <c r="CS85" s="100"/>
      <c r="CT85" s="100"/>
      <c r="CU85" s="100"/>
      <c r="CV85" s="100"/>
      <c r="CW85" s="100"/>
      <c r="CX85" s="100"/>
      <c r="CY85" s="100"/>
      <c r="CZ85" s="100"/>
      <c r="DA85" s="100"/>
      <c r="DB85" s="100"/>
      <c r="DC85" s="100"/>
      <c r="DD85" s="100"/>
      <c r="DE85" s="100"/>
      <c r="DF85" s="100"/>
      <c r="DG85" s="100"/>
      <c r="DH85" s="100"/>
      <c r="DI85" s="100"/>
      <c r="DJ85" s="100"/>
      <c r="DK85" s="100"/>
      <c r="DL85" s="100"/>
      <c r="DM85" s="100"/>
      <c r="DN85" s="100"/>
      <c r="DO85" s="100"/>
      <c r="DP85" s="100"/>
      <c r="DQ85" s="100"/>
      <c r="DR85" s="100"/>
      <c r="DS85" s="100"/>
      <c r="DT85" s="100"/>
      <c r="DU85" s="100"/>
      <c r="DV85" s="100"/>
      <c r="DW85" s="100"/>
      <c r="DX85" s="100"/>
      <c r="DY85" s="100"/>
      <c r="DZ85" s="100"/>
      <c r="EA85" s="100"/>
      <c r="EB85" s="100"/>
      <c r="EC85" s="100"/>
      <c r="ED85" s="100"/>
      <c r="EE85" s="100"/>
      <c r="EF85" s="100"/>
      <c r="EG85" s="100"/>
      <c r="EH85" s="100"/>
      <c r="EI85" s="100"/>
      <c r="EJ85" s="100"/>
      <c r="EK85" s="100"/>
      <c r="EL85" s="100"/>
      <c r="EM85" s="100"/>
      <c r="EN85" s="100"/>
      <c r="EO85" s="100"/>
      <c r="EP85" s="100"/>
      <c r="EQ85" s="100"/>
      <c r="ER85" s="100"/>
      <c r="ES85" s="100"/>
      <c r="ET85" s="100"/>
      <c r="EU85" s="100"/>
      <c r="EV85" s="100"/>
      <c r="EW85" s="100"/>
      <c r="EX85" s="100"/>
      <c r="EY85" s="100"/>
      <c r="EZ85" s="100"/>
      <c r="FA85" s="100"/>
      <c r="FB85" s="100"/>
      <c r="FC85" s="100"/>
      <c r="FD85" s="100"/>
      <c r="FE85" s="100"/>
      <c r="FF85" s="100"/>
      <c r="FG85" s="100"/>
      <c r="FH85" s="100"/>
      <c r="FI85" s="100"/>
      <c r="FJ85" s="100"/>
      <c r="FK85" s="100"/>
      <c r="FL85" s="100"/>
      <c r="FM85" s="100"/>
      <c r="FN85" s="100"/>
      <c r="FO85" s="100"/>
      <c r="FP85" s="100"/>
      <c r="FQ85" s="100"/>
      <c r="FR85" s="100"/>
      <c r="FS85" s="100"/>
      <c r="FT85" s="100"/>
      <c r="FU85" s="100"/>
      <c r="FV85" s="100"/>
      <c r="FW85" s="100"/>
      <c r="FX85" s="100"/>
      <c r="FY85" s="100"/>
      <c r="FZ85" s="100"/>
      <c r="GA85" s="100"/>
      <c r="GB85" s="100"/>
      <c r="GC85" s="100"/>
      <c r="GD85" s="100"/>
      <c r="GE85" s="100"/>
      <c r="GF85" s="100"/>
      <c r="GG85" s="100"/>
      <c r="GH85" s="100"/>
      <c r="GI85" s="100"/>
      <c r="GJ85" s="100"/>
      <c r="GK85" s="100"/>
      <c r="GL85" s="100"/>
      <c r="GM85" s="100"/>
      <c r="GN85" s="100"/>
      <c r="GO85" s="100"/>
      <c r="GP85" s="100"/>
      <c r="GQ85" s="100"/>
      <c r="GR85" s="100"/>
      <c r="GS85" s="100"/>
      <c r="GT85" s="100"/>
      <c r="GU85" s="100"/>
      <c r="GV85" s="100"/>
      <c r="GW85" s="100"/>
      <c r="GX85" s="100"/>
      <c r="GY85" s="100"/>
      <c r="GZ85" s="100"/>
      <c r="HA85" s="100"/>
      <c r="HB85" s="100"/>
      <c r="HC85" s="100"/>
      <c r="HD85" s="100"/>
      <c r="HE85" s="100"/>
      <c r="HF85" s="100"/>
      <c r="HG85" s="100"/>
      <c r="HH85" s="100"/>
      <c r="HI85" s="100"/>
      <c r="HJ85" s="100"/>
      <c r="HK85" s="100"/>
      <c r="HL85" s="100"/>
      <c r="HM85" s="100"/>
      <c r="HN85" s="100"/>
      <c r="HO85" s="100"/>
      <c r="HP85" s="100"/>
      <c r="HQ85" s="100"/>
      <c r="HR85" s="100"/>
      <c r="HS85" s="100"/>
      <c r="HT85" s="100"/>
      <c r="HU85" s="100"/>
      <c r="HV85" s="100"/>
      <c r="HW85" s="100"/>
      <c r="HX85" s="100"/>
      <c r="HY85" s="100"/>
      <c r="HZ85" s="100"/>
      <c r="IA85" s="100"/>
      <c r="IB85" s="100"/>
      <c r="IC85" s="100"/>
      <c r="ID85" s="100"/>
      <c r="IE85" s="100"/>
      <c r="IF85" s="100"/>
      <c r="IG85" s="100"/>
      <c r="IH85" s="100"/>
      <c r="II85" s="100"/>
      <c r="IJ85" s="100"/>
      <c r="IK85" s="100"/>
      <c r="IL85" s="100"/>
      <c r="IM85" s="100"/>
      <c r="IN85" s="100"/>
      <c r="IO85" s="100"/>
      <c r="IP85" s="100"/>
      <c r="IQ85" s="100"/>
      <c r="IR85" s="100"/>
      <c r="IS85" s="100"/>
      <c r="IT85" s="100"/>
      <c r="IU85" s="100"/>
      <c r="IV85" s="100"/>
      <c r="IW85" s="100"/>
    </row>
    <row r="86" customFormat="false" ht="12.75" hidden="false" customHeight="true" outlineLevel="0" collapsed="false">
      <c r="A86" s="99" t="s">
        <v>169</v>
      </c>
      <c r="B86" s="47"/>
      <c r="C86" s="79" t="n">
        <f aca="false">'YTD GrossMargin'!I86</f>
        <v>-47922</v>
      </c>
      <c r="D86" s="79" t="n">
        <f aca="false">'YTD GrossMargin'!J86</f>
        <v>-52000</v>
      </c>
      <c r="E86" s="214" t="n">
        <f aca="false">-D86+C86</f>
        <v>4078</v>
      </c>
      <c r="F86" s="81"/>
      <c r="G86" s="63" t="n">
        <f aca="false">Expenses!C84+Expenses!F84+14</f>
        <v>14</v>
      </c>
      <c r="H86" s="63" t="n">
        <f aca="false">Expenses!D84+Expenses!G84</f>
        <v>0</v>
      </c>
      <c r="I86" s="203" t="n">
        <f aca="false">H86-G86</f>
        <v>-14</v>
      </c>
      <c r="J86" s="47"/>
      <c r="K86" s="79" t="n">
        <f aca="false">'Cap Charge'!C84</f>
        <v>0</v>
      </c>
      <c r="L86" s="79" t="n">
        <f aca="false">'Cap Charge'!D84</f>
        <v>0</v>
      </c>
      <c r="M86" s="203" t="n">
        <f aca="false">L86-K86</f>
        <v>0</v>
      </c>
      <c r="N86" s="77"/>
      <c r="O86" s="78" t="n">
        <f aca="false">C86-G86-K86</f>
        <v>-47936</v>
      </c>
      <c r="P86" s="79" t="n">
        <f aca="false">D86-H86-L86</f>
        <v>-52000</v>
      </c>
      <c r="Q86" s="203" t="n">
        <f aca="false">O86-P86</f>
        <v>4064</v>
      </c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  <c r="AO86" s="100"/>
      <c r="AP86" s="100"/>
      <c r="AQ86" s="100"/>
      <c r="AR86" s="100"/>
      <c r="AS86" s="100"/>
      <c r="AT86" s="100"/>
      <c r="AU86" s="100"/>
      <c r="AV86" s="100"/>
      <c r="AW86" s="100"/>
      <c r="AX86" s="100"/>
      <c r="AY86" s="100"/>
      <c r="AZ86" s="100"/>
      <c r="BA86" s="100"/>
      <c r="BB86" s="100"/>
      <c r="BC86" s="100"/>
      <c r="BD86" s="100"/>
      <c r="BE86" s="100"/>
      <c r="BF86" s="100"/>
      <c r="BG86" s="100"/>
      <c r="BH86" s="100"/>
      <c r="BI86" s="100"/>
      <c r="BJ86" s="100"/>
      <c r="BK86" s="100"/>
      <c r="BL86" s="100"/>
      <c r="BM86" s="100"/>
      <c r="BN86" s="100"/>
      <c r="BO86" s="100"/>
      <c r="BP86" s="100"/>
      <c r="BQ86" s="100"/>
      <c r="BR86" s="100"/>
      <c r="BS86" s="100"/>
      <c r="BT86" s="100"/>
      <c r="BU86" s="100"/>
      <c r="BV86" s="100"/>
      <c r="BW86" s="100"/>
      <c r="BX86" s="100"/>
      <c r="BY86" s="100"/>
      <c r="BZ86" s="100"/>
      <c r="CA86" s="100"/>
      <c r="CB86" s="100"/>
      <c r="CC86" s="100"/>
      <c r="CD86" s="100"/>
      <c r="CE86" s="100"/>
      <c r="CF86" s="100"/>
      <c r="CG86" s="100"/>
      <c r="CH86" s="100"/>
      <c r="CI86" s="100"/>
      <c r="CJ86" s="100"/>
      <c r="CK86" s="100"/>
      <c r="CL86" s="100"/>
      <c r="CM86" s="100"/>
      <c r="CN86" s="100"/>
      <c r="CO86" s="100"/>
      <c r="CP86" s="100"/>
      <c r="CQ86" s="100"/>
      <c r="CR86" s="100"/>
      <c r="CS86" s="100"/>
      <c r="CT86" s="100"/>
      <c r="CU86" s="100"/>
      <c r="CV86" s="100"/>
      <c r="CW86" s="100"/>
      <c r="CX86" s="100"/>
      <c r="CY86" s="100"/>
      <c r="CZ86" s="100"/>
      <c r="DA86" s="100"/>
      <c r="DB86" s="100"/>
      <c r="DC86" s="100"/>
      <c r="DD86" s="100"/>
      <c r="DE86" s="100"/>
      <c r="DF86" s="100"/>
      <c r="DG86" s="100"/>
      <c r="DH86" s="100"/>
      <c r="DI86" s="100"/>
      <c r="DJ86" s="100"/>
      <c r="DK86" s="100"/>
      <c r="DL86" s="100"/>
      <c r="DM86" s="100"/>
      <c r="DN86" s="100"/>
      <c r="DO86" s="100"/>
      <c r="DP86" s="100"/>
      <c r="DQ86" s="100"/>
      <c r="DR86" s="100"/>
      <c r="DS86" s="100"/>
      <c r="DT86" s="100"/>
      <c r="DU86" s="100"/>
      <c r="DV86" s="100"/>
      <c r="DW86" s="100"/>
      <c r="DX86" s="100"/>
      <c r="DY86" s="100"/>
      <c r="DZ86" s="100"/>
      <c r="EA86" s="100"/>
      <c r="EB86" s="100"/>
      <c r="EC86" s="100"/>
      <c r="ED86" s="100"/>
      <c r="EE86" s="100"/>
      <c r="EF86" s="100"/>
      <c r="EG86" s="100"/>
      <c r="EH86" s="100"/>
      <c r="EI86" s="100"/>
      <c r="EJ86" s="100"/>
      <c r="EK86" s="100"/>
      <c r="EL86" s="100"/>
      <c r="EM86" s="100"/>
      <c r="EN86" s="100"/>
      <c r="EO86" s="100"/>
      <c r="EP86" s="100"/>
      <c r="EQ86" s="100"/>
      <c r="ER86" s="100"/>
      <c r="ES86" s="100"/>
      <c r="ET86" s="100"/>
      <c r="EU86" s="100"/>
      <c r="EV86" s="100"/>
      <c r="EW86" s="100"/>
      <c r="EX86" s="100"/>
      <c r="EY86" s="100"/>
      <c r="EZ86" s="100"/>
      <c r="FA86" s="100"/>
      <c r="FB86" s="100"/>
      <c r="FC86" s="100"/>
      <c r="FD86" s="100"/>
      <c r="FE86" s="100"/>
      <c r="FF86" s="100"/>
      <c r="FG86" s="100"/>
      <c r="FH86" s="100"/>
      <c r="FI86" s="100"/>
      <c r="FJ86" s="100"/>
      <c r="FK86" s="100"/>
      <c r="FL86" s="100"/>
      <c r="FM86" s="100"/>
      <c r="FN86" s="100"/>
      <c r="FO86" s="100"/>
      <c r="FP86" s="100"/>
      <c r="FQ86" s="100"/>
      <c r="FR86" s="100"/>
      <c r="FS86" s="100"/>
      <c r="FT86" s="100"/>
      <c r="FU86" s="100"/>
      <c r="FV86" s="100"/>
      <c r="FW86" s="100"/>
      <c r="FX86" s="100"/>
      <c r="FY86" s="100"/>
      <c r="FZ86" s="100"/>
      <c r="GA86" s="100"/>
      <c r="GB86" s="100"/>
      <c r="GC86" s="100"/>
      <c r="GD86" s="100"/>
      <c r="GE86" s="100"/>
      <c r="GF86" s="100"/>
      <c r="GG86" s="100"/>
      <c r="GH86" s="100"/>
      <c r="GI86" s="100"/>
      <c r="GJ86" s="100"/>
      <c r="GK86" s="100"/>
      <c r="GL86" s="100"/>
      <c r="GM86" s="100"/>
      <c r="GN86" s="100"/>
      <c r="GO86" s="100"/>
      <c r="GP86" s="100"/>
      <c r="GQ86" s="100"/>
      <c r="GR86" s="100"/>
      <c r="GS86" s="100"/>
      <c r="GT86" s="100"/>
      <c r="GU86" s="100"/>
      <c r="GV86" s="100"/>
      <c r="GW86" s="100"/>
      <c r="GX86" s="100"/>
      <c r="GY86" s="100"/>
      <c r="GZ86" s="100"/>
      <c r="HA86" s="100"/>
      <c r="HB86" s="100"/>
      <c r="HC86" s="100"/>
      <c r="HD86" s="100"/>
      <c r="HE86" s="100"/>
      <c r="HF86" s="100"/>
      <c r="HG86" s="100"/>
      <c r="HH86" s="100"/>
      <c r="HI86" s="100"/>
      <c r="HJ86" s="100"/>
      <c r="HK86" s="100"/>
      <c r="HL86" s="100"/>
      <c r="HM86" s="100"/>
      <c r="HN86" s="100"/>
      <c r="HO86" s="100"/>
      <c r="HP86" s="100"/>
      <c r="HQ86" s="100"/>
      <c r="HR86" s="100"/>
      <c r="HS86" s="100"/>
      <c r="HT86" s="100"/>
      <c r="HU86" s="100"/>
      <c r="HV86" s="100"/>
      <c r="HW86" s="100"/>
      <c r="HX86" s="100"/>
      <c r="HY86" s="100"/>
      <c r="HZ86" s="100"/>
      <c r="IA86" s="100"/>
      <c r="IB86" s="100"/>
      <c r="IC86" s="100"/>
      <c r="ID86" s="100"/>
      <c r="IE86" s="100"/>
      <c r="IF86" s="100"/>
      <c r="IG86" s="100"/>
      <c r="IH86" s="100"/>
      <c r="II86" s="100"/>
      <c r="IJ86" s="100"/>
      <c r="IK86" s="100"/>
      <c r="IL86" s="100"/>
      <c r="IM86" s="100"/>
      <c r="IN86" s="100"/>
      <c r="IO86" s="100"/>
      <c r="IP86" s="100"/>
      <c r="IQ86" s="100"/>
      <c r="IR86" s="100"/>
      <c r="IS86" s="100"/>
      <c r="IT86" s="100"/>
      <c r="IU86" s="100"/>
      <c r="IV86" s="100"/>
      <c r="IW86" s="100"/>
    </row>
    <row r="87" customFormat="false" ht="12.75" hidden="false" customHeight="true" outlineLevel="0" collapsed="false">
      <c r="A87" s="97" t="s">
        <v>170</v>
      </c>
      <c r="B87" s="47"/>
      <c r="C87" s="79" t="n">
        <f aca="false">'YTD GrossMargin'!I87</f>
        <v>8078</v>
      </c>
      <c r="D87" s="79" t="n">
        <f aca="false">'YTD GrossMargin'!J87</f>
        <v>0</v>
      </c>
      <c r="E87" s="214" t="n">
        <f aca="false">-D87+C87</f>
        <v>8078</v>
      </c>
      <c r="F87" s="81"/>
      <c r="G87" s="63" t="n">
        <f aca="false">Expenses!C85+Expenses!F85</f>
        <v>0</v>
      </c>
      <c r="H87" s="63" t="n">
        <f aca="false">Expenses!D85+Expenses!G85</f>
        <v>0</v>
      </c>
      <c r="I87" s="203" t="n">
        <f aca="false">H87-G87</f>
        <v>0</v>
      </c>
      <c r="J87" s="47"/>
      <c r="K87" s="63" t="n">
        <f aca="false">'Cap Charge'!C85-170422</f>
        <v>-217686</v>
      </c>
      <c r="L87" s="63" t="n">
        <f aca="false">-L67</f>
        <v>-324322</v>
      </c>
      <c r="M87" s="203" t="n">
        <f aca="false">L87-K87</f>
        <v>-106636</v>
      </c>
      <c r="N87" s="77"/>
      <c r="O87" s="78" t="n">
        <f aca="false">C87-G87-K87</f>
        <v>225764</v>
      </c>
      <c r="P87" s="79" t="n">
        <f aca="false">D87-H87-L87</f>
        <v>324322</v>
      </c>
      <c r="Q87" s="203" t="n">
        <f aca="false">O87-P87</f>
        <v>-98558</v>
      </c>
    </row>
    <row r="88" customFormat="false" ht="12.75" hidden="false" customHeight="true" outlineLevel="0" collapsed="false">
      <c r="A88" s="101" t="s">
        <v>171</v>
      </c>
      <c r="B88" s="191"/>
      <c r="C88" s="192" t="n">
        <f aca="false">(SUM(C84:C87))+C83+C67</f>
        <v>2895534</v>
      </c>
      <c r="D88" s="224" t="n">
        <f aca="false">SUM(D84:D87)+D67+D83</f>
        <v>1649990</v>
      </c>
      <c r="E88" s="224" t="n">
        <f aca="false">SUM(E84:E87)+E67+E83</f>
        <v>1245544</v>
      </c>
      <c r="F88" s="227" t="n">
        <f aca="false">SUM(F84:F87)+F67+F83</f>
        <v>0</v>
      </c>
      <c r="G88" s="228" t="n">
        <f aca="false">(SUM(G84:G87))+G83+G67</f>
        <v>896081</v>
      </c>
      <c r="H88" s="192" t="n">
        <f aca="false">SUM(H84:H87)+H67+H83</f>
        <v>717210</v>
      </c>
      <c r="I88" s="224" t="n">
        <f aca="false">SUM(I84:I87)+I67+I83</f>
        <v>-178871</v>
      </c>
      <c r="J88" s="165" t="n">
        <f aca="false">SUM(J84:J87)+J67+J83</f>
        <v>0</v>
      </c>
      <c r="K88" s="228" t="n">
        <f aca="false">(SUM(K84:K87))+K83+K67</f>
        <v>0</v>
      </c>
      <c r="L88" s="192" t="n">
        <f aca="false">SUM(L84:L87)+L67+L83</f>
        <v>0</v>
      </c>
      <c r="M88" s="224" t="n">
        <f aca="false">SUM(M84:M87)+M67+M83</f>
        <v>0</v>
      </c>
      <c r="N88" s="165" t="n">
        <f aca="false">SUM(N84:N87)+N67+N83</f>
        <v>0</v>
      </c>
      <c r="O88" s="228" t="n">
        <f aca="false">(SUM(O84:O87))+O83+O67</f>
        <v>1999453</v>
      </c>
      <c r="P88" s="192" t="n">
        <f aca="false">SUM(P84:P87)+P67+P83</f>
        <v>932780</v>
      </c>
      <c r="Q88" s="194" t="n">
        <f aca="false">SUM(Q84:Q87)+Q67+Q83</f>
        <v>1066673</v>
      </c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8"/>
      <c r="AD88" s="98"/>
      <c r="AE88" s="98"/>
      <c r="AF88" s="98"/>
      <c r="AG88" s="98"/>
      <c r="AH88" s="98"/>
      <c r="AI88" s="98"/>
      <c r="AJ88" s="98"/>
      <c r="AK88" s="98"/>
      <c r="AL88" s="98"/>
      <c r="AM88" s="98"/>
      <c r="AN88" s="98"/>
      <c r="AO88" s="98"/>
      <c r="AP88" s="98"/>
      <c r="AQ88" s="98"/>
      <c r="AR88" s="98"/>
      <c r="AS88" s="98"/>
      <c r="AT88" s="98"/>
      <c r="AU88" s="98"/>
      <c r="AV88" s="98"/>
      <c r="AW88" s="98"/>
      <c r="AX88" s="98"/>
      <c r="AY88" s="98"/>
      <c r="AZ88" s="98"/>
      <c r="BA88" s="98"/>
      <c r="BB88" s="98"/>
      <c r="BC88" s="98"/>
      <c r="BD88" s="98"/>
      <c r="BE88" s="98"/>
      <c r="BF88" s="98"/>
      <c r="BG88" s="98"/>
      <c r="BH88" s="98"/>
      <c r="BI88" s="98"/>
      <c r="BJ88" s="98"/>
      <c r="BK88" s="98"/>
      <c r="BL88" s="98"/>
      <c r="BM88" s="98"/>
      <c r="BN88" s="98"/>
      <c r="BO88" s="98"/>
      <c r="BP88" s="98"/>
      <c r="BQ88" s="98"/>
      <c r="BR88" s="98"/>
      <c r="BS88" s="98"/>
      <c r="BT88" s="98"/>
      <c r="BU88" s="98"/>
      <c r="BV88" s="98"/>
      <c r="BW88" s="98"/>
      <c r="BX88" s="98"/>
      <c r="BY88" s="98"/>
      <c r="BZ88" s="98"/>
      <c r="CA88" s="98"/>
      <c r="CB88" s="98"/>
      <c r="CC88" s="98"/>
      <c r="CD88" s="98"/>
      <c r="CE88" s="98"/>
      <c r="CF88" s="98"/>
      <c r="CG88" s="98"/>
      <c r="CH88" s="98"/>
      <c r="CI88" s="98"/>
      <c r="CJ88" s="98"/>
      <c r="CK88" s="98"/>
      <c r="CL88" s="98"/>
      <c r="CM88" s="98"/>
      <c r="CN88" s="98"/>
      <c r="CO88" s="98"/>
      <c r="CP88" s="98"/>
      <c r="CQ88" s="98"/>
      <c r="CR88" s="98"/>
      <c r="CS88" s="98"/>
      <c r="CT88" s="98"/>
      <c r="CU88" s="98"/>
      <c r="CV88" s="98"/>
      <c r="CW88" s="98"/>
      <c r="CX88" s="98"/>
      <c r="CY88" s="98"/>
      <c r="CZ88" s="98"/>
      <c r="DA88" s="98"/>
      <c r="DB88" s="98"/>
      <c r="DC88" s="98"/>
      <c r="DD88" s="98"/>
      <c r="DE88" s="98"/>
      <c r="DF88" s="98"/>
      <c r="DG88" s="98"/>
      <c r="DH88" s="98"/>
      <c r="DI88" s="98"/>
      <c r="DJ88" s="98"/>
      <c r="DK88" s="98"/>
      <c r="DL88" s="98"/>
      <c r="DM88" s="98"/>
      <c r="DN88" s="98"/>
      <c r="DO88" s="98"/>
      <c r="DP88" s="98"/>
      <c r="DQ88" s="98"/>
      <c r="DR88" s="98"/>
      <c r="DS88" s="98"/>
      <c r="DT88" s="98"/>
      <c r="DU88" s="98"/>
      <c r="DV88" s="98"/>
      <c r="DW88" s="98"/>
      <c r="DX88" s="98"/>
      <c r="DY88" s="98"/>
      <c r="DZ88" s="98"/>
      <c r="EA88" s="98"/>
      <c r="EB88" s="98"/>
      <c r="EC88" s="98"/>
      <c r="ED88" s="98"/>
      <c r="EE88" s="98"/>
      <c r="EF88" s="98"/>
      <c r="EG88" s="98"/>
      <c r="EH88" s="98"/>
      <c r="EI88" s="98"/>
      <c r="EJ88" s="98"/>
      <c r="EK88" s="98"/>
      <c r="EL88" s="98"/>
      <c r="EM88" s="98"/>
      <c r="EN88" s="98"/>
      <c r="EO88" s="98"/>
      <c r="EP88" s="98"/>
      <c r="EQ88" s="98"/>
      <c r="ER88" s="98"/>
      <c r="ES88" s="98"/>
      <c r="ET88" s="98"/>
      <c r="EU88" s="98"/>
      <c r="EV88" s="98"/>
      <c r="EW88" s="98"/>
      <c r="EX88" s="98"/>
      <c r="EY88" s="98"/>
      <c r="EZ88" s="98"/>
      <c r="FA88" s="98"/>
      <c r="FB88" s="98"/>
      <c r="FC88" s="98"/>
      <c r="FD88" s="98"/>
      <c r="FE88" s="98"/>
      <c r="FF88" s="98"/>
      <c r="FG88" s="98"/>
      <c r="FH88" s="98"/>
      <c r="FI88" s="98"/>
      <c r="FJ88" s="98"/>
      <c r="FK88" s="98"/>
      <c r="FL88" s="98"/>
      <c r="FM88" s="98"/>
      <c r="FN88" s="98"/>
      <c r="FO88" s="98"/>
      <c r="FP88" s="98"/>
      <c r="FQ88" s="98"/>
      <c r="FR88" s="98"/>
      <c r="FS88" s="98"/>
      <c r="FT88" s="98"/>
      <c r="FU88" s="98"/>
      <c r="FV88" s="98"/>
      <c r="FW88" s="98"/>
      <c r="FX88" s="98"/>
      <c r="FY88" s="98"/>
      <c r="FZ88" s="98"/>
      <c r="GA88" s="98"/>
      <c r="GB88" s="98"/>
      <c r="GC88" s="98"/>
      <c r="GD88" s="98"/>
      <c r="GE88" s="98"/>
      <c r="GF88" s="98"/>
      <c r="GG88" s="98"/>
      <c r="GH88" s="98"/>
      <c r="GI88" s="98"/>
      <c r="GJ88" s="98"/>
      <c r="GK88" s="98"/>
      <c r="GL88" s="98"/>
      <c r="GM88" s="98"/>
      <c r="GN88" s="98"/>
      <c r="GO88" s="98"/>
      <c r="GP88" s="98"/>
      <c r="GQ88" s="98"/>
      <c r="GR88" s="98"/>
      <c r="GS88" s="98"/>
      <c r="GT88" s="98"/>
      <c r="GU88" s="98"/>
      <c r="GV88" s="98"/>
      <c r="GW88" s="98"/>
      <c r="GX88" s="98"/>
      <c r="GY88" s="98"/>
      <c r="GZ88" s="98"/>
      <c r="HA88" s="98"/>
      <c r="HB88" s="98"/>
      <c r="HC88" s="98"/>
      <c r="HD88" s="98"/>
      <c r="HE88" s="98"/>
      <c r="HF88" s="98"/>
      <c r="HG88" s="98"/>
      <c r="HH88" s="98"/>
      <c r="HI88" s="98"/>
      <c r="HJ88" s="98"/>
      <c r="HK88" s="98"/>
      <c r="HL88" s="98"/>
      <c r="HM88" s="98"/>
      <c r="HN88" s="98"/>
      <c r="HO88" s="98"/>
      <c r="HP88" s="98"/>
      <c r="HQ88" s="98"/>
      <c r="HR88" s="98"/>
      <c r="HS88" s="98"/>
      <c r="HT88" s="98"/>
      <c r="HU88" s="98"/>
      <c r="HV88" s="98"/>
      <c r="HW88" s="98"/>
      <c r="HX88" s="98"/>
      <c r="HY88" s="98"/>
      <c r="HZ88" s="98"/>
      <c r="IA88" s="98"/>
      <c r="IB88" s="98"/>
      <c r="IC88" s="98"/>
      <c r="ID88" s="98"/>
      <c r="IE88" s="98"/>
      <c r="IF88" s="98"/>
      <c r="IG88" s="98"/>
      <c r="IH88" s="98"/>
      <c r="II88" s="98"/>
      <c r="IJ88" s="98"/>
      <c r="IK88" s="98"/>
      <c r="IL88" s="98"/>
      <c r="IM88" s="98"/>
      <c r="IN88" s="98"/>
      <c r="IO88" s="98"/>
      <c r="IP88" s="98"/>
      <c r="IQ88" s="98"/>
      <c r="IR88" s="98"/>
      <c r="IS88" s="98"/>
      <c r="IT88" s="98"/>
      <c r="IU88" s="98"/>
      <c r="IV88" s="98"/>
      <c r="IW88" s="98"/>
    </row>
    <row r="89" customFormat="false" ht="12.75" hidden="false" customHeight="true" outlineLevel="0" collapsed="false">
      <c r="A89" s="97" t="s">
        <v>87</v>
      </c>
      <c r="B89" s="47"/>
      <c r="C89" s="74" t="n">
        <v>0</v>
      </c>
      <c r="D89" s="95" t="n">
        <v>0</v>
      </c>
      <c r="E89" s="76" t="n">
        <f aca="false">D89-C89</f>
        <v>0</v>
      </c>
      <c r="F89" s="81"/>
      <c r="G89" s="78" t="n">
        <v>100550</v>
      </c>
      <c r="H89" s="79" t="n">
        <v>108384</v>
      </c>
      <c r="I89" s="203" t="n">
        <f aca="false">H89-G89</f>
        <v>7834</v>
      </c>
      <c r="J89" s="47"/>
      <c r="K89" s="79" t="n">
        <v>0</v>
      </c>
      <c r="L89" s="79" t="n">
        <v>0</v>
      </c>
      <c r="M89" s="203" t="n">
        <f aca="false">L89-K89</f>
        <v>0</v>
      </c>
      <c r="N89" s="77"/>
      <c r="O89" s="188" t="n">
        <f aca="false">C89-G89-K89</f>
        <v>-100550</v>
      </c>
      <c r="P89" s="189" t="n">
        <f aca="false">D89-H89-L89</f>
        <v>-108384</v>
      </c>
      <c r="Q89" s="229" t="n">
        <f aca="false">O89-P89</f>
        <v>7834</v>
      </c>
    </row>
    <row r="90" customFormat="false" ht="12.75" hidden="false" customHeight="true" outlineLevel="0" collapsed="false">
      <c r="A90" s="101" t="s">
        <v>172</v>
      </c>
      <c r="B90" s="102"/>
      <c r="C90" s="103" t="n">
        <f aca="false">SUM(C88:C89)</f>
        <v>2895534</v>
      </c>
      <c r="D90" s="104" t="n">
        <f aca="false">SUM(D88:D89)</f>
        <v>1649990</v>
      </c>
      <c r="E90" s="105" t="n">
        <f aca="false">SUM(E88:E89)</f>
        <v>1245544</v>
      </c>
      <c r="F90" s="106" t="n">
        <f aca="false">SUM(F88:F89)</f>
        <v>0</v>
      </c>
      <c r="G90" s="107" t="n">
        <f aca="false">SUM(G88:G89)</f>
        <v>996631</v>
      </c>
      <c r="H90" s="108" t="n">
        <f aca="false">SUM(H88:H89)</f>
        <v>825594</v>
      </c>
      <c r="I90" s="108" t="n">
        <f aca="false">SUM(I88:I89)</f>
        <v>-171037</v>
      </c>
      <c r="J90" s="106" t="n">
        <f aca="false">SUM(J88:J89)</f>
        <v>0</v>
      </c>
      <c r="K90" s="107" t="n">
        <f aca="false">SUM(K88:K89)</f>
        <v>0</v>
      </c>
      <c r="L90" s="108" t="n">
        <f aca="false">SUM(L88:L89)</f>
        <v>0</v>
      </c>
      <c r="M90" s="108" t="n">
        <f aca="false">SUM(M88:M89)</f>
        <v>0</v>
      </c>
      <c r="N90" s="111" t="n">
        <f aca="false">SUM(N88:N89)</f>
        <v>0</v>
      </c>
      <c r="O90" s="230" t="n">
        <f aca="false">SUM(O88:O89)</f>
        <v>1898903</v>
      </c>
      <c r="P90" s="231" t="n">
        <f aca="false">SUM(P88:P89)</f>
        <v>824396</v>
      </c>
      <c r="Q90" s="232" t="n">
        <f aca="false">SUM(Q88:Q89)</f>
        <v>1074507</v>
      </c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  <c r="AI90" s="98"/>
      <c r="AJ90" s="98"/>
      <c r="AK90" s="98"/>
      <c r="AL90" s="98"/>
      <c r="AM90" s="98"/>
      <c r="AN90" s="98"/>
      <c r="AO90" s="98"/>
      <c r="AP90" s="98"/>
      <c r="AQ90" s="98"/>
      <c r="AR90" s="98"/>
      <c r="AS90" s="98"/>
      <c r="AT90" s="98"/>
      <c r="AU90" s="98"/>
      <c r="AV90" s="98"/>
      <c r="AW90" s="98"/>
      <c r="AX90" s="98"/>
      <c r="AY90" s="98"/>
      <c r="AZ90" s="98"/>
      <c r="BA90" s="98"/>
      <c r="BB90" s="98"/>
      <c r="BC90" s="98"/>
      <c r="BD90" s="98"/>
      <c r="BE90" s="98"/>
      <c r="BF90" s="98"/>
      <c r="BG90" s="98"/>
      <c r="BH90" s="98"/>
      <c r="BI90" s="98"/>
      <c r="BJ90" s="98"/>
      <c r="BK90" s="98"/>
      <c r="BL90" s="98"/>
      <c r="BM90" s="98"/>
      <c r="BN90" s="98"/>
      <c r="BO90" s="98"/>
      <c r="BP90" s="98"/>
      <c r="BQ90" s="98"/>
      <c r="BR90" s="98"/>
      <c r="BS90" s="98"/>
      <c r="BT90" s="98"/>
      <c r="BU90" s="98"/>
      <c r="BV90" s="98"/>
      <c r="BW90" s="98"/>
      <c r="BX90" s="98"/>
      <c r="BY90" s="98"/>
      <c r="BZ90" s="98"/>
      <c r="CA90" s="98"/>
      <c r="CB90" s="98"/>
      <c r="CC90" s="98"/>
      <c r="CD90" s="98"/>
      <c r="CE90" s="98"/>
      <c r="CF90" s="98"/>
      <c r="CG90" s="98"/>
      <c r="CH90" s="98"/>
      <c r="CI90" s="98"/>
      <c r="CJ90" s="98"/>
      <c r="CK90" s="98"/>
      <c r="CL90" s="98"/>
      <c r="CM90" s="98"/>
      <c r="CN90" s="98"/>
      <c r="CO90" s="98"/>
      <c r="CP90" s="98"/>
      <c r="CQ90" s="98"/>
      <c r="CR90" s="98"/>
      <c r="CS90" s="98"/>
      <c r="CT90" s="98"/>
      <c r="CU90" s="98"/>
      <c r="CV90" s="98"/>
      <c r="CW90" s="98"/>
      <c r="CX90" s="98"/>
      <c r="CY90" s="98"/>
      <c r="CZ90" s="98"/>
      <c r="DA90" s="98"/>
      <c r="DB90" s="98"/>
      <c r="DC90" s="98"/>
      <c r="DD90" s="98"/>
      <c r="DE90" s="98"/>
      <c r="DF90" s="98"/>
      <c r="DG90" s="98"/>
      <c r="DH90" s="98"/>
      <c r="DI90" s="98"/>
      <c r="DJ90" s="98"/>
      <c r="DK90" s="98"/>
      <c r="DL90" s="98"/>
      <c r="DM90" s="98"/>
      <c r="DN90" s="98"/>
      <c r="DO90" s="98"/>
      <c r="DP90" s="98"/>
      <c r="DQ90" s="98"/>
      <c r="DR90" s="98"/>
      <c r="DS90" s="98"/>
      <c r="DT90" s="98"/>
      <c r="DU90" s="98"/>
      <c r="DV90" s="98"/>
      <c r="DW90" s="98"/>
      <c r="DX90" s="98"/>
      <c r="DY90" s="98"/>
      <c r="DZ90" s="98"/>
      <c r="EA90" s="98"/>
      <c r="EB90" s="98"/>
      <c r="EC90" s="98"/>
      <c r="ED90" s="98"/>
      <c r="EE90" s="98"/>
      <c r="EF90" s="98"/>
      <c r="EG90" s="98"/>
      <c r="EH90" s="98"/>
      <c r="EI90" s="98"/>
      <c r="EJ90" s="98"/>
      <c r="EK90" s="98"/>
      <c r="EL90" s="98"/>
      <c r="EM90" s="98"/>
      <c r="EN90" s="98"/>
      <c r="EO90" s="98"/>
      <c r="EP90" s="98"/>
      <c r="EQ90" s="98"/>
      <c r="ER90" s="98"/>
      <c r="ES90" s="98"/>
      <c r="ET90" s="98"/>
      <c r="EU90" s="98"/>
      <c r="EV90" s="98"/>
      <c r="EW90" s="98"/>
      <c r="EX90" s="98"/>
      <c r="EY90" s="98"/>
      <c r="EZ90" s="98"/>
      <c r="FA90" s="98"/>
      <c r="FB90" s="98"/>
      <c r="FC90" s="98"/>
      <c r="FD90" s="98"/>
      <c r="FE90" s="98"/>
      <c r="FF90" s="98"/>
      <c r="FG90" s="98"/>
      <c r="FH90" s="98"/>
      <c r="FI90" s="98"/>
      <c r="FJ90" s="98"/>
      <c r="FK90" s="98"/>
      <c r="FL90" s="98"/>
      <c r="FM90" s="98"/>
      <c r="FN90" s="98"/>
      <c r="FO90" s="98"/>
      <c r="FP90" s="98"/>
      <c r="FQ90" s="98"/>
      <c r="FR90" s="98"/>
      <c r="FS90" s="98"/>
      <c r="FT90" s="98"/>
      <c r="FU90" s="98"/>
      <c r="FV90" s="98"/>
      <c r="FW90" s="98"/>
      <c r="FX90" s="98"/>
      <c r="FY90" s="98"/>
      <c r="FZ90" s="98"/>
      <c r="GA90" s="98"/>
      <c r="GB90" s="98"/>
      <c r="GC90" s="98"/>
      <c r="GD90" s="98"/>
      <c r="GE90" s="98"/>
      <c r="GF90" s="98"/>
      <c r="GG90" s="98"/>
      <c r="GH90" s="98"/>
      <c r="GI90" s="98"/>
      <c r="GJ90" s="98"/>
      <c r="GK90" s="98"/>
      <c r="GL90" s="98"/>
      <c r="GM90" s="98"/>
      <c r="GN90" s="98"/>
      <c r="GO90" s="98"/>
      <c r="GP90" s="98"/>
      <c r="GQ90" s="98"/>
      <c r="GR90" s="98"/>
      <c r="GS90" s="98"/>
      <c r="GT90" s="98"/>
      <c r="GU90" s="98"/>
      <c r="GV90" s="98"/>
      <c r="GW90" s="98"/>
      <c r="GX90" s="98"/>
      <c r="GY90" s="98"/>
      <c r="GZ90" s="98"/>
      <c r="HA90" s="98"/>
      <c r="HB90" s="98"/>
      <c r="HC90" s="98"/>
      <c r="HD90" s="98"/>
      <c r="HE90" s="98"/>
      <c r="HF90" s="98"/>
      <c r="HG90" s="98"/>
      <c r="HH90" s="98"/>
      <c r="HI90" s="98"/>
      <c r="HJ90" s="98"/>
      <c r="HK90" s="98"/>
      <c r="HL90" s="98"/>
      <c r="HM90" s="98"/>
      <c r="HN90" s="98"/>
      <c r="HO90" s="98"/>
      <c r="HP90" s="98"/>
      <c r="HQ90" s="98"/>
      <c r="HR90" s="98"/>
      <c r="HS90" s="98"/>
      <c r="HT90" s="98"/>
      <c r="HU90" s="98"/>
      <c r="HV90" s="98"/>
      <c r="HW90" s="98"/>
      <c r="HX90" s="98"/>
      <c r="HY90" s="98"/>
      <c r="HZ90" s="98"/>
      <c r="IA90" s="98"/>
      <c r="IB90" s="98"/>
      <c r="IC90" s="98"/>
      <c r="ID90" s="98"/>
      <c r="IE90" s="98"/>
      <c r="IF90" s="98"/>
      <c r="IG90" s="98"/>
      <c r="IH90" s="98"/>
      <c r="II90" s="98"/>
      <c r="IJ90" s="98"/>
      <c r="IK90" s="98"/>
      <c r="IL90" s="98"/>
      <c r="IM90" s="98"/>
      <c r="IN90" s="98"/>
      <c r="IO90" s="98"/>
      <c r="IP90" s="98"/>
      <c r="IQ90" s="98"/>
      <c r="IR90" s="98"/>
      <c r="IS90" s="98"/>
      <c r="IT90" s="98"/>
      <c r="IU90" s="98"/>
      <c r="IV90" s="98"/>
      <c r="IW90" s="98"/>
    </row>
    <row r="91" customFormat="false" ht="3" hidden="false" customHeight="true" outlineLevel="0" collapsed="false">
      <c r="A91" s="112"/>
      <c r="C91" s="113"/>
      <c r="D91" s="114"/>
      <c r="E91" s="112"/>
      <c r="F91" s="114"/>
    </row>
    <row r="93" customFormat="false" ht="12.75" hidden="false" customHeight="false" outlineLevel="0" collapsed="false">
      <c r="A93" s="1" t="s">
        <v>173</v>
      </c>
      <c r="C93" s="114"/>
      <c r="D93" s="114"/>
      <c r="G93" s="233"/>
      <c r="O93" s="226"/>
      <c r="P93" s="233"/>
    </row>
    <row r="94" customFormat="false" ht="12.75" hidden="false" customHeight="false" outlineLevel="0" collapsed="false">
      <c r="C94" s="114"/>
      <c r="D94" s="114"/>
      <c r="G94" s="233"/>
      <c r="O94" s="226"/>
      <c r="P94" s="233" t="n">
        <f aca="false">P88</f>
        <v>932780</v>
      </c>
    </row>
    <row r="95" customFormat="false" ht="12.75" hidden="false" customHeight="false" outlineLevel="0" collapsed="false">
      <c r="C95" s="234"/>
      <c r="D95" s="234"/>
      <c r="G95" s="233"/>
      <c r="H95" s="233"/>
      <c r="O95" s="233"/>
      <c r="P95" s="235" t="n">
        <v>932800</v>
      </c>
    </row>
    <row r="96" customFormat="false" ht="12.75" hidden="false" customHeight="false" outlineLevel="0" collapsed="false">
      <c r="C96" s="114"/>
      <c r="G96" s="226"/>
      <c r="O96" s="226"/>
      <c r="P96" s="233" t="n">
        <f aca="false">P94-P95</f>
        <v>-20</v>
      </c>
    </row>
    <row r="97" customFormat="false" ht="12.75" hidden="false" customHeight="false" outlineLevel="0" collapsed="false">
      <c r="C97" s="234"/>
      <c r="D97" s="234"/>
      <c r="G97" s="233"/>
      <c r="H97" s="233"/>
      <c r="O97" s="226"/>
      <c r="P97" s="235"/>
    </row>
    <row r="98" customFormat="false" ht="12.75" hidden="false" customHeight="false" outlineLevel="0" collapsed="false">
      <c r="O98" s="226"/>
    </row>
    <row r="99" customFormat="false" ht="12.75" hidden="false" customHeight="false" outlineLevel="0" collapsed="false">
      <c r="O99" s="233"/>
    </row>
  </sheetData>
  <mergeCells count="7">
    <mergeCell ref="L2:Q2"/>
    <mergeCell ref="C6:E7"/>
    <mergeCell ref="G6:I6"/>
    <mergeCell ref="K6:M6"/>
    <mergeCell ref="O6:Q7"/>
    <mergeCell ref="G7:I7"/>
    <mergeCell ref="K7:M7"/>
  </mergeCells>
  <printOptions headings="false" gridLines="false" gridLinesSet="true" horizontalCentered="true" verticalCentered="false"/>
  <pageMargins left="0.25" right="0.25" top="0.2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8" topLeftCell="BM9" activePane="bottomLeft" state="frozen"/>
      <selection pane="topLeft" activeCell="A1" activeCellId="0" sqref="A1"/>
      <selection pane="bottomLeft" activeCell="A9" activeCellId="0" sqref="A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8.99"/>
    <col collapsed="false" customWidth="true" hidden="false" outlineLevel="0" max="2" min="2" style="1" width="0.85"/>
    <col collapsed="false" customWidth="true" hidden="false" outlineLevel="0" max="4" min="3" style="1" width="8.7"/>
    <col collapsed="false" customWidth="false" hidden="false" outlineLevel="0" max="5" min="5" style="1" width="9.14"/>
    <col collapsed="false" customWidth="true" hidden="false" outlineLevel="0" max="6" min="6" style="2" width="9.28"/>
    <col collapsed="false" customWidth="true" hidden="false" outlineLevel="0" max="7" min="7" style="2" width="8.99"/>
    <col collapsed="false" customWidth="true" hidden="false" outlineLevel="0" max="10" min="8" style="2" width="8.7"/>
    <col collapsed="false" customWidth="true" hidden="false" outlineLevel="0" max="11" min="11" style="2" width="8.85"/>
    <col collapsed="false" customWidth="true" hidden="false" outlineLevel="0" max="12" min="12" style="1" width="0.85"/>
    <col collapsed="false" customWidth="true" hidden="false" outlineLevel="0" max="13" min="13" style="1" width="8.7"/>
    <col collapsed="false" customWidth="true" hidden="false" outlineLevel="0" max="17" min="14" style="1" width="7.7"/>
    <col collapsed="false" customWidth="true" hidden="false" outlineLevel="0" max="19" min="18" style="1" width="8.7"/>
    <col collapsed="false" customWidth="true" hidden="false" outlineLevel="0" max="20" min="20" style="1" width="0.85"/>
    <col collapsed="false" customWidth="false" hidden="false" outlineLevel="0" max="257" min="21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3"/>
      <c r="G1" s="3"/>
      <c r="H1" s="3"/>
      <c r="I1" s="3"/>
      <c r="J1" s="3"/>
      <c r="K1" s="3"/>
      <c r="L1" s="0"/>
      <c r="M1" s="0"/>
      <c r="N1" s="0"/>
      <c r="O1" s="0"/>
      <c r="P1" s="0"/>
      <c r="Q1" s="0"/>
      <c r="R1" s="0"/>
      <c r="S1" s="0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29.25" hidden="false" customHeight="true" outlineLevel="0" collapsed="false">
      <c r="A2" s="289" t="s">
        <v>0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7"/>
      <c r="M2" s="7"/>
      <c r="N2" s="7"/>
      <c r="O2" s="7"/>
      <c r="P2" s="7"/>
      <c r="Q2" s="7"/>
      <c r="R2" s="7"/>
      <c r="S2" s="9"/>
      <c r="T2" s="10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</row>
    <row r="3" customFormat="false" ht="15.75" hidden="false" customHeight="true" outlineLevel="0" collapsed="false">
      <c r="A3" s="290" t="s">
        <v>212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0"/>
      <c r="M3" s="0"/>
      <c r="N3" s="0"/>
      <c r="O3" s="0"/>
      <c r="P3" s="0"/>
      <c r="Q3" s="0"/>
      <c r="R3" s="0"/>
      <c r="S3" s="5"/>
      <c r="T3" s="10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5.75" hidden="false" customHeight="true" outlineLevel="0" collapsed="false">
      <c r="A4" s="290" t="str">
        <f aca="false">'QTD Mgmt Summary'!Q3</f>
        <v>Results based on activity through Aug 3, 2001</v>
      </c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0"/>
      <c r="M4" s="0"/>
      <c r="N4" s="0"/>
      <c r="O4" s="0"/>
      <c r="P4" s="0"/>
      <c r="Q4" s="0"/>
      <c r="R4" s="0"/>
      <c r="S4" s="5"/>
      <c r="T4" s="10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</row>
    <row r="5" customFormat="false" ht="15" hidden="false" customHeight="true" outlineLevel="0" collapsed="false">
      <c r="A5" s="0"/>
      <c r="B5" s="0"/>
      <c r="C5" s="0"/>
      <c r="D5" s="0"/>
      <c r="E5" s="0"/>
      <c r="F5" s="3"/>
      <c r="G5" s="3"/>
      <c r="H5" s="3"/>
      <c r="I5" s="3"/>
      <c r="J5" s="3"/>
      <c r="K5" s="3"/>
      <c r="L5" s="0"/>
      <c r="M5" s="0"/>
      <c r="N5" s="0"/>
      <c r="O5" s="0"/>
      <c r="P5" s="0"/>
      <c r="Q5" s="0"/>
      <c r="R5" s="0"/>
      <c r="S5" s="0"/>
      <c r="T5" s="12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</row>
    <row r="6" customFormat="false" ht="15" hidden="false" customHeight="true" outlineLevel="0" collapsed="false">
      <c r="A6" s="13"/>
      <c r="B6" s="291"/>
      <c r="C6" s="15" t="s">
        <v>186</v>
      </c>
      <c r="D6" s="15"/>
      <c r="E6" s="15"/>
      <c r="F6" s="15"/>
      <c r="G6" s="15"/>
      <c r="H6" s="15"/>
      <c r="I6" s="17"/>
      <c r="J6" s="17"/>
      <c r="K6" s="17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</row>
    <row r="7" customFormat="false" ht="14.25" hidden="false" customHeight="true" outlineLevel="0" collapsed="false">
      <c r="A7" s="160" t="s">
        <v>7</v>
      </c>
      <c r="B7" s="33"/>
      <c r="C7" s="15"/>
      <c r="D7" s="15"/>
      <c r="E7" s="15"/>
      <c r="F7" s="15"/>
      <c r="G7" s="15"/>
      <c r="H7" s="15"/>
      <c r="I7" s="292" t="s">
        <v>8</v>
      </c>
      <c r="J7" s="23"/>
      <c r="K7" s="293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</row>
    <row r="8" customFormat="false" ht="18" hidden="false" customHeight="true" outlineLevel="0" collapsed="false">
      <c r="A8" s="32"/>
      <c r="B8" s="294"/>
      <c r="C8" s="295" t="s">
        <v>187</v>
      </c>
      <c r="D8" s="296" t="s">
        <v>188</v>
      </c>
      <c r="E8" s="296" t="s">
        <v>189</v>
      </c>
      <c r="F8" s="297" t="s">
        <v>180</v>
      </c>
      <c r="G8" s="297" t="s">
        <v>181</v>
      </c>
      <c r="H8" s="298" t="s">
        <v>96</v>
      </c>
      <c r="I8" s="38" t="s">
        <v>3</v>
      </c>
      <c r="J8" s="297" t="s">
        <v>9</v>
      </c>
      <c r="K8" s="298" t="s">
        <v>10</v>
      </c>
    </row>
    <row r="9" customFormat="false" ht="12.75" hidden="false" customHeight="true" outlineLevel="0" collapsed="false">
      <c r="A9" s="46" t="str">
        <f aca="false">'QTD Mgmt Summary'!A9</f>
        <v>Norteast Trading (Davis)</v>
      </c>
      <c r="B9" s="173"/>
      <c r="C9" s="59" t="n">
        <f aca="false">GrossMargin!C9+154103</f>
        <v>169730</v>
      </c>
      <c r="D9" s="299" t="n">
        <f aca="false">GrossMargin!D9</f>
        <v>0</v>
      </c>
      <c r="E9" s="299" t="n">
        <f aca="false">GrossMargin!E9</f>
        <v>0</v>
      </c>
      <c r="F9" s="299" t="n">
        <f aca="false">GrossMargin!F9</f>
        <v>0</v>
      </c>
      <c r="G9" s="299" t="n">
        <f aca="false">GrossMargin!G9</f>
        <v>0</v>
      </c>
      <c r="H9" s="299" t="n">
        <f aca="false">GrossMargin!H9</f>
        <v>0</v>
      </c>
      <c r="I9" s="59" t="n">
        <f aca="false">SUM(C9:H9)</f>
        <v>169730</v>
      </c>
      <c r="J9" s="299" t="n">
        <v>50000</v>
      </c>
      <c r="K9" s="176" t="n">
        <f aca="false">I9-J9</f>
        <v>119730</v>
      </c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72"/>
      <c r="CA9" s="72"/>
      <c r="CB9" s="72"/>
      <c r="CC9" s="72"/>
      <c r="CD9" s="72"/>
      <c r="CE9" s="72"/>
      <c r="CF9" s="72"/>
      <c r="CG9" s="72"/>
      <c r="CH9" s="72"/>
      <c r="CI9" s="72"/>
      <c r="CJ9" s="72"/>
      <c r="CK9" s="72"/>
      <c r="CL9" s="72"/>
      <c r="CM9" s="72"/>
      <c r="CN9" s="72"/>
      <c r="CO9" s="72"/>
      <c r="CP9" s="72"/>
      <c r="CQ9" s="72"/>
      <c r="CR9" s="72"/>
      <c r="CS9" s="72"/>
      <c r="CT9" s="72"/>
      <c r="CU9" s="72"/>
      <c r="CV9" s="72"/>
      <c r="CW9" s="72"/>
      <c r="CX9" s="72"/>
      <c r="CY9" s="72"/>
      <c r="CZ9" s="72"/>
      <c r="DA9" s="72"/>
      <c r="DB9" s="72"/>
      <c r="DC9" s="72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</row>
    <row r="10" customFormat="false" ht="12.75" hidden="false" customHeight="true" outlineLevel="0" collapsed="false">
      <c r="A10" s="46" t="str">
        <f aca="false">'QTD Mgmt Summary'!A10</f>
        <v>Northeast Origination (Llodia)</v>
      </c>
      <c r="B10" s="173"/>
      <c r="C10" s="300" t="n">
        <f aca="false">GrossMargin!C10</f>
        <v>0</v>
      </c>
      <c r="D10" s="301" t="n">
        <f aca="false">GrossMargin!D10</f>
        <v>0</v>
      </c>
      <c r="E10" s="114" t="n">
        <f aca="false">GrossMargin!E10+9485</f>
        <v>9660</v>
      </c>
      <c r="F10" s="301" t="n">
        <f aca="false">GrossMargin!F10</f>
        <v>0</v>
      </c>
      <c r="G10" s="301" t="n">
        <f aca="false">GrossMargin!G10</f>
        <v>0</v>
      </c>
      <c r="H10" s="301" t="n">
        <f aca="false">GrossMargin!H10</f>
        <v>0</v>
      </c>
      <c r="I10" s="74" t="n">
        <f aca="false">SUM(C10:H10)</f>
        <v>9660</v>
      </c>
      <c r="J10" s="114" t="n">
        <v>30000</v>
      </c>
      <c r="K10" s="180" t="n">
        <f aca="false">I10-J10</f>
        <v>-20340</v>
      </c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  <c r="IU10" s="72"/>
      <c r="IV10" s="72"/>
      <c r="IW10" s="72"/>
    </row>
    <row r="11" customFormat="false" ht="12.75" hidden="false" customHeight="true" outlineLevel="0" collapsed="false">
      <c r="A11" s="46" t="str">
        <f aca="false">'QTD Mgmt Summary'!A11</f>
        <v>Midwest Trading (Sturm/Baughman)</v>
      </c>
      <c r="B11" s="51"/>
      <c r="C11" s="204" t="n">
        <f aca="false">GrossMargin!C11+125783</f>
        <v>110689</v>
      </c>
      <c r="D11" s="302" t="n">
        <f aca="false">GrossMargin!D11</f>
        <v>0</v>
      </c>
      <c r="E11" s="114" t="n">
        <f aca="false">GrossMargin!E11</f>
        <v>0</v>
      </c>
      <c r="F11" s="302" t="n">
        <f aca="false">GrossMargin!F11</f>
        <v>0</v>
      </c>
      <c r="G11" s="302" t="n">
        <f aca="false">GrossMargin!G11</f>
        <v>0</v>
      </c>
      <c r="H11" s="184" t="n">
        <f aca="false">GrossMargin!H11</f>
        <v>0</v>
      </c>
      <c r="I11" s="78" t="n">
        <f aca="false">SUM(C11:H11)</f>
        <v>110689</v>
      </c>
      <c r="J11" s="226" t="n">
        <v>50000</v>
      </c>
      <c r="K11" s="184" t="n">
        <f aca="false">I11-J11</f>
        <v>60689</v>
      </c>
    </row>
    <row r="12" customFormat="false" ht="12.75" hidden="false" customHeight="true" outlineLevel="0" collapsed="false">
      <c r="A12" s="46" t="str">
        <f aca="false">'QTD Mgmt Summary'!A12</f>
        <v>Midwest Origination (Sturm/Baughman)</v>
      </c>
      <c r="B12" s="51"/>
      <c r="C12" s="204" t="n">
        <f aca="false">GrossMargin!C12</f>
        <v>0</v>
      </c>
      <c r="D12" s="302" t="n">
        <f aca="false">GrossMargin!D12</f>
        <v>0</v>
      </c>
      <c r="E12" s="114" t="n">
        <f aca="false">GrossMargin!E12+4879</f>
        <v>5144</v>
      </c>
      <c r="F12" s="302" t="n">
        <f aca="false">GrossMargin!F12</f>
        <v>0</v>
      </c>
      <c r="G12" s="302" t="n">
        <f aca="false">GrossMargin!G12</f>
        <v>0</v>
      </c>
      <c r="H12" s="184" t="n">
        <f aca="false">GrossMargin!H12</f>
        <v>0</v>
      </c>
      <c r="I12" s="78" t="n">
        <f aca="false">SUM(C12:H12)</f>
        <v>5144</v>
      </c>
      <c r="J12" s="226" t="n">
        <v>30000</v>
      </c>
      <c r="K12" s="184" t="n">
        <f aca="false">I12-J12</f>
        <v>-24856</v>
      </c>
    </row>
    <row r="13" customFormat="false" ht="12.75" hidden="false" customHeight="true" outlineLevel="0" collapsed="false">
      <c r="A13" s="46" t="str">
        <f aca="false">'QTD Mgmt Summary'!A13</f>
        <v>Southeast Trading (Herndon/Kroll) </v>
      </c>
      <c r="B13" s="51"/>
      <c r="C13" s="204" t="n">
        <f aca="false">GrossMargin!C13+10947</f>
        <v>9827</v>
      </c>
      <c r="D13" s="302" t="n">
        <f aca="false">GrossMargin!D13</f>
        <v>0</v>
      </c>
      <c r="E13" s="114" t="n">
        <f aca="false">GrossMargin!E13</f>
        <v>0</v>
      </c>
      <c r="F13" s="302" t="n">
        <f aca="false">GrossMargin!F13</f>
        <v>0</v>
      </c>
      <c r="G13" s="302" t="n">
        <f aca="false">GrossMargin!G13</f>
        <v>0</v>
      </c>
      <c r="H13" s="184" t="n">
        <f aca="false">GrossMargin!H13</f>
        <v>0</v>
      </c>
      <c r="I13" s="78" t="n">
        <f aca="false">SUM(C13:H13)</f>
        <v>9827</v>
      </c>
      <c r="J13" s="226" t="n">
        <v>50000</v>
      </c>
      <c r="K13" s="184" t="n">
        <f aca="false">I13-J13</f>
        <v>-40173</v>
      </c>
    </row>
    <row r="14" customFormat="false" ht="12.75" hidden="false" customHeight="true" outlineLevel="0" collapsed="false">
      <c r="A14" s="46" t="str">
        <f aca="false">'QTD Mgmt Summary'!A14</f>
        <v>Southeast Orig (Herndon/Kroll) </v>
      </c>
      <c r="B14" s="51"/>
      <c r="C14" s="204" t="n">
        <f aca="false">GrossMargin!C14</f>
        <v>0</v>
      </c>
      <c r="D14" s="302" t="n">
        <f aca="false">GrossMargin!D14</f>
        <v>0</v>
      </c>
      <c r="E14" s="114" t="n">
        <f aca="false">GrossMargin!E14+8053</f>
        <v>9720</v>
      </c>
      <c r="F14" s="302" t="n">
        <f aca="false">GrossMargin!F14</f>
        <v>0</v>
      </c>
      <c r="G14" s="302" t="n">
        <f aca="false">GrossMargin!G14</f>
        <v>0</v>
      </c>
      <c r="H14" s="184" t="n">
        <f aca="false">GrossMargin!H14-50</f>
        <v>-50</v>
      </c>
      <c r="I14" s="78" t="n">
        <f aca="false">SUM(C14:H14)</f>
        <v>9670</v>
      </c>
      <c r="J14" s="226" t="n">
        <v>30000</v>
      </c>
      <c r="K14" s="184" t="n">
        <f aca="false">I14-J14</f>
        <v>-20330</v>
      </c>
    </row>
    <row r="15" customFormat="false" ht="12.75" hidden="false" customHeight="true" outlineLevel="0" collapsed="false">
      <c r="A15" s="46" t="str">
        <f aca="false">'QTD Mgmt Summary'!A15</f>
        <v>ERCOT Trading (Smith/Corry)</v>
      </c>
      <c r="B15" s="51"/>
      <c r="C15" s="204" t="n">
        <f aca="false">GrossMargin!C15+6010</f>
        <v>3685</v>
      </c>
      <c r="D15" s="302" t="n">
        <f aca="false">GrossMargin!D15</f>
        <v>0</v>
      </c>
      <c r="E15" s="114" t="n">
        <f aca="false">GrossMargin!E15</f>
        <v>0</v>
      </c>
      <c r="F15" s="302" t="n">
        <f aca="false">GrossMargin!F15</f>
        <v>0</v>
      </c>
      <c r="G15" s="302" t="n">
        <f aca="false">GrossMargin!G15</f>
        <v>0</v>
      </c>
      <c r="H15" s="184" t="n">
        <f aca="false">GrossMargin!H15</f>
        <v>0</v>
      </c>
      <c r="I15" s="78" t="n">
        <f aca="false">SUM(C15:H15)</f>
        <v>3685</v>
      </c>
      <c r="J15" s="226" t="n">
        <v>17500</v>
      </c>
      <c r="K15" s="184" t="n">
        <f aca="false">I15-J15</f>
        <v>-13815</v>
      </c>
    </row>
    <row r="16" customFormat="false" ht="12.75" hidden="false" customHeight="true" outlineLevel="0" collapsed="false">
      <c r="A16" s="46" t="str">
        <f aca="false">'QTD Mgmt Summary'!A16</f>
        <v>ERCOT Orig (Smith/Corry)</v>
      </c>
      <c r="B16" s="51"/>
      <c r="C16" s="204" t="n">
        <f aca="false">GrossMargin!C16</f>
        <v>0</v>
      </c>
      <c r="D16" s="302" t="n">
        <f aca="false">GrossMargin!D16</f>
        <v>0</v>
      </c>
      <c r="E16" s="114" t="n">
        <f aca="false">GrossMargin!E16+2392</f>
        <v>2462</v>
      </c>
      <c r="F16" s="302" t="n">
        <f aca="false">GrossMargin!F16</f>
        <v>0</v>
      </c>
      <c r="G16" s="302" t="n">
        <f aca="false">GrossMargin!G16</f>
        <v>0</v>
      </c>
      <c r="H16" s="184" t="n">
        <f aca="false">GrossMargin!H16</f>
        <v>0</v>
      </c>
      <c r="I16" s="78" t="n">
        <f aca="false">SUM(C16:H16)</f>
        <v>2462</v>
      </c>
      <c r="J16" s="226" t="n">
        <v>17500</v>
      </c>
      <c r="K16" s="184" t="n">
        <f aca="false">I16-J16</f>
        <v>-15038</v>
      </c>
    </row>
    <row r="17" customFormat="false" ht="12.75" hidden="false" customHeight="true" outlineLevel="0" collapsed="false">
      <c r="A17" s="46" t="str">
        <f aca="false">'QTD Mgmt Summary'!A17</f>
        <v>Options (Arora)</v>
      </c>
      <c r="B17" s="51"/>
      <c r="C17" s="204" t="n">
        <f aca="false">GrossMargin!C17+22157</f>
        <v>26003</v>
      </c>
      <c r="D17" s="302" t="n">
        <f aca="false">GrossMargin!D17</f>
        <v>0</v>
      </c>
      <c r="E17" s="114" t="n">
        <f aca="false">GrossMargin!E17</f>
        <v>0</v>
      </c>
      <c r="F17" s="302" t="n">
        <f aca="false">GrossMargin!F17</f>
        <v>0</v>
      </c>
      <c r="G17" s="302" t="n">
        <f aca="false">GrossMargin!G17</f>
        <v>0</v>
      </c>
      <c r="H17" s="184" t="n">
        <f aca="false">GrossMargin!H17</f>
        <v>0</v>
      </c>
      <c r="I17" s="78" t="n">
        <f aca="false">SUM(C17:H17)</f>
        <v>26003</v>
      </c>
      <c r="J17" s="226" t="n">
        <v>0</v>
      </c>
      <c r="K17" s="184" t="n">
        <f aca="false">I17-J17</f>
        <v>26003</v>
      </c>
    </row>
    <row r="18" customFormat="false" ht="12.75" hidden="false" customHeight="true" outlineLevel="0" collapsed="false">
      <c r="A18" s="46" t="str">
        <f aca="false">'QTD Mgmt Summary'!A18</f>
        <v>Management  Book (Presto)</v>
      </c>
      <c r="B18" s="51"/>
      <c r="C18" s="204" t="n">
        <f aca="false">GrossMargin!C18+78574</f>
        <v>53118</v>
      </c>
      <c r="D18" s="302" t="n">
        <f aca="false">GrossMargin!D18</f>
        <v>0</v>
      </c>
      <c r="E18" s="114" t="n">
        <f aca="false">GrossMargin!E18</f>
        <v>0</v>
      </c>
      <c r="F18" s="302" t="n">
        <f aca="false">GrossMargin!F18</f>
        <v>0</v>
      </c>
      <c r="G18" s="302" t="n">
        <f aca="false">GrossMargin!G18</f>
        <v>0</v>
      </c>
      <c r="H18" s="184" t="n">
        <f aca="false">GrossMargin!H18</f>
        <v>0</v>
      </c>
      <c r="I18" s="78" t="n">
        <f aca="false">SUM(C18:H18)</f>
        <v>53118</v>
      </c>
      <c r="J18" s="226" t="n">
        <v>5000</v>
      </c>
      <c r="K18" s="184" t="n">
        <f aca="false">I18-J18</f>
        <v>48118</v>
      </c>
    </row>
    <row r="19" customFormat="false" ht="12.75" hidden="false" customHeight="true" outlineLevel="0" collapsed="false">
      <c r="A19" s="46" t="str">
        <f aca="false">'QTD Mgmt Summary'!A19</f>
        <v>Services (Will)</v>
      </c>
      <c r="B19" s="51"/>
      <c r="C19" s="204" t="n">
        <f aca="false">GrossMargin!C19+1190</f>
        <v>1272</v>
      </c>
      <c r="D19" s="302" t="n">
        <f aca="false">GrossMargin!D19</f>
        <v>0</v>
      </c>
      <c r="E19" s="114" t="n">
        <f aca="false">GrossMargin!E19</f>
        <v>0</v>
      </c>
      <c r="F19" s="302" t="n">
        <f aca="false">GrossMargin!F19</f>
        <v>0</v>
      </c>
      <c r="G19" s="302" t="n">
        <f aca="false">GrossMargin!G19</f>
        <v>0</v>
      </c>
      <c r="H19" s="184" t="n">
        <f aca="false">GrossMargin!H19</f>
        <v>0</v>
      </c>
      <c r="I19" s="78" t="n">
        <f aca="false">SUM(C19:H19)</f>
        <v>1272</v>
      </c>
      <c r="J19" s="226" t="n">
        <v>0</v>
      </c>
      <c r="K19" s="184" t="n">
        <f aca="false">I19-J19</f>
        <v>1272</v>
      </c>
    </row>
    <row r="20" customFormat="false" ht="12.75" hidden="false" customHeight="true" outlineLevel="0" collapsed="false">
      <c r="A20" s="46" t="str">
        <f aca="false">'QTD Mgmt Summary'!A20</f>
        <v>Development (Jacoby)</v>
      </c>
      <c r="B20" s="51"/>
      <c r="C20" s="204" t="n">
        <f aca="false">GrossMargin!C20</f>
        <v>0</v>
      </c>
      <c r="D20" s="302" t="n">
        <f aca="false">GrossMargin!D20</f>
        <v>0</v>
      </c>
      <c r="E20" s="114" t="n">
        <f aca="false">GrossMargin!E20</f>
        <v>0</v>
      </c>
      <c r="F20" s="302" t="n">
        <f aca="false">GrossMargin!F20</f>
        <v>0</v>
      </c>
      <c r="G20" s="302" t="n">
        <f aca="false">GrossMargin!G20</f>
        <v>0</v>
      </c>
      <c r="H20" s="184" t="n">
        <f aca="false">GrossMargin!H20+14195</f>
        <v>16633</v>
      </c>
      <c r="I20" s="78" t="n">
        <f aca="false">SUM(C20:H20)</f>
        <v>16633</v>
      </c>
      <c r="J20" s="226" t="n">
        <v>24000</v>
      </c>
      <c r="K20" s="184" t="n">
        <f aca="false">I20-J20</f>
        <v>-7367</v>
      </c>
    </row>
    <row r="21" customFormat="false" ht="12.75" hidden="false" customHeight="true" outlineLevel="0" collapsed="false">
      <c r="A21" s="46" t="str">
        <f aca="false">'QTD Mgmt Summary'!A21</f>
        <v>Generation Investments (Duran)</v>
      </c>
      <c r="B21" s="51"/>
      <c r="C21" s="204" t="n">
        <f aca="false">GrossMargin!C21</f>
        <v>0</v>
      </c>
      <c r="D21" s="302" t="n">
        <f aca="false">GrossMargin!D21</f>
        <v>0</v>
      </c>
      <c r="E21" s="114" t="n">
        <f aca="false">GrossMargin!E21</f>
        <v>0</v>
      </c>
      <c r="F21" s="302" t="n">
        <f aca="false">GrossMargin!F21+14231</f>
        <v>11715</v>
      </c>
      <c r="G21" s="302" t="n">
        <f aca="false">GrossMargin!G21</f>
        <v>0</v>
      </c>
      <c r="H21" s="184" t="n">
        <f aca="false">GrossMargin!H21</f>
        <v>1000</v>
      </c>
      <c r="I21" s="78" t="n">
        <f aca="false">SUM(C21:H21)</f>
        <v>12715</v>
      </c>
      <c r="J21" s="226" t="n">
        <v>80000</v>
      </c>
      <c r="K21" s="184" t="n">
        <f aca="false">I21-J21</f>
        <v>-67285</v>
      </c>
    </row>
    <row r="22" customFormat="false" ht="12.75" hidden="false" customHeight="true" outlineLevel="0" collapsed="false">
      <c r="A22" s="46" t="str">
        <f aca="false">'QTD Mgmt Summary'!A22</f>
        <v>Structuring/Fundamentals (Meyn/Will)</v>
      </c>
      <c r="B22" s="51"/>
      <c r="C22" s="204" t="n">
        <f aca="false">GrossMargin!C22</f>
        <v>0</v>
      </c>
      <c r="D22" s="302" t="n">
        <f aca="false">GrossMargin!D22</f>
        <v>0</v>
      </c>
      <c r="E22" s="114" t="n">
        <f aca="false">GrossMargin!E22</f>
        <v>0</v>
      </c>
      <c r="F22" s="302" t="n">
        <f aca="false">GrossMargin!F22</f>
        <v>0</v>
      </c>
      <c r="G22" s="302" t="n">
        <f aca="false">GrossMargin!G22</f>
        <v>0</v>
      </c>
      <c r="H22" s="184" t="n">
        <f aca="false">GrossMargin!H22</f>
        <v>0</v>
      </c>
      <c r="I22" s="190" t="n">
        <f aca="false">SUM(C22:H22)</f>
        <v>0</v>
      </c>
      <c r="J22" s="303" t="n">
        <v>0</v>
      </c>
      <c r="K22" s="386" t="n">
        <f aca="false">I22-J22</f>
        <v>0</v>
      </c>
    </row>
    <row r="23" customFormat="false" ht="12.75" hidden="false" customHeight="true" outlineLevel="0" collapsed="false">
      <c r="A23" s="101" t="s">
        <v>21</v>
      </c>
      <c r="B23" s="191"/>
      <c r="C23" s="223" t="n">
        <f aca="false">SUM(C9:C22)</f>
        <v>374324</v>
      </c>
      <c r="D23" s="193" t="n">
        <f aca="false">SUM(D9:D22)</f>
        <v>0</v>
      </c>
      <c r="E23" s="193" t="n">
        <f aca="false">SUM(E9:E22)</f>
        <v>26986</v>
      </c>
      <c r="F23" s="304" t="n">
        <f aca="false">SUM(F9:F22)</f>
        <v>11715</v>
      </c>
      <c r="G23" s="304" t="n">
        <f aca="false">SUM(G9:G22)</f>
        <v>0</v>
      </c>
      <c r="H23" s="305" t="n">
        <f aca="false">SUM(H9:H22)</f>
        <v>17583</v>
      </c>
      <c r="I23" s="195" t="n">
        <f aca="false">SUM(I9:I22)</f>
        <v>430608</v>
      </c>
      <c r="J23" s="304" t="n">
        <f aca="false">SUM(J9:J22)</f>
        <v>384000</v>
      </c>
      <c r="K23" s="305" t="n">
        <f aca="false">SUM(K9:K22)</f>
        <v>46608</v>
      </c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  <c r="IQ23" s="94"/>
      <c r="IR23" s="94"/>
      <c r="IS23" s="94"/>
      <c r="IT23" s="94"/>
      <c r="IU23" s="94"/>
      <c r="IV23" s="94"/>
      <c r="IW23" s="94"/>
    </row>
    <row r="24" customFormat="false" ht="12.75" hidden="false" customHeight="true" outlineLevel="0" collapsed="false">
      <c r="A24" s="46" t="str">
        <f aca="false">'QTD Mgmt Summary'!A24</f>
        <v>Trading (Belden)</v>
      </c>
      <c r="B24" s="33"/>
      <c r="C24" s="74" t="n">
        <f aca="false">GrossMargin!C24+576122</f>
        <v>630525</v>
      </c>
      <c r="D24" s="302" t="n">
        <f aca="false">GrossMargin!D24</f>
        <v>0</v>
      </c>
      <c r="E24" s="114" t="n">
        <f aca="false">GrossMargin!E24</f>
        <v>0</v>
      </c>
      <c r="F24" s="302" t="n">
        <f aca="false">GrossMargin!F24</f>
        <v>0</v>
      </c>
      <c r="G24" s="302" t="n">
        <f aca="false">GrossMargin!G24</f>
        <v>0</v>
      </c>
      <c r="H24" s="184" t="n">
        <f aca="false">GrossMargin!H24</f>
        <v>0</v>
      </c>
      <c r="I24" s="204" t="n">
        <f aca="false">SUM(C24:H24)</f>
        <v>630525</v>
      </c>
      <c r="J24" s="226" t="n">
        <v>250000</v>
      </c>
      <c r="K24" s="184" t="n">
        <f aca="false">I24-J24</f>
        <v>380525</v>
      </c>
    </row>
    <row r="25" customFormat="false" ht="12.75" hidden="false" customHeight="true" outlineLevel="0" collapsed="false">
      <c r="A25" s="46" t="str">
        <f aca="false">'QTD Mgmt Summary'!A25</f>
        <v>Services (Foster/Wolfe)</v>
      </c>
      <c r="B25" s="33"/>
      <c r="C25" s="74" t="n">
        <f aca="false">GrossMargin!C25</f>
        <v>0</v>
      </c>
      <c r="D25" s="302" t="n">
        <f aca="false">GrossMargin!D25</f>
        <v>0</v>
      </c>
      <c r="E25" s="114" t="n">
        <f aca="false">GrossMargin!E25</f>
        <v>0</v>
      </c>
      <c r="F25" s="302" t="n">
        <f aca="false">GrossMargin!F25</f>
        <v>0</v>
      </c>
      <c r="G25" s="302" t="n">
        <f aca="false">GrossMargin!G25</f>
        <v>0</v>
      </c>
      <c r="H25" s="184" t="n">
        <f aca="false">GrossMargin!H25</f>
        <v>0</v>
      </c>
      <c r="I25" s="204" t="n">
        <f aca="false">SUM(C25:H25)</f>
        <v>0</v>
      </c>
      <c r="J25" s="226" t="n">
        <v>0</v>
      </c>
      <c r="K25" s="184" t="n">
        <f aca="false">I25-J25</f>
        <v>0</v>
      </c>
    </row>
    <row r="26" customFormat="false" ht="12.75" hidden="false" customHeight="true" outlineLevel="0" collapsed="false">
      <c r="A26" s="46" t="str">
        <f aca="false">'QTD Mgmt Summary'!A26</f>
        <v>Middle Market Originations (Foster)</v>
      </c>
      <c r="B26" s="33"/>
      <c r="C26" s="74" t="n">
        <f aca="false">GrossMargin!C26</f>
        <v>0</v>
      </c>
      <c r="D26" s="302" t="n">
        <f aca="false">GrossMargin!D26+37641</f>
        <v>44048</v>
      </c>
      <c r="E26" s="114" t="n">
        <f aca="false">GrossMargin!E26</f>
        <v>0</v>
      </c>
      <c r="F26" s="302" t="n">
        <f aca="false">GrossMargin!F26</f>
        <v>0</v>
      </c>
      <c r="G26" s="302" t="n">
        <f aca="false">GrossMargin!G26</f>
        <v>0</v>
      </c>
      <c r="H26" s="184" t="n">
        <f aca="false">GrossMargin!H26</f>
        <v>0</v>
      </c>
      <c r="I26" s="204" t="n">
        <f aca="false">SUM(C26:H26)</f>
        <v>44048</v>
      </c>
      <c r="J26" s="226" t="n">
        <v>50000</v>
      </c>
      <c r="K26" s="184" t="n">
        <f aca="false">I26-J26</f>
        <v>-5952</v>
      </c>
    </row>
    <row r="27" customFormat="false" ht="12.75" hidden="false" customHeight="true" outlineLevel="0" collapsed="false">
      <c r="A27" s="46" t="str">
        <f aca="false">'QTD Mgmt Summary'!A27</f>
        <v>Orginations (Thomas/McDonald)</v>
      </c>
      <c r="B27" s="33"/>
      <c r="C27" s="74" t="n">
        <f aca="false">GrossMargin!C27</f>
        <v>0</v>
      </c>
      <c r="D27" s="302" t="n">
        <f aca="false">GrossMargin!D27</f>
        <v>0</v>
      </c>
      <c r="E27" s="114" t="n">
        <f aca="false">GrossMargin!E27+38594</f>
        <v>38597</v>
      </c>
      <c r="F27" s="302" t="n">
        <v>0</v>
      </c>
      <c r="G27" s="302" t="n">
        <f aca="false">GrossMargin!G27</f>
        <v>0</v>
      </c>
      <c r="H27" s="184" t="n">
        <f aca="false">GrossMargin!H27+500</f>
        <v>500</v>
      </c>
      <c r="I27" s="204" t="n">
        <f aca="false">SUM(C27:H27)</f>
        <v>39097</v>
      </c>
      <c r="J27" s="226" t="n">
        <v>62988</v>
      </c>
      <c r="K27" s="184" t="n">
        <f aca="false">I27-J27</f>
        <v>-23891</v>
      </c>
    </row>
    <row r="28" customFormat="false" ht="12.75" hidden="false" customHeight="true" outlineLevel="0" collapsed="false">
      <c r="A28" s="46" t="str">
        <f aca="false">'QTD Mgmt Summary'!A28</f>
        <v>Executive (Calger)</v>
      </c>
      <c r="B28" s="33"/>
      <c r="C28" s="74" t="n">
        <f aca="false">GrossMargin!C28</f>
        <v>0</v>
      </c>
      <c r="D28" s="302" t="n">
        <f aca="false">GrossMargin!D28</f>
        <v>0</v>
      </c>
      <c r="E28" s="114" t="n">
        <f aca="false">GrossMargin!E28+10500</f>
        <v>10500</v>
      </c>
      <c r="F28" s="302" t="n">
        <f aca="false">GrossMargin!F28</f>
        <v>0</v>
      </c>
      <c r="G28" s="302" t="n">
        <f aca="false">GrossMargin!G28</f>
        <v>0</v>
      </c>
      <c r="H28" s="184" t="n">
        <f aca="false">GrossMargin!H28</f>
        <v>0</v>
      </c>
      <c r="I28" s="204" t="n">
        <f aca="false">SUM(C28:H28)</f>
        <v>10500</v>
      </c>
      <c r="J28" s="226" t="n">
        <v>14000</v>
      </c>
      <c r="K28" s="184" t="n">
        <f aca="false">I28-J28</f>
        <v>-3500</v>
      </c>
    </row>
    <row r="29" customFormat="false" ht="12.75" hidden="false" customHeight="true" outlineLevel="0" collapsed="false">
      <c r="A29" s="46" t="str">
        <f aca="false">'QTD Mgmt Summary'!A29</f>
        <v>Generation (Parquet)</v>
      </c>
      <c r="B29" s="33"/>
      <c r="C29" s="74" t="n">
        <f aca="false">GrossMargin!C29</f>
        <v>0</v>
      </c>
      <c r="D29" s="302" t="n">
        <f aca="false">GrossMargin!D29</f>
        <v>0</v>
      </c>
      <c r="E29" s="114" t="n">
        <f aca="false">GrossMargin!E29+23860</f>
        <v>23860</v>
      </c>
      <c r="F29" s="302" t="n">
        <f aca="false">GrossMargin!F29+30176</f>
        <v>30839</v>
      </c>
      <c r="G29" s="302" t="n">
        <f aca="false">GrossMargin!G29+-336</f>
        <v>-336</v>
      </c>
      <c r="H29" s="184" t="n">
        <f aca="false">GrossMargin!H29-2000</f>
        <v>-1317</v>
      </c>
      <c r="I29" s="204" t="n">
        <f aca="false">SUM(C29:H29)</f>
        <v>53046</v>
      </c>
      <c r="J29" s="226" t="n">
        <v>46000</v>
      </c>
      <c r="K29" s="184" t="n">
        <f aca="false">I29-J29</f>
        <v>7046</v>
      </c>
    </row>
    <row r="30" customFormat="false" ht="12.75" hidden="false" customHeight="true" outlineLevel="0" collapsed="false">
      <c r="A30" s="46" t="str">
        <f aca="false">'QTD Mgmt Summary'!A30</f>
        <v>Fundamentals (Heizenreiker)</v>
      </c>
      <c r="B30" s="33"/>
      <c r="C30" s="74" t="n">
        <f aca="false">GrossMargin!C30</f>
        <v>0</v>
      </c>
      <c r="D30" s="226" t="n">
        <f aca="false">GrossMargin!D30</f>
        <v>0</v>
      </c>
      <c r="E30" s="114" t="n">
        <f aca="false">GrossMargin!E30</f>
        <v>0</v>
      </c>
      <c r="F30" s="302" t="n">
        <f aca="false">GrossMargin!F30</f>
        <v>0</v>
      </c>
      <c r="G30" s="302" t="n">
        <f aca="false">GrossMargin!G30</f>
        <v>0</v>
      </c>
      <c r="H30" s="184" t="n">
        <f aca="false">GrossMargin!H30</f>
        <v>0</v>
      </c>
      <c r="I30" s="204" t="n">
        <f aca="false">SUM(C30:H30)</f>
        <v>0</v>
      </c>
      <c r="J30" s="226" t="n">
        <v>0</v>
      </c>
      <c r="K30" s="184" t="n">
        <f aca="false">I30-J30</f>
        <v>0</v>
      </c>
    </row>
    <row r="31" customFormat="false" ht="12.75" hidden="false" customHeight="true" outlineLevel="0" collapsed="false">
      <c r="A31" s="101" t="s">
        <v>28</v>
      </c>
      <c r="B31" s="191"/>
      <c r="C31" s="223" t="n">
        <f aca="false">SUM(C24:C30)</f>
        <v>630525</v>
      </c>
      <c r="D31" s="193" t="n">
        <f aca="false">SUM(D24:D30)</f>
        <v>44048</v>
      </c>
      <c r="E31" s="193" t="n">
        <f aca="false">SUM(E24:E30)</f>
        <v>72957</v>
      </c>
      <c r="F31" s="304" t="n">
        <f aca="false">SUM(F24:F30)</f>
        <v>30839</v>
      </c>
      <c r="G31" s="304" t="n">
        <f aca="false">SUM(G24:G30)</f>
        <v>-336</v>
      </c>
      <c r="H31" s="305" t="n">
        <f aca="false">SUM(H24:H30)</f>
        <v>-817</v>
      </c>
      <c r="I31" s="195" t="n">
        <f aca="false">SUM(I24:I30)</f>
        <v>777216</v>
      </c>
      <c r="J31" s="304" t="n">
        <f aca="false">SUM(J24:J30)</f>
        <v>422988</v>
      </c>
      <c r="K31" s="305" t="n">
        <f aca="false">SUM(K24:K30)</f>
        <v>354228</v>
      </c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4"/>
      <c r="CB31" s="94"/>
      <c r="CC31" s="94"/>
      <c r="CD31" s="94"/>
      <c r="CE31" s="94"/>
      <c r="CF31" s="94"/>
      <c r="CG31" s="94"/>
      <c r="CH31" s="94"/>
      <c r="CI31" s="94"/>
      <c r="CJ31" s="94"/>
      <c r="CK31" s="94"/>
      <c r="CL31" s="94"/>
      <c r="CM31" s="94"/>
      <c r="CN31" s="94"/>
      <c r="CO31" s="94"/>
      <c r="CP31" s="94"/>
      <c r="CQ31" s="94"/>
      <c r="CR31" s="94"/>
      <c r="CS31" s="94"/>
      <c r="CT31" s="94"/>
      <c r="CU31" s="94"/>
      <c r="CV31" s="94"/>
      <c r="CW31" s="94"/>
      <c r="CX31" s="94"/>
      <c r="CY31" s="94"/>
      <c r="CZ31" s="94"/>
      <c r="DA31" s="94"/>
      <c r="DB31" s="94"/>
      <c r="DC31" s="94"/>
      <c r="DD31" s="94"/>
      <c r="DE31" s="94"/>
      <c r="DF31" s="94"/>
      <c r="DG31" s="94"/>
      <c r="DH31" s="94"/>
      <c r="DI31" s="94"/>
      <c r="DJ31" s="94"/>
      <c r="DK31" s="94"/>
      <c r="DL31" s="94"/>
      <c r="DM31" s="94"/>
      <c r="DN31" s="94"/>
      <c r="DO31" s="94"/>
      <c r="DP31" s="94"/>
      <c r="DQ31" s="94"/>
      <c r="DR31" s="94"/>
      <c r="DS31" s="94"/>
      <c r="DT31" s="94"/>
      <c r="DU31" s="94"/>
      <c r="DV31" s="94"/>
      <c r="DW31" s="94"/>
      <c r="DX31" s="94"/>
      <c r="DY31" s="94"/>
      <c r="DZ31" s="94"/>
      <c r="EA31" s="94"/>
      <c r="EB31" s="94"/>
      <c r="EC31" s="94"/>
      <c r="ED31" s="94"/>
      <c r="EE31" s="94"/>
      <c r="EF31" s="94"/>
      <c r="EG31" s="94"/>
      <c r="EH31" s="94"/>
      <c r="EI31" s="94"/>
      <c r="EJ31" s="94"/>
      <c r="EK31" s="94"/>
      <c r="EL31" s="94"/>
      <c r="EM31" s="94"/>
      <c r="EN31" s="94"/>
      <c r="EO31" s="94"/>
      <c r="EP31" s="94"/>
      <c r="EQ31" s="94"/>
      <c r="ER31" s="94"/>
      <c r="ES31" s="94"/>
      <c r="ET31" s="94"/>
      <c r="EU31" s="94"/>
      <c r="EV31" s="94"/>
      <c r="EW31" s="94"/>
      <c r="EX31" s="94"/>
      <c r="EY31" s="94"/>
      <c r="EZ31" s="94"/>
      <c r="FA31" s="94"/>
      <c r="FB31" s="94"/>
      <c r="FC31" s="94"/>
      <c r="FD31" s="94"/>
      <c r="FE31" s="94"/>
      <c r="FF31" s="94"/>
      <c r="FG31" s="94"/>
      <c r="FH31" s="94"/>
      <c r="FI31" s="94"/>
      <c r="FJ31" s="94"/>
      <c r="FK31" s="94"/>
      <c r="FL31" s="94"/>
      <c r="FM31" s="94"/>
      <c r="FN31" s="94"/>
      <c r="FO31" s="94"/>
      <c r="FP31" s="94"/>
      <c r="FQ31" s="94"/>
      <c r="FR31" s="94"/>
      <c r="FS31" s="94"/>
      <c r="FT31" s="94"/>
      <c r="FU31" s="94"/>
      <c r="FV31" s="94"/>
      <c r="FW31" s="94"/>
      <c r="FX31" s="94"/>
      <c r="FY31" s="94"/>
      <c r="FZ31" s="94"/>
      <c r="GA31" s="94"/>
      <c r="GB31" s="94"/>
      <c r="GC31" s="94"/>
      <c r="GD31" s="94"/>
      <c r="GE31" s="94"/>
      <c r="GF31" s="94"/>
      <c r="GG31" s="94"/>
      <c r="GH31" s="94"/>
      <c r="GI31" s="94"/>
      <c r="GJ31" s="94"/>
      <c r="GK31" s="94"/>
      <c r="GL31" s="94"/>
      <c r="GM31" s="94"/>
      <c r="GN31" s="94"/>
      <c r="GO31" s="94"/>
      <c r="GP31" s="94"/>
      <c r="GQ31" s="94"/>
      <c r="GR31" s="94"/>
      <c r="GS31" s="94"/>
      <c r="GT31" s="94"/>
      <c r="GU31" s="94"/>
      <c r="GV31" s="94"/>
      <c r="GW31" s="94"/>
      <c r="GX31" s="94"/>
      <c r="GY31" s="94"/>
      <c r="GZ31" s="94"/>
      <c r="HA31" s="94"/>
      <c r="HB31" s="94"/>
      <c r="HC31" s="94"/>
      <c r="HD31" s="94"/>
      <c r="HE31" s="94"/>
      <c r="HF31" s="94"/>
      <c r="HG31" s="94"/>
      <c r="HH31" s="94"/>
      <c r="HI31" s="94"/>
      <c r="HJ31" s="94"/>
      <c r="HK31" s="94"/>
      <c r="HL31" s="94"/>
      <c r="HM31" s="94"/>
      <c r="HN31" s="94"/>
      <c r="HO31" s="94"/>
      <c r="HP31" s="94"/>
      <c r="HQ31" s="94"/>
      <c r="HR31" s="94"/>
      <c r="HS31" s="94"/>
      <c r="HT31" s="94"/>
      <c r="HU31" s="94"/>
      <c r="HV31" s="94"/>
      <c r="HW31" s="94"/>
      <c r="HX31" s="94"/>
      <c r="HY31" s="94"/>
      <c r="HZ31" s="94"/>
      <c r="IA31" s="94"/>
      <c r="IB31" s="94"/>
      <c r="IC31" s="94"/>
      <c r="ID31" s="94"/>
      <c r="IE31" s="94"/>
      <c r="IF31" s="94"/>
      <c r="IG31" s="94"/>
      <c r="IH31" s="94"/>
      <c r="II31" s="94"/>
      <c r="IJ31" s="94"/>
      <c r="IK31" s="94"/>
      <c r="IL31" s="94"/>
      <c r="IM31" s="94"/>
      <c r="IN31" s="94"/>
      <c r="IO31" s="94"/>
      <c r="IP31" s="94"/>
      <c r="IQ31" s="94"/>
      <c r="IR31" s="94"/>
      <c r="IS31" s="94"/>
      <c r="IT31" s="94"/>
      <c r="IU31" s="94"/>
      <c r="IV31" s="94"/>
      <c r="IW31" s="94"/>
    </row>
    <row r="32" customFormat="false" ht="12.75" hidden="false" customHeight="true" outlineLevel="0" collapsed="false">
      <c r="A32" s="46" t="str">
        <f aca="false">'QTD Mgmt Summary'!A32</f>
        <v>East Trading (Neal)</v>
      </c>
      <c r="B32" s="33"/>
      <c r="C32" s="74" t="n">
        <f aca="false">GrossMargin!C32+6739</f>
        <v>14564</v>
      </c>
      <c r="D32" s="302" t="n">
        <f aca="false">GrossMargin!D32</f>
        <v>0</v>
      </c>
      <c r="E32" s="114" t="n">
        <f aca="false">GrossMargin!E32</f>
        <v>0</v>
      </c>
      <c r="F32" s="302" t="n">
        <f aca="false">GrossMargin!F32</f>
        <v>0</v>
      </c>
      <c r="G32" s="302" t="n">
        <f aca="false">GrossMargin!G32</f>
        <v>0</v>
      </c>
      <c r="H32" s="184" t="n">
        <f aca="false">GrossMargin!H32</f>
        <v>0</v>
      </c>
      <c r="I32" s="204" t="n">
        <f aca="false">SUM(C32:H32)</f>
        <v>14564</v>
      </c>
      <c r="J32" s="226" t="n">
        <v>60000</v>
      </c>
      <c r="K32" s="184" t="n">
        <f aca="false">I32-J32</f>
        <v>-45436</v>
      </c>
    </row>
    <row r="33" customFormat="false" ht="12.75" hidden="false" customHeight="true" outlineLevel="0" collapsed="false">
      <c r="A33" s="46" t="str">
        <f aca="false">'QTD Mgmt Summary'!A33</f>
        <v>East Origination (Vickors)</v>
      </c>
      <c r="B33" s="33"/>
      <c r="C33" s="74" t="n">
        <f aca="false">GrossMargin!C33</f>
        <v>0</v>
      </c>
      <c r="D33" s="302" t="n">
        <f aca="false">GrossMargin!D33+8229</f>
        <v>8443</v>
      </c>
      <c r="E33" s="114" t="n">
        <f aca="false">GrossMargin!E33+557</f>
        <v>557</v>
      </c>
      <c r="F33" s="302" t="n">
        <f aca="false">GrossMargin!F33</f>
        <v>0</v>
      </c>
      <c r="G33" s="302" t="n">
        <f aca="false">GrossMargin!G33</f>
        <v>0</v>
      </c>
      <c r="H33" s="184" t="n">
        <v>3</v>
      </c>
      <c r="I33" s="204" t="n">
        <f aca="false">SUM(C33:H33)</f>
        <v>9003</v>
      </c>
      <c r="J33" s="226" t="n">
        <v>20000</v>
      </c>
      <c r="K33" s="184" t="n">
        <f aca="false">I33-J33</f>
        <v>-10997</v>
      </c>
    </row>
    <row r="34" customFormat="false" ht="12.75" hidden="false" customHeight="true" outlineLevel="0" collapsed="false">
      <c r="A34" s="46" t="str">
        <f aca="false">'QTD Mgmt Summary'!A34</f>
        <v>Central Trading (Shively)</v>
      </c>
      <c r="B34" s="33"/>
      <c r="C34" s="74" t="n">
        <f aca="false">GrossMargin!C34+170849</f>
        <v>163815</v>
      </c>
      <c r="D34" s="302" t="n">
        <f aca="false">GrossMargin!D34</f>
        <v>0</v>
      </c>
      <c r="E34" s="114" t="n">
        <f aca="false">GrossMargin!E34</f>
        <v>0</v>
      </c>
      <c r="F34" s="302" t="n">
        <f aca="false">GrossMargin!F34</f>
        <v>0</v>
      </c>
      <c r="G34" s="302" t="n">
        <f aca="false">GrossMargin!G34</f>
        <v>0</v>
      </c>
      <c r="H34" s="184" t="n">
        <f aca="false">GrossMargin!H34</f>
        <v>0</v>
      </c>
      <c r="I34" s="204" t="n">
        <f aca="false">SUM(C34:H34)</f>
        <v>163815</v>
      </c>
      <c r="J34" s="226" t="n">
        <v>63000</v>
      </c>
      <c r="K34" s="184" t="n">
        <f aca="false">I34-J34</f>
        <v>100815</v>
      </c>
    </row>
    <row r="35" customFormat="false" ht="12.75" hidden="false" customHeight="true" outlineLevel="0" collapsed="false">
      <c r="A35" s="46" t="str">
        <f aca="false">'QTD Mgmt Summary'!A35</f>
        <v>Central Origination (Luce)</v>
      </c>
      <c r="B35" s="33"/>
      <c r="C35" s="74" t="n">
        <f aca="false">GrossMargin!C35</f>
        <v>0</v>
      </c>
      <c r="D35" s="302" t="n">
        <f aca="false">GrossMargin!D35+2355</f>
        <v>2475</v>
      </c>
      <c r="E35" s="114" t="n">
        <f aca="false">GrossMargin!E35+36</f>
        <v>36</v>
      </c>
      <c r="F35" s="302" t="n">
        <f aca="false">GrossMargin!F35</f>
        <v>0</v>
      </c>
      <c r="G35" s="302" t="n">
        <f aca="false">GrossMargin!G35</f>
        <v>0</v>
      </c>
      <c r="H35" s="184" t="n">
        <v>0</v>
      </c>
      <c r="I35" s="204" t="n">
        <f aca="false">SUM(C35:H35)</f>
        <v>2511</v>
      </c>
      <c r="J35" s="226" t="n">
        <v>17000</v>
      </c>
      <c r="K35" s="184" t="n">
        <f aca="false">I35-J35</f>
        <v>-14489</v>
      </c>
    </row>
    <row r="36" customFormat="false" ht="12.75" hidden="false" customHeight="true" outlineLevel="0" collapsed="false">
      <c r="A36" s="46" t="str">
        <f aca="false">'QTD Mgmt Summary'!A36</f>
        <v>Texas Trading (Martin)</v>
      </c>
      <c r="B36" s="33"/>
      <c r="C36" s="78" t="n">
        <f aca="false">GrossMargin!C36+128684</f>
        <v>127107</v>
      </c>
      <c r="D36" s="226" t="n">
        <f aca="false">GrossMargin!D36</f>
        <v>0</v>
      </c>
      <c r="E36" s="114" t="n">
        <f aca="false">GrossMargin!E36</f>
        <v>0</v>
      </c>
      <c r="F36" s="302" t="n">
        <f aca="false">GrossMargin!F36</f>
        <v>0</v>
      </c>
      <c r="G36" s="302" t="n">
        <f aca="false">GrossMargin!G36</f>
        <v>0</v>
      </c>
      <c r="H36" s="184" t="n">
        <f aca="false">GrossMargin!H36</f>
        <v>0</v>
      </c>
      <c r="I36" s="204" t="n">
        <f aca="false">SUM(C36:H36)</f>
        <v>127107</v>
      </c>
      <c r="J36" s="226" t="n">
        <v>40000</v>
      </c>
      <c r="K36" s="184" t="n">
        <f aca="false">I36-J36</f>
        <v>87107</v>
      </c>
    </row>
    <row r="37" customFormat="false" ht="12.75" hidden="false" customHeight="true" outlineLevel="0" collapsed="false">
      <c r="A37" s="46" t="str">
        <f aca="false">'QTD Mgmt Summary'!A37</f>
        <v>Texas Origination (Redmond)</v>
      </c>
      <c r="B37" s="33"/>
      <c r="C37" s="78" t="n">
        <v>0</v>
      </c>
      <c r="D37" s="226" t="n">
        <f aca="false">GrossMargin!D37</f>
        <v>0</v>
      </c>
      <c r="E37" s="114" t="n">
        <f aca="false">GrossMargin!E37</f>
        <v>0</v>
      </c>
      <c r="F37" s="302" t="n">
        <f aca="false">GrossMargin!F37</f>
        <v>0</v>
      </c>
      <c r="G37" s="302" t="n">
        <f aca="false">GrossMargin!G37</f>
        <v>0</v>
      </c>
      <c r="H37" s="184" t="n">
        <f aca="false">GrossMargin!H37</f>
        <v>0</v>
      </c>
      <c r="I37" s="204" t="n">
        <f aca="false">SUM(C37:H37)</f>
        <v>0</v>
      </c>
      <c r="J37" s="226" t="n">
        <v>0</v>
      </c>
      <c r="K37" s="184" t="n">
        <f aca="false">I37-J37</f>
        <v>0</v>
      </c>
    </row>
    <row r="38" customFormat="false" ht="12.75" hidden="false" customHeight="true" outlineLevel="0" collapsed="false">
      <c r="A38" s="46" t="str">
        <f aca="false">'QTD Mgmt Summary'!A38</f>
        <v>West Trading (Allen)</v>
      </c>
      <c r="B38" s="33"/>
      <c r="C38" s="78" t="n">
        <f aca="false">GrossMargin!C38-85190</f>
        <v>-114147</v>
      </c>
      <c r="D38" s="226" t="n">
        <f aca="false">GrossMargin!D38</f>
        <v>0</v>
      </c>
      <c r="E38" s="114" t="n">
        <f aca="false">GrossMargin!E38</f>
        <v>0</v>
      </c>
      <c r="F38" s="302" t="n">
        <f aca="false">GrossMargin!F38</f>
        <v>0</v>
      </c>
      <c r="G38" s="302" t="n">
        <f aca="false">GrossMargin!G38</f>
        <v>0</v>
      </c>
      <c r="H38" s="184" t="n">
        <f aca="false">GrossMargin!H38</f>
        <v>0</v>
      </c>
      <c r="I38" s="204" t="n">
        <f aca="false">SUM(C38:H38)</f>
        <v>-114147</v>
      </c>
      <c r="J38" s="226" t="n">
        <v>20000</v>
      </c>
      <c r="K38" s="184" t="n">
        <f aca="false">I38-J38</f>
        <v>-134147</v>
      </c>
    </row>
    <row r="39" customFormat="false" ht="12.75" hidden="false" customHeight="true" outlineLevel="0" collapsed="false">
      <c r="A39" s="46" t="str">
        <f aca="false">'QTD Mgmt Summary'!A39</f>
        <v>West Origination (Tycholiz)</v>
      </c>
      <c r="B39" s="33"/>
      <c r="C39" s="78" t="n">
        <f aca="false">GrossMargin!C39</f>
        <v>0</v>
      </c>
      <c r="D39" s="226" t="n">
        <f aca="false">GrossMargin!D39+40559</f>
        <v>43807</v>
      </c>
      <c r="E39" s="114" t="n">
        <f aca="false">GrossMargin!E39</f>
        <v>0</v>
      </c>
      <c r="F39" s="302" t="n">
        <f aca="false">GrossMargin!F39</f>
        <v>0</v>
      </c>
      <c r="G39" s="302" t="n">
        <f aca="false">GrossMargin!G39</f>
        <v>0</v>
      </c>
      <c r="H39" s="184" t="n">
        <f aca="false">GrossMargin!H39</f>
        <v>0</v>
      </c>
      <c r="I39" s="204" t="n">
        <f aca="false">SUM(C39:H39)</f>
        <v>43807</v>
      </c>
      <c r="J39" s="226" t="n">
        <v>106000</v>
      </c>
      <c r="K39" s="184" t="n">
        <f aca="false">I39-J39</f>
        <v>-62193</v>
      </c>
    </row>
    <row r="40" customFormat="false" ht="12.75" hidden="false" customHeight="true" outlineLevel="0" collapsed="false">
      <c r="A40" s="46" t="str">
        <f aca="false">'QTD Mgmt Summary'!A40</f>
        <v>Financial Gas (Arnold)</v>
      </c>
      <c r="B40" s="33"/>
      <c r="C40" s="78" t="n">
        <f aca="false">GrossMargin!C40+630577-8451</f>
        <v>678345</v>
      </c>
      <c r="D40" s="226" t="n">
        <f aca="false">GrossMargin!D40</f>
        <v>0</v>
      </c>
      <c r="E40" s="114" t="n">
        <f aca="false">GrossMargin!E40</f>
        <v>0</v>
      </c>
      <c r="F40" s="302" t="n">
        <f aca="false">GrossMargin!F40</f>
        <v>0</v>
      </c>
      <c r="G40" s="302" t="n">
        <f aca="false">GrossMargin!G40</f>
        <v>0</v>
      </c>
      <c r="H40" s="184" t="n">
        <f aca="false">GrossMargin!H40</f>
        <v>0</v>
      </c>
      <c r="I40" s="204" t="n">
        <f aca="false">SUM(C40:H40)</f>
        <v>678345</v>
      </c>
      <c r="J40" s="226" t="n">
        <v>125000</v>
      </c>
      <c r="K40" s="184" t="n">
        <f aca="false">I40-J40</f>
        <v>553345</v>
      </c>
    </row>
    <row r="41" customFormat="false" ht="12.75" hidden="false" customHeight="true" outlineLevel="0" collapsed="false">
      <c r="A41" s="46" t="str">
        <f aca="false">'QTD Mgmt Summary'!A41</f>
        <v>Derivative (Lagrasta)</v>
      </c>
      <c r="B41" s="33"/>
      <c r="C41" s="78" t="n">
        <f aca="false">GrossMargin!C41</f>
        <v>0</v>
      </c>
      <c r="D41" s="226" t="n">
        <f aca="false">GrossMargin!D41+19222</f>
        <v>22159</v>
      </c>
      <c r="E41" s="114" t="n">
        <f aca="false">GrossMargin!E41</f>
        <v>0</v>
      </c>
      <c r="F41" s="302" t="n">
        <f aca="false">GrossMargin!F41</f>
        <v>0</v>
      </c>
      <c r="G41" s="302" t="n">
        <f aca="false">GrossMargin!G41</f>
        <v>0</v>
      </c>
      <c r="H41" s="184" t="n">
        <f aca="false">GrossMargin!H41+1207</f>
        <v>1207</v>
      </c>
      <c r="I41" s="204" t="n">
        <f aca="false">SUM(C41:H41)</f>
        <v>23366</v>
      </c>
      <c r="J41" s="226" t="n">
        <v>25000</v>
      </c>
      <c r="K41" s="184" t="n">
        <f aca="false">I41-J41</f>
        <v>-1634</v>
      </c>
    </row>
    <row r="42" customFormat="false" ht="12.75" hidden="false" customHeight="true" outlineLevel="0" collapsed="false">
      <c r="A42" s="46" t="str">
        <f aca="false">'QTD Mgmt Summary'!A42</f>
        <v>NG Structuring (McMichael)</v>
      </c>
      <c r="B42" s="33"/>
      <c r="C42" s="78" t="n">
        <f aca="false">GrossMargin!C42</f>
        <v>0</v>
      </c>
      <c r="D42" s="226" t="n">
        <f aca="false">GrossMargin!D42</f>
        <v>0</v>
      </c>
      <c r="E42" s="114" t="n">
        <f aca="false">GrossMargin!E42</f>
        <v>0</v>
      </c>
      <c r="F42" s="302" t="n">
        <f aca="false">GrossMargin!F42</f>
        <v>0</v>
      </c>
      <c r="G42" s="302" t="n">
        <f aca="false">GrossMargin!G42</f>
        <v>0</v>
      </c>
      <c r="H42" s="184" t="n">
        <f aca="false">GrossMargin!H42</f>
        <v>0</v>
      </c>
      <c r="I42" s="204" t="n">
        <f aca="false">SUM(C42:H42)</f>
        <v>0</v>
      </c>
      <c r="J42" s="226" t="n">
        <v>0</v>
      </c>
      <c r="K42" s="184" t="n">
        <f aca="false">I42-J42</f>
        <v>0</v>
      </c>
    </row>
    <row r="43" customFormat="false" ht="12.75" hidden="false" customHeight="true" outlineLevel="0" collapsed="false">
      <c r="A43" s="46" t="str">
        <f aca="false">'QTD Mgmt Summary'!A43</f>
        <v>NG Fundamentals (Gaskill)</v>
      </c>
      <c r="B43" s="33"/>
      <c r="C43" s="78" t="n">
        <f aca="false">GrossMargin!C43</f>
        <v>0</v>
      </c>
      <c r="D43" s="226" t="n">
        <f aca="false">GrossMargin!D43</f>
        <v>0</v>
      </c>
      <c r="E43" s="114" t="n">
        <f aca="false">GrossMargin!E43</f>
        <v>0</v>
      </c>
      <c r="F43" s="302" t="n">
        <f aca="false">GrossMargin!F43</f>
        <v>0</v>
      </c>
      <c r="G43" s="302" t="n">
        <f aca="false">GrossMargin!G43</f>
        <v>0</v>
      </c>
      <c r="H43" s="184" t="n">
        <f aca="false">GrossMargin!H43</f>
        <v>0</v>
      </c>
      <c r="I43" s="204" t="n">
        <f aca="false">SUM(C43:H43)</f>
        <v>0</v>
      </c>
      <c r="J43" s="226" t="n">
        <v>0</v>
      </c>
      <c r="K43" s="184" t="n">
        <f aca="false">I43-J43</f>
        <v>0</v>
      </c>
    </row>
    <row r="44" customFormat="false" ht="12.75" hidden="false" customHeight="true" outlineLevel="0" collapsed="false">
      <c r="A44" s="46" t="str">
        <f aca="false">'QTD Mgmt Summary'!A44</f>
        <v>Management</v>
      </c>
      <c r="B44" s="33"/>
      <c r="C44" s="78" t="n">
        <f aca="false">GrossMargin!C44-247000</f>
        <v>-247000</v>
      </c>
      <c r="D44" s="226" t="n">
        <f aca="false">GrossMargin!D44</f>
        <v>0</v>
      </c>
      <c r="E44" s="114" t="n">
        <f aca="false">GrossMargin!E44</f>
        <v>0</v>
      </c>
      <c r="F44" s="302" t="n">
        <f aca="false">GrossMargin!F44</f>
        <v>0</v>
      </c>
      <c r="G44" s="302" t="n">
        <f aca="false">GrossMargin!G44</f>
        <v>0</v>
      </c>
      <c r="H44" s="184" t="n">
        <f aca="false">GrossMargin!H44</f>
        <v>0</v>
      </c>
      <c r="I44" s="204" t="n">
        <f aca="false">SUM(C44:H44)</f>
        <v>-247000</v>
      </c>
      <c r="J44" s="226" t="n">
        <v>0</v>
      </c>
      <c r="K44" s="184" t="n">
        <f aca="false">I44-J44</f>
        <v>-247000</v>
      </c>
    </row>
    <row r="45" customFormat="false" ht="12.75" hidden="false" customHeight="true" outlineLevel="0" collapsed="false">
      <c r="A45" s="101" t="s">
        <v>38</v>
      </c>
      <c r="B45" s="191"/>
      <c r="C45" s="223" t="n">
        <f aca="false">SUM(C32:C44)</f>
        <v>622684</v>
      </c>
      <c r="D45" s="193" t="n">
        <f aca="false">SUM(D32:D44)</f>
        <v>76884</v>
      </c>
      <c r="E45" s="193" t="n">
        <f aca="false">SUM(E32:E44)</f>
        <v>593</v>
      </c>
      <c r="F45" s="304" t="n">
        <f aca="false">SUM(F32:F44)</f>
        <v>0</v>
      </c>
      <c r="G45" s="304" t="n">
        <f aca="false">SUM(G32:G44)</f>
        <v>0</v>
      </c>
      <c r="H45" s="305" t="n">
        <f aca="false">SUM(H32:H44)</f>
        <v>1210</v>
      </c>
      <c r="I45" s="195" t="n">
        <f aca="false">SUM(I32:I44)</f>
        <v>701371</v>
      </c>
      <c r="J45" s="304" t="n">
        <f aca="false">SUM(J32:J44)</f>
        <v>476000</v>
      </c>
      <c r="K45" s="305" t="n">
        <f aca="false">SUM(K32:K44)</f>
        <v>225371</v>
      </c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94"/>
      <c r="CD45" s="94"/>
      <c r="CE45" s="94"/>
      <c r="CF45" s="94"/>
      <c r="CG45" s="94"/>
      <c r="CH45" s="94"/>
      <c r="CI45" s="94"/>
      <c r="CJ45" s="94"/>
      <c r="CK45" s="94"/>
      <c r="CL45" s="94"/>
      <c r="CM45" s="94"/>
      <c r="CN45" s="94"/>
      <c r="CO45" s="94"/>
      <c r="CP45" s="94"/>
      <c r="CQ45" s="94"/>
      <c r="CR45" s="94"/>
      <c r="CS45" s="94"/>
      <c r="CT45" s="94"/>
      <c r="CU45" s="94"/>
      <c r="CV45" s="94"/>
      <c r="CW45" s="94"/>
      <c r="CX45" s="94"/>
      <c r="CY45" s="94"/>
      <c r="CZ45" s="94"/>
      <c r="DA45" s="94"/>
      <c r="DB45" s="94"/>
      <c r="DC45" s="94"/>
      <c r="DD45" s="94"/>
      <c r="DE45" s="94"/>
      <c r="DF45" s="94"/>
      <c r="DG45" s="94"/>
      <c r="DH45" s="94"/>
      <c r="DI45" s="94"/>
      <c r="DJ45" s="94"/>
      <c r="DK45" s="94"/>
      <c r="DL45" s="94"/>
      <c r="DM45" s="94"/>
      <c r="DN45" s="94"/>
      <c r="DO45" s="94"/>
      <c r="DP45" s="94"/>
      <c r="DQ45" s="94"/>
      <c r="DR45" s="94"/>
      <c r="DS45" s="94"/>
      <c r="DT45" s="94"/>
      <c r="DU45" s="94"/>
      <c r="DV45" s="94"/>
      <c r="DW45" s="94"/>
      <c r="DX45" s="94"/>
      <c r="DY45" s="94"/>
      <c r="DZ45" s="94"/>
      <c r="EA45" s="94"/>
      <c r="EB45" s="94"/>
      <c r="EC45" s="94"/>
      <c r="ED45" s="94"/>
      <c r="EE45" s="94"/>
      <c r="EF45" s="94"/>
      <c r="EG45" s="94"/>
      <c r="EH45" s="94"/>
      <c r="EI45" s="94"/>
      <c r="EJ45" s="94"/>
      <c r="EK45" s="94"/>
      <c r="EL45" s="94"/>
      <c r="EM45" s="94"/>
      <c r="EN45" s="94"/>
      <c r="EO45" s="94"/>
      <c r="EP45" s="94"/>
      <c r="EQ45" s="94"/>
      <c r="ER45" s="94"/>
      <c r="ES45" s="94"/>
      <c r="ET45" s="94"/>
      <c r="EU45" s="94"/>
      <c r="EV45" s="94"/>
      <c r="EW45" s="94"/>
      <c r="EX45" s="94"/>
      <c r="EY45" s="94"/>
      <c r="EZ45" s="94"/>
      <c r="FA45" s="94"/>
      <c r="FB45" s="94"/>
      <c r="FC45" s="94"/>
      <c r="FD45" s="94"/>
      <c r="FE45" s="94"/>
      <c r="FF45" s="94"/>
      <c r="FG45" s="94"/>
      <c r="FH45" s="94"/>
      <c r="FI45" s="94"/>
      <c r="FJ45" s="94"/>
      <c r="FK45" s="94"/>
      <c r="FL45" s="94"/>
      <c r="FM45" s="94"/>
      <c r="FN45" s="94"/>
      <c r="FO45" s="94"/>
      <c r="FP45" s="94"/>
      <c r="FQ45" s="94"/>
      <c r="FR45" s="94"/>
      <c r="FS45" s="94"/>
      <c r="FT45" s="94"/>
      <c r="FU45" s="94"/>
      <c r="FV45" s="94"/>
      <c r="FW45" s="94"/>
      <c r="FX45" s="94"/>
      <c r="FY45" s="94"/>
      <c r="FZ45" s="94"/>
      <c r="GA45" s="94"/>
      <c r="GB45" s="94"/>
      <c r="GC45" s="94"/>
      <c r="GD45" s="94"/>
      <c r="GE45" s="94"/>
      <c r="GF45" s="94"/>
      <c r="GG45" s="94"/>
      <c r="GH45" s="94"/>
      <c r="GI45" s="94"/>
      <c r="GJ45" s="94"/>
      <c r="GK45" s="94"/>
      <c r="GL45" s="94"/>
      <c r="GM45" s="94"/>
      <c r="GN45" s="94"/>
      <c r="GO45" s="94"/>
      <c r="GP45" s="94"/>
      <c r="GQ45" s="94"/>
      <c r="GR45" s="94"/>
      <c r="GS45" s="94"/>
      <c r="GT45" s="94"/>
      <c r="GU45" s="94"/>
      <c r="GV45" s="94"/>
      <c r="GW45" s="94"/>
      <c r="GX45" s="94"/>
      <c r="GY45" s="94"/>
      <c r="GZ45" s="94"/>
      <c r="HA45" s="94"/>
      <c r="HB45" s="94"/>
      <c r="HC45" s="94"/>
      <c r="HD45" s="94"/>
      <c r="HE45" s="94"/>
      <c r="HF45" s="94"/>
      <c r="HG45" s="94"/>
      <c r="HH45" s="94"/>
      <c r="HI45" s="94"/>
      <c r="HJ45" s="94"/>
      <c r="HK45" s="94"/>
      <c r="HL45" s="94"/>
      <c r="HM45" s="94"/>
      <c r="HN45" s="94"/>
      <c r="HO45" s="94"/>
      <c r="HP45" s="94"/>
      <c r="HQ45" s="94"/>
      <c r="HR45" s="94"/>
      <c r="HS45" s="94"/>
      <c r="HT45" s="94"/>
      <c r="HU45" s="94"/>
      <c r="HV45" s="94"/>
      <c r="HW45" s="94"/>
      <c r="HX45" s="94"/>
      <c r="HY45" s="94"/>
      <c r="HZ45" s="94"/>
      <c r="IA45" s="94"/>
      <c r="IB45" s="94"/>
      <c r="IC45" s="94"/>
      <c r="ID45" s="94"/>
      <c r="IE45" s="94"/>
      <c r="IF45" s="94"/>
      <c r="IG45" s="94"/>
      <c r="IH45" s="94"/>
      <c r="II45" s="94"/>
      <c r="IJ45" s="94"/>
      <c r="IK45" s="94"/>
      <c r="IL45" s="94"/>
      <c r="IM45" s="94"/>
      <c r="IN45" s="94"/>
      <c r="IO45" s="94"/>
      <c r="IP45" s="94"/>
      <c r="IQ45" s="94"/>
      <c r="IR45" s="94"/>
      <c r="IS45" s="94"/>
      <c r="IT45" s="94"/>
      <c r="IU45" s="94"/>
      <c r="IV45" s="94"/>
      <c r="IW45" s="94"/>
    </row>
    <row r="46" customFormat="false" ht="12.75" hidden="false" customHeight="true" outlineLevel="0" collapsed="false">
      <c r="A46" s="46" t="str">
        <f aca="false">'QTD Mgmt Summary'!A46</f>
        <v>Natural Gas Trading (Zufferli)</v>
      </c>
      <c r="B46" s="33"/>
      <c r="C46" s="74" t="n">
        <f aca="false">GrossMargin!C46-27822+8451</f>
        <v>-18139</v>
      </c>
      <c r="D46" s="302" t="n">
        <f aca="false">GrossMargin!D46</f>
        <v>0</v>
      </c>
      <c r="E46" s="114" t="n">
        <f aca="false">GrossMargin!E46</f>
        <v>0</v>
      </c>
      <c r="F46" s="302" t="n">
        <f aca="false">GrossMargin!F46</f>
        <v>0</v>
      </c>
      <c r="G46" s="302" t="n">
        <f aca="false">GrossMargin!G46</f>
        <v>0</v>
      </c>
      <c r="H46" s="184" t="n">
        <f aca="false">GrossMargin!H46-3278</f>
        <v>-3278</v>
      </c>
      <c r="I46" s="78" t="n">
        <f aca="false">SUM(C46:H46)</f>
        <v>-21417</v>
      </c>
      <c r="J46" s="226" t="n">
        <v>25000</v>
      </c>
      <c r="K46" s="184" t="n">
        <f aca="false">I46-J46</f>
        <v>-46417</v>
      </c>
    </row>
    <row r="47" customFormat="false" ht="12.75" hidden="false" customHeight="true" outlineLevel="0" collapsed="false">
      <c r="A47" s="46" t="str">
        <f aca="false">'QTD Mgmt Summary'!A47</f>
        <v>Natural Gas Origination (LeDain)</v>
      </c>
      <c r="B47" s="33"/>
      <c r="C47" s="74" t="n">
        <f aca="false">GrossMargin!C47</f>
        <v>0</v>
      </c>
      <c r="D47" s="302" t="n">
        <f aca="false">GrossMargin!D47+12195</f>
        <v>13108</v>
      </c>
      <c r="E47" s="114" t="n">
        <f aca="false">GrossMargin!E47+28</f>
        <v>28</v>
      </c>
      <c r="F47" s="302" t="n">
        <f aca="false">GrossMargin!F47</f>
        <v>0</v>
      </c>
      <c r="G47" s="302" t="n">
        <f aca="false">GrossMargin!G47</f>
        <v>0</v>
      </c>
      <c r="H47" s="184" t="n">
        <f aca="false">GrossMargin!H47</f>
        <v>0</v>
      </c>
      <c r="I47" s="78" t="n">
        <f aca="false">SUM(C47:H47)</f>
        <v>13136</v>
      </c>
      <c r="J47" s="226" t="n">
        <v>25000</v>
      </c>
      <c r="K47" s="184" t="n">
        <f aca="false">I47-J47</f>
        <v>-11864</v>
      </c>
    </row>
    <row r="48" customFormat="false" ht="12.75" hidden="false" customHeight="true" outlineLevel="0" collapsed="false">
      <c r="A48" s="46" t="str">
        <f aca="false">'QTD Mgmt Summary'!A48</f>
        <v>Finance (Kitagawa)</v>
      </c>
      <c r="B48" s="33"/>
      <c r="C48" s="74" t="n">
        <f aca="false">GrossMargin!C48</f>
        <v>0</v>
      </c>
      <c r="D48" s="302" t="n">
        <f aca="false">GrossMargin!D48</f>
        <v>0</v>
      </c>
      <c r="E48" s="114" t="n">
        <f aca="false">GrossMargin!E48</f>
        <v>0</v>
      </c>
      <c r="F48" s="302" t="n">
        <f aca="false">GrossMargin!F48+6342</f>
        <v>6525</v>
      </c>
      <c r="G48" s="302" t="n">
        <f aca="false">GrossMargin!G48</f>
        <v>0</v>
      </c>
      <c r="H48" s="184" t="n">
        <f aca="false">GrossMargin!H48+1112</f>
        <v>1112</v>
      </c>
      <c r="I48" s="78" t="n">
        <f aca="false">SUM(C48:H48)</f>
        <v>7637</v>
      </c>
      <c r="J48" s="226" t="n">
        <v>20000</v>
      </c>
      <c r="K48" s="184" t="n">
        <f aca="false">I48-J48</f>
        <v>-12363</v>
      </c>
    </row>
    <row r="49" customFormat="false" ht="12.75" hidden="false" customHeight="true" outlineLevel="0" collapsed="false">
      <c r="A49" s="46" t="str">
        <f aca="false">'QTD Mgmt Summary'!A49</f>
        <v>Alberta Power (Zufferli/Davies)</v>
      </c>
      <c r="B49" s="33"/>
      <c r="C49" s="74" t="n">
        <f aca="false">GrossMargin!C49+169571</f>
        <v>178643</v>
      </c>
      <c r="D49" s="302" t="n">
        <f aca="false">GrossMargin!D49</f>
        <v>0</v>
      </c>
      <c r="E49" s="114" t="n">
        <f aca="false">GrossMargin!E49+29349</f>
        <v>29537</v>
      </c>
      <c r="F49" s="302" t="n">
        <f aca="false">GrossMargin!F49</f>
        <v>0</v>
      </c>
      <c r="G49" s="302" t="n">
        <f aca="false">GrossMargin!G49</f>
        <v>0</v>
      </c>
      <c r="H49" s="184" t="n">
        <f aca="false">GrossMargin!H49</f>
        <v>0</v>
      </c>
      <c r="I49" s="78" t="n">
        <f aca="false">SUM(C49:H49)</f>
        <v>208180</v>
      </c>
      <c r="J49" s="226" t="n">
        <v>155000</v>
      </c>
      <c r="K49" s="184" t="n">
        <f aca="false">I49-J49</f>
        <v>53180</v>
      </c>
    </row>
    <row r="50" customFormat="false" ht="12.75" hidden="false" customHeight="true" outlineLevel="0" collapsed="false">
      <c r="A50" s="46" t="str">
        <f aca="false">'QTD Mgmt Summary'!A50</f>
        <v>Ontario Power (Devries)</v>
      </c>
      <c r="B50" s="33"/>
      <c r="C50" s="74" t="n">
        <f aca="false">GrossMargin!C50</f>
        <v>0</v>
      </c>
      <c r="D50" s="302" t="n">
        <f aca="false">GrossMargin!D50</f>
        <v>0</v>
      </c>
      <c r="E50" s="114" t="n">
        <f aca="false">GrossMargin!E50+500</f>
        <v>500</v>
      </c>
      <c r="F50" s="302" t="n">
        <f aca="false">GrossMargin!F50</f>
        <v>0</v>
      </c>
      <c r="G50" s="302" t="n">
        <f aca="false">GrossMargin!G50</f>
        <v>0</v>
      </c>
      <c r="H50" s="184" t="n">
        <f aca="false">GrossMargin!H50-1212</f>
        <v>-1212</v>
      </c>
      <c r="I50" s="78" t="n">
        <f aca="false">SUM(C50:H50)</f>
        <v>-712</v>
      </c>
      <c r="J50" s="226" t="n">
        <v>50000</v>
      </c>
      <c r="K50" s="184" t="n">
        <f aca="false">I50-J50</f>
        <v>-50712</v>
      </c>
    </row>
    <row r="51" customFormat="false" ht="12.75" hidden="false" customHeight="true" outlineLevel="0" collapsed="false">
      <c r="A51" s="46" t="str">
        <f aca="false">'QTD Mgmt Summary'!A51</f>
        <v>Executive (Milnthorp)</v>
      </c>
      <c r="B51" s="33"/>
      <c r="C51" s="74" t="n">
        <f aca="false">GrossMargin!C51</f>
        <v>0</v>
      </c>
      <c r="D51" s="302" t="n">
        <f aca="false">GrossMargin!D51</f>
        <v>0</v>
      </c>
      <c r="E51" s="114" t="n">
        <f aca="false">GrossMargin!E51</f>
        <v>0</v>
      </c>
      <c r="F51" s="302" t="n">
        <f aca="false">GrossMargin!F51</f>
        <v>0</v>
      </c>
      <c r="G51" s="302" t="n">
        <f aca="false">GrossMargin!G51</f>
        <v>0</v>
      </c>
      <c r="H51" s="184" t="n">
        <f aca="false">GrossMargin!H51-6360+1311</f>
        <v>-5049</v>
      </c>
      <c r="I51" s="78" t="n">
        <f aca="false">SUM(C51:H51)</f>
        <v>-5049</v>
      </c>
      <c r="J51" s="226" t="n">
        <v>10000</v>
      </c>
      <c r="K51" s="184" t="n">
        <f aca="false">I51-J51</f>
        <v>-15049</v>
      </c>
    </row>
    <row r="52" customFormat="false" ht="12.75" hidden="false" customHeight="true" outlineLevel="0" collapsed="false">
      <c r="A52" s="101" t="s">
        <v>45</v>
      </c>
      <c r="B52" s="191"/>
      <c r="C52" s="223" t="n">
        <f aca="false">SUM(C46:C51)</f>
        <v>160504</v>
      </c>
      <c r="D52" s="193" t="n">
        <f aca="false">SUM(D46:D51)</f>
        <v>13108</v>
      </c>
      <c r="E52" s="193" t="n">
        <f aca="false">SUM(E46:E51)</f>
        <v>30065</v>
      </c>
      <c r="F52" s="193" t="n">
        <f aca="false">SUM(F46:F51)</f>
        <v>6525</v>
      </c>
      <c r="G52" s="193" t="n">
        <f aca="false">SUM(G46:G51)</f>
        <v>0</v>
      </c>
      <c r="H52" s="310" t="n">
        <f aca="false">SUM(H46:H51)</f>
        <v>-8427</v>
      </c>
      <c r="I52" s="223" t="n">
        <f aca="false">SUM(I46:I51)</f>
        <v>201775</v>
      </c>
      <c r="J52" s="193" t="n">
        <f aca="false">SUM(J46:J51)</f>
        <v>285000</v>
      </c>
      <c r="K52" s="310" t="n">
        <f aca="false">SUM(K46:K51)</f>
        <v>-83225</v>
      </c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4"/>
      <c r="BR52" s="94"/>
      <c r="BS52" s="94"/>
      <c r="BT52" s="94"/>
      <c r="BU52" s="94"/>
      <c r="BV52" s="94"/>
      <c r="BW52" s="94"/>
      <c r="BX52" s="94"/>
      <c r="BY52" s="94"/>
      <c r="BZ52" s="94"/>
      <c r="CA52" s="94"/>
      <c r="CB52" s="94"/>
      <c r="CC52" s="94"/>
      <c r="CD52" s="94"/>
      <c r="CE52" s="94"/>
      <c r="CF52" s="94"/>
      <c r="CG52" s="94"/>
      <c r="CH52" s="94"/>
      <c r="CI52" s="94"/>
      <c r="CJ52" s="94"/>
      <c r="CK52" s="94"/>
      <c r="CL52" s="94"/>
      <c r="CM52" s="94"/>
      <c r="CN52" s="94"/>
      <c r="CO52" s="94"/>
      <c r="CP52" s="94"/>
      <c r="CQ52" s="94"/>
      <c r="CR52" s="94"/>
      <c r="CS52" s="94"/>
      <c r="CT52" s="94"/>
      <c r="CU52" s="94"/>
      <c r="CV52" s="94"/>
      <c r="CW52" s="94"/>
      <c r="CX52" s="94"/>
      <c r="CY52" s="94"/>
      <c r="CZ52" s="94"/>
      <c r="DA52" s="94"/>
      <c r="DB52" s="94"/>
      <c r="DC52" s="94"/>
      <c r="DD52" s="94"/>
      <c r="DE52" s="94"/>
      <c r="DF52" s="94"/>
      <c r="DG52" s="94"/>
      <c r="DH52" s="94"/>
      <c r="DI52" s="94"/>
      <c r="DJ52" s="94"/>
      <c r="DK52" s="94"/>
      <c r="DL52" s="94"/>
      <c r="DM52" s="94"/>
      <c r="DN52" s="94"/>
      <c r="DO52" s="94"/>
      <c r="DP52" s="94"/>
      <c r="DQ52" s="94"/>
      <c r="DR52" s="94"/>
      <c r="DS52" s="94"/>
      <c r="DT52" s="94"/>
      <c r="DU52" s="94"/>
      <c r="DV52" s="94"/>
      <c r="DW52" s="94"/>
      <c r="DX52" s="94"/>
      <c r="DY52" s="94"/>
      <c r="DZ52" s="94"/>
      <c r="EA52" s="94"/>
      <c r="EB52" s="94"/>
      <c r="EC52" s="94"/>
      <c r="ED52" s="94"/>
      <c r="EE52" s="94"/>
      <c r="EF52" s="94"/>
      <c r="EG52" s="94"/>
      <c r="EH52" s="94"/>
      <c r="EI52" s="94"/>
      <c r="EJ52" s="94"/>
      <c r="EK52" s="94"/>
      <c r="EL52" s="94"/>
      <c r="EM52" s="94"/>
      <c r="EN52" s="94"/>
      <c r="EO52" s="94"/>
      <c r="EP52" s="94"/>
      <c r="EQ52" s="94"/>
      <c r="ER52" s="94"/>
      <c r="ES52" s="94"/>
      <c r="ET52" s="94"/>
      <c r="EU52" s="94"/>
      <c r="EV52" s="94"/>
      <c r="EW52" s="94"/>
      <c r="EX52" s="94"/>
      <c r="EY52" s="94"/>
      <c r="EZ52" s="94"/>
      <c r="FA52" s="94"/>
      <c r="FB52" s="94"/>
      <c r="FC52" s="94"/>
      <c r="FD52" s="94"/>
      <c r="FE52" s="94"/>
      <c r="FF52" s="94"/>
      <c r="FG52" s="94"/>
      <c r="FH52" s="94"/>
      <c r="FI52" s="94"/>
      <c r="FJ52" s="94"/>
      <c r="FK52" s="94"/>
      <c r="FL52" s="94"/>
      <c r="FM52" s="94"/>
      <c r="FN52" s="94"/>
      <c r="FO52" s="94"/>
      <c r="FP52" s="94"/>
      <c r="FQ52" s="94"/>
      <c r="FR52" s="94"/>
      <c r="FS52" s="94"/>
      <c r="FT52" s="94"/>
      <c r="FU52" s="94"/>
      <c r="FV52" s="94"/>
      <c r="FW52" s="94"/>
      <c r="FX52" s="94"/>
      <c r="FY52" s="94"/>
      <c r="FZ52" s="94"/>
      <c r="GA52" s="94"/>
      <c r="GB52" s="94"/>
      <c r="GC52" s="94"/>
      <c r="GD52" s="94"/>
      <c r="GE52" s="94"/>
      <c r="GF52" s="94"/>
      <c r="GG52" s="94"/>
      <c r="GH52" s="94"/>
      <c r="GI52" s="94"/>
      <c r="GJ52" s="94"/>
      <c r="GK52" s="94"/>
      <c r="GL52" s="94"/>
      <c r="GM52" s="94"/>
      <c r="GN52" s="94"/>
      <c r="GO52" s="94"/>
      <c r="GP52" s="94"/>
      <c r="GQ52" s="94"/>
      <c r="GR52" s="94"/>
      <c r="GS52" s="94"/>
      <c r="GT52" s="94"/>
      <c r="GU52" s="94"/>
      <c r="GV52" s="94"/>
      <c r="GW52" s="94"/>
      <c r="GX52" s="94"/>
      <c r="GY52" s="94"/>
      <c r="GZ52" s="94"/>
      <c r="HA52" s="94"/>
      <c r="HB52" s="94"/>
      <c r="HC52" s="94"/>
      <c r="HD52" s="94"/>
      <c r="HE52" s="94"/>
      <c r="HF52" s="94"/>
      <c r="HG52" s="94"/>
      <c r="HH52" s="94"/>
      <c r="HI52" s="94"/>
      <c r="HJ52" s="94"/>
      <c r="HK52" s="94"/>
      <c r="HL52" s="94"/>
      <c r="HM52" s="94"/>
      <c r="HN52" s="94"/>
      <c r="HO52" s="94"/>
      <c r="HP52" s="94"/>
      <c r="HQ52" s="94"/>
      <c r="HR52" s="94"/>
      <c r="HS52" s="94"/>
      <c r="HT52" s="94"/>
      <c r="HU52" s="94"/>
      <c r="HV52" s="94"/>
      <c r="HW52" s="94"/>
      <c r="HX52" s="94"/>
      <c r="HY52" s="94"/>
      <c r="HZ52" s="94"/>
      <c r="IA52" s="94"/>
      <c r="IB52" s="94"/>
      <c r="IC52" s="94"/>
      <c r="ID52" s="94"/>
      <c r="IE52" s="94"/>
      <c r="IF52" s="94"/>
      <c r="IG52" s="94"/>
      <c r="IH52" s="94"/>
      <c r="II52" s="94"/>
      <c r="IJ52" s="94"/>
      <c r="IK52" s="94"/>
      <c r="IL52" s="94"/>
      <c r="IM52" s="94"/>
      <c r="IN52" s="94"/>
      <c r="IO52" s="94"/>
      <c r="IP52" s="94"/>
      <c r="IQ52" s="94"/>
      <c r="IR52" s="94"/>
      <c r="IS52" s="94"/>
      <c r="IT52" s="94"/>
      <c r="IU52" s="94"/>
      <c r="IV52" s="94"/>
      <c r="IW52" s="94"/>
    </row>
    <row r="53" customFormat="false" ht="12.75" hidden="false" customHeight="true" outlineLevel="0" collapsed="false">
      <c r="A53" s="46" t="str">
        <f aca="false">'QTD Mgmt Summary'!A53</f>
        <v>Upstream Products (Mrha)</v>
      </c>
      <c r="B53" s="33"/>
      <c r="C53" s="74" t="n">
        <f aca="false">GrossMargin!C53+107</f>
        <v>525</v>
      </c>
      <c r="D53" s="114" t="n">
        <f aca="false">GrossMargin!D53</f>
        <v>0</v>
      </c>
      <c r="E53" s="114" t="n">
        <f aca="false">GrossMargin!E53+1650</f>
        <v>1650</v>
      </c>
      <c r="F53" s="226" t="n">
        <f aca="false">GrossMargin!F53+1124</f>
        <v>1598</v>
      </c>
      <c r="G53" s="226" t="n">
        <f aca="false">GrossMargin!G53+6046</f>
        <v>6560</v>
      </c>
      <c r="H53" s="184" t="n">
        <f aca="false">GrossMargin!H53+8300</f>
        <v>8300</v>
      </c>
      <c r="I53" s="78" t="n">
        <f aca="false">SUM(C53:H53)</f>
        <v>18633</v>
      </c>
      <c r="J53" s="226" t="n">
        <v>40546</v>
      </c>
      <c r="K53" s="184" t="n">
        <f aca="false">I53-J53</f>
        <v>-21913</v>
      </c>
    </row>
    <row r="54" customFormat="false" ht="12.75" hidden="false" customHeight="true" outlineLevel="0" collapsed="false">
      <c r="A54" s="46" t="str">
        <f aca="false">'QTD Mgmt Summary'!A54</f>
        <v>Bridgeline (Redmond)</v>
      </c>
      <c r="B54" s="33"/>
      <c r="C54" s="78" t="n">
        <f aca="false">GrossMargin!C54</f>
        <v>0</v>
      </c>
      <c r="D54" s="226" t="n">
        <f aca="false">GrossMargin!D54</f>
        <v>0</v>
      </c>
      <c r="E54" s="114" t="n">
        <f aca="false">GrossMargin!E54</f>
        <v>0</v>
      </c>
      <c r="F54" s="226" t="n">
        <f aca="false">GrossMargin!F54</f>
        <v>0</v>
      </c>
      <c r="G54" s="226" t="n">
        <f aca="false">GrossMargin!G54+4518</f>
        <v>7205</v>
      </c>
      <c r="H54" s="184" t="n">
        <f aca="false">GrossMargin!H54</f>
        <v>0</v>
      </c>
      <c r="I54" s="78" t="n">
        <f aca="false">SUM(C54:H54)</f>
        <v>7205</v>
      </c>
      <c r="J54" s="226" t="n">
        <v>11637</v>
      </c>
      <c r="K54" s="184" t="n">
        <f aca="false">I54-J54</f>
        <v>-4432</v>
      </c>
    </row>
    <row r="55" customFormat="false" ht="12.75" hidden="false" customHeight="true" outlineLevel="0" collapsed="false">
      <c r="A55" s="46" t="str">
        <f aca="false">'QTD Mgmt Summary'!A55</f>
        <v>HPL (Redmond)</v>
      </c>
      <c r="B55" s="33"/>
      <c r="C55" s="78" t="n">
        <f aca="false">GrossMargin!C55</f>
        <v>0</v>
      </c>
      <c r="D55" s="226" t="n">
        <f aca="false">GrossMargin!D55</f>
        <v>0</v>
      </c>
      <c r="E55" s="114" t="n">
        <f aca="false">GrossMargin!E55+9489</f>
        <v>9737</v>
      </c>
      <c r="F55" s="226" t="n">
        <f aca="false">GrossMargin!F55+221</f>
        <v>329</v>
      </c>
      <c r="G55" s="226" t="n">
        <f aca="false">GrossMargin!G55+27466</f>
        <v>33408</v>
      </c>
      <c r="H55" s="184" t="n">
        <f aca="false">GrossMargin!H55+7</f>
        <v>7</v>
      </c>
      <c r="I55" s="78" t="n">
        <f aca="false">SUM(C55:H55)</f>
        <v>43481</v>
      </c>
      <c r="J55" s="226" t="n">
        <v>-77380</v>
      </c>
      <c r="K55" s="184" t="n">
        <f aca="false">I55-J55</f>
        <v>120861</v>
      </c>
    </row>
    <row r="56" customFormat="false" ht="12.75" hidden="false" customHeight="true" outlineLevel="0" collapsed="false">
      <c r="A56" s="46" t="str">
        <f aca="false">'QTD Mgmt Summary'!A56</f>
        <v>Mexico (Irvin/Williams)</v>
      </c>
      <c r="B56" s="33"/>
      <c r="C56" s="78" t="n">
        <f aca="false">GrossMargin!C56</f>
        <v>0</v>
      </c>
      <c r="D56" s="226" t="n">
        <f aca="false">GrossMargin!D56</f>
        <v>0</v>
      </c>
      <c r="E56" s="114" t="n">
        <f aca="false">GrossMargin!E56+2525</f>
        <v>3030</v>
      </c>
      <c r="F56" s="226" t="n">
        <f aca="false">GrossMargin!F56</f>
        <v>0</v>
      </c>
      <c r="G56" s="226" t="n">
        <f aca="false">GrossMargin!G56</f>
        <v>0</v>
      </c>
      <c r="H56" s="184" t="n">
        <f aca="false">GrossMargin!H56-575</f>
        <v>-575</v>
      </c>
      <c r="I56" s="78" t="n">
        <f aca="false">SUM(C56:H56)</f>
        <v>2455</v>
      </c>
      <c r="J56" s="226" t="n">
        <v>60000</v>
      </c>
      <c r="K56" s="184" t="n">
        <f aca="false">I56-J56</f>
        <v>-57545</v>
      </c>
    </row>
    <row r="57" customFormat="false" ht="12.75" hidden="false" customHeight="true" outlineLevel="0" collapsed="false">
      <c r="A57" s="46" t="str">
        <f aca="false">'QTD Mgmt Summary'!A57</f>
        <v>Energy Capital Svcs (Thompson/Josey)</v>
      </c>
      <c r="B57" s="33"/>
      <c r="C57" s="78" t="n">
        <f aca="false">GrossMargin!C57</f>
        <v>0</v>
      </c>
      <c r="D57" s="226" t="n">
        <f aca="false">GrossMargin!D57</f>
        <v>0</v>
      </c>
      <c r="E57" s="114" t="n">
        <f aca="false">GrossMargin!E57+533</f>
        <v>533</v>
      </c>
      <c r="F57" s="226" t="n">
        <f aca="false">GrossMargin!F57+17553</f>
        <v>18176</v>
      </c>
      <c r="G57" s="226" t="n">
        <f aca="false">GrossMargin!G57</f>
        <v>-290</v>
      </c>
      <c r="H57" s="184" t="n">
        <f aca="false">GrossMargin!H57</f>
        <v>0</v>
      </c>
      <c r="I57" s="78" t="n">
        <f aca="false">SUM(C57:H57)</f>
        <v>18419</v>
      </c>
      <c r="J57" s="226" t="n">
        <v>51643</v>
      </c>
      <c r="K57" s="184" t="n">
        <f aca="false">I57-J57</f>
        <v>-33224</v>
      </c>
    </row>
    <row r="58" customFormat="false" ht="12.75" hidden="false" customHeight="true" outlineLevel="0" collapsed="false">
      <c r="A58" s="46" t="str">
        <f aca="false">'QTD Mgmt Summary'!A58</f>
        <v>Mariner</v>
      </c>
      <c r="B58" s="33"/>
      <c r="C58" s="78" t="n">
        <f aca="false">GrossMargin!C58</f>
        <v>0</v>
      </c>
      <c r="D58" s="226" t="n">
        <f aca="false">GrossMargin!D58</f>
        <v>0</v>
      </c>
      <c r="E58" s="114" t="n">
        <f aca="false">GrossMargin!E58</f>
        <v>0</v>
      </c>
      <c r="F58" s="226" t="n">
        <f aca="false">GrossMargin!F58+8327</f>
        <v>10685</v>
      </c>
      <c r="G58" s="226" t="n">
        <f aca="false">GrossMargin!G58+14</f>
        <v>4318</v>
      </c>
      <c r="H58" s="184" t="n">
        <f aca="false">GrossMargin!H58</f>
        <v>0</v>
      </c>
      <c r="I58" s="78" t="n">
        <f aca="false">SUM(C58:H58)</f>
        <v>15003</v>
      </c>
      <c r="J58" s="226" t="n">
        <v>0</v>
      </c>
      <c r="K58" s="184" t="n">
        <f aca="false">I58-J58</f>
        <v>15003</v>
      </c>
    </row>
    <row r="59" customFormat="false" ht="12.75" hidden="false" customHeight="true" outlineLevel="0" collapsed="false">
      <c r="A59" s="46" t="str">
        <f aca="false">'QTD Mgmt Summary'!A59</f>
        <v>Asset Marketing (D. Miller)</v>
      </c>
      <c r="B59" s="51"/>
      <c r="C59" s="78" t="n">
        <f aca="false">GrossMargin!C59</f>
        <v>0</v>
      </c>
      <c r="D59" s="226" t="n">
        <f aca="false">GrossMargin!D59</f>
        <v>0</v>
      </c>
      <c r="E59" s="114" t="n">
        <f aca="false">GrossMargin!E59+3000</f>
        <v>3000</v>
      </c>
      <c r="F59" s="226" t="n">
        <f aca="false">GrossMargin!F59</f>
        <v>0</v>
      </c>
      <c r="G59" s="226" t="n">
        <f aca="false">GrossMargin!G59</f>
        <v>0</v>
      </c>
      <c r="H59" s="184" t="n">
        <f aca="false">GrossMargin!H59</f>
        <v>0</v>
      </c>
      <c r="I59" s="78" t="n">
        <f aca="false">SUM(C59:H59)</f>
        <v>3000</v>
      </c>
      <c r="J59" s="226" t="n">
        <v>20000</v>
      </c>
      <c r="K59" s="184" t="n">
        <f aca="false">I59-J59</f>
        <v>-17000</v>
      </c>
    </row>
    <row r="60" customFormat="false" ht="12.75" hidden="false" customHeight="true" outlineLevel="0" collapsed="false">
      <c r="A60" s="46" t="s">
        <v>210</v>
      </c>
      <c r="B60" s="51"/>
      <c r="C60" s="78" t="n">
        <v>0</v>
      </c>
      <c r="D60" s="226" t="n">
        <v>0</v>
      </c>
      <c r="E60" s="114" t="n">
        <v>0</v>
      </c>
      <c r="F60" s="226" t="n">
        <v>-6408</v>
      </c>
      <c r="G60" s="226" t="n">
        <v>0</v>
      </c>
      <c r="H60" s="184" t="n">
        <v>0</v>
      </c>
      <c r="I60" s="78" t="n">
        <f aca="false">SUM(C60:H60)</f>
        <v>-6408</v>
      </c>
      <c r="J60" s="226" t="n">
        <v>27812</v>
      </c>
      <c r="K60" s="184" t="n">
        <f aca="false">I60-J60</f>
        <v>-34220</v>
      </c>
    </row>
    <row r="61" customFormat="false" ht="12.75" hidden="false" customHeight="true" outlineLevel="0" collapsed="false">
      <c r="A61" s="46" t="s">
        <v>211</v>
      </c>
      <c r="B61" s="51"/>
      <c r="C61" s="78" t="n">
        <v>0</v>
      </c>
      <c r="D61" s="226" t="n">
        <v>0</v>
      </c>
      <c r="E61" s="114" t="n">
        <v>0</v>
      </c>
      <c r="F61" s="226" t="n">
        <v>0</v>
      </c>
      <c r="G61" s="226" t="n">
        <v>0</v>
      </c>
      <c r="H61" s="184" t="n">
        <v>0</v>
      </c>
      <c r="I61" s="78" t="n">
        <f aca="false">SUM(C61:H61)</f>
        <v>0</v>
      </c>
      <c r="J61" s="226" t="n">
        <v>5000</v>
      </c>
      <c r="K61" s="184" t="n">
        <f aca="false">I61-J61</f>
        <v>-5000</v>
      </c>
    </row>
    <row r="62" customFormat="false" ht="12.75" hidden="false" customHeight="true" outlineLevel="0" collapsed="false">
      <c r="A62" s="46" t="str">
        <f aca="false">'QTD Mgmt Summary'!A60</f>
        <v>Sold Peakers</v>
      </c>
      <c r="B62" s="51"/>
      <c r="C62" s="78" t="n">
        <f aca="false">GrossMargin!C60</f>
        <v>0</v>
      </c>
      <c r="D62" s="226" t="n">
        <f aca="false">GrossMargin!D60</f>
        <v>0</v>
      </c>
      <c r="E62" s="114" t="n">
        <f aca="false">GrossMargin!E60+637533</f>
        <v>637533</v>
      </c>
      <c r="F62" s="226" t="n">
        <f aca="false">GrossMargin!F60</f>
        <v>0</v>
      </c>
      <c r="G62" s="226" t="n">
        <f aca="false">GrossMargin!G60</f>
        <v>0</v>
      </c>
      <c r="H62" s="184" t="n">
        <f aca="false">GrossMargin!H60-3402</f>
        <v>-3804</v>
      </c>
      <c r="I62" s="78" t="n">
        <f aca="false">SUM(C62:H62)</f>
        <v>633729</v>
      </c>
      <c r="J62" s="226" t="n">
        <v>-23653</v>
      </c>
      <c r="K62" s="184" t="n">
        <f aca="false">I62-J62</f>
        <v>657382</v>
      </c>
    </row>
    <row r="63" customFormat="false" ht="12.75" hidden="false" customHeight="true" outlineLevel="0" collapsed="false">
      <c r="A63" s="46" t="str">
        <f aca="false">'QTD Mgmt Summary'!A61</f>
        <v>Cross Commodity (Lavorato)</v>
      </c>
      <c r="B63" s="51"/>
      <c r="C63" s="78" t="n">
        <f aca="false">GrossMargin!C61+21126</f>
        <v>25041</v>
      </c>
      <c r="D63" s="226" t="n">
        <f aca="false">GrossMargin!D61</f>
        <v>0</v>
      </c>
      <c r="E63" s="114" t="n">
        <f aca="false">GrossMargin!E61</f>
        <v>0</v>
      </c>
      <c r="F63" s="226" t="n">
        <f aca="false">GrossMargin!F61</f>
        <v>0</v>
      </c>
      <c r="G63" s="226" t="n">
        <f aca="false">GrossMargin!G61</f>
        <v>0</v>
      </c>
      <c r="H63" s="184" t="n">
        <f aca="false">GrossMargin!H61</f>
        <v>0</v>
      </c>
      <c r="I63" s="78" t="n">
        <f aca="false">SUM(C63:H63)</f>
        <v>25041</v>
      </c>
      <c r="J63" s="226" t="n">
        <v>0</v>
      </c>
      <c r="K63" s="184" t="n">
        <f aca="false">I63-J63</f>
        <v>25041</v>
      </c>
    </row>
    <row r="64" customFormat="false" ht="12.75" hidden="false" customHeight="true" outlineLevel="0" collapsed="false">
      <c r="A64" s="46" t="str">
        <f aca="false">'QTD Mgmt Summary'!A62</f>
        <v>Office of the Chairman (Lavorato/Kitchen)</v>
      </c>
      <c r="B64" s="33"/>
      <c r="C64" s="78" t="n">
        <f aca="false">GrossMargin!C62-9119</f>
        <v>-9119</v>
      </c>
      <c r="D64" s="226" t="n">
        <f aca="false">GrossMargin!D62</f>
        <v>0</v>
      </c>
      <c r="E64" s="114" t="n">
        <f aca="false">GrossMargin!E62</f>
        <v>0</v>
      </c>
      <c r="F64" s="226" t="n">
        <f aca="false">GrossMargin!F62</f>
        <v>0</v>
      </c>
      <c r="G64" s="226" t="n">
        <f aca="false">GrossMargin!G62</f>
        <v>0</v>
      </c>
      <c r="H64" s="184" t="n">
        <f aca="false">GrossMargin!H62-13702</f>
        <v>-14890</v>
      </c>
      <c r="I64" s="78" t="n">
        <f aca="false">SUM(C64:H64)</f>
        <v>-24009</v>
      </c>
      <c r="J64" s="226" t="n">
        <v>-81641</v>
      </c>
      <c r="K64" s="184" t="n">
        <f aca="false">I64-J64</f>
        <v>57632</v>
      </c>
    </row>
    <row r="65" customFormat="false" ht="12.75" hidden="false" customHeight="true" outlineLevel="0" collapsed="false">
      <c r="A65" s="46" t="str">
        <f aca="false">'QTD Mgmt Summary'!A63</f>
        <v>TVA Settlement</v>
      </c>
      <c r="B65" s="33"/>
      <c r="C65" s="78" t="n">
        <f aca="false">GrossMargin!C63</f>
        <v>0</v>
      </c>
      <c r="D65" s="226" t="n">
        <f aca="false">GrossMargin!D63</f>
        <v>0</v>
      </c>
      <c r="E65" s="114" t="n">
        <f aca="false">GrossMargin!E63</f>
        <v>0</v>
      </c>
      <c r="F65" s="226" t="n">
        <f aca="false">GrossMargin!F63</f>
        <v>0</v>
      </c>
      <c r="G65" s="226" t="n">
        <f aca="false">GrossMargin!G63</f>
        <v>0</v>
      </c>
      <c r="H65" s="184" t="n">
        <f aca="false">GrossMargin!H63</f>
        <v>0</v>
      </c>
      <c r="I65" s="78" t="n">
        <f aca="false">SUM(C65:H65)</f>
        <v>0</v>
      </c>
      <c r="J65" s="226" t="n">
        <v>0</v>
      </c>
      <c r="K65" s="184" t="n">
        <f aca="false">I65-J65</f>
        <v>0</v>
      </c>
    </row>
    <row r="66" customFormat="false" ht="12.75" hidden="false" customHeight="true" outlineLevel="0" collapsed="false">
      <c r="A66" s="46" t="str">
        <f aca="false">'QTD Mgmt Summary'!A64</f>
        <v>Other *</v>
      </c>
      <c r="B66" s="33"/>
      <c r="C66" s="78" t="n">
        <f aca="false">GrossMargin!C64</f>
        <v>0</v>
      </c>
      <c r="D66" s="226" t="n">
        <f aca="false">GrossMargin!D64</f>
        <v>0</v>
      </c>
      <c r="E66" s="114" t="n">
        <f aca="false">GrossMargin!E64</f>
        <v>0</v>
      </c>
      <c r="F66" s="226" t="n">
        <f aca="false">GrossMargin!F64-15288</f>
        <v>-17683</v>
      </c>
      <c r="G66" s="226" t="n">
        <f aca="false">GrossMargin!G64</f>
        <v>0</v>
      </c>
      <c r="H66" s="184" t="n">
        <f aca="false">GrossMargin!H64+1023</f>
        <v>1023</v>
      </c>
      <c r="I66" s="78" t="n">
        <f aca="false">SUM(C66:H66)</f>
        <v>-16660</v>
      </c>
      <c r="J66" s="226" t="n">
        <v>-18500</v>
      </c>
      <c r="K66" s="184" t="n">
        <f aca="false">I66-J66</f>
        <v>1840</v>
      </c>
    </row>
    <row r="67" customFormat="false" ht="12.75" hidden="false" customHeight="true" outlineLevel="0" collapsed="false">
      <c r="A67" s="101" t="s">
        <v>66</v>
      </c>
      <c r="B67" s="191"/>
      <c r="C67" s="223" t="n">
        <f aca="false">SUM(C53:C66)+C52+C45+C31+C23</f>
        <v>1804484</v>
      </c>
      <c r="D67" s="193" t="n">
        <f aca="false">SUM(D53:D66)+D52+D45+D31+D23</f>
        <v>134040</v>
      </c>
      <c r="E67" s="193" t="n">
        <f aca="false">SUM(E53:E66)+E52+E45+E31+E23</f>
        <v>786084</v>
      </c>
      <c r="F67" s="193" t="n">
        <f aca="false">SUM(F53:F66)+F52+F45+F31+F23</f>
        <v>55776</v>
      </c>
      <c r="G67" s="193" t="n">
        <f aca="false">SUM(G53:G66)+G52+G45+G31+G23</f>
        <v>50865</v>
      </c>
      <c r="H67" s="310" t="n">
        <f aca="false">SUM(H53:H66)+H52+H45+H31+H23</f>
        <v>-390</v>
      </c>
      <c r="I67" s="304" t="n">
        <f aca="false">SUM(I53:I66)+I52+I45+I31+I23</f>
        <v>2830859</v>
      </c>
      <c r="J67" s="304" t="n">
        <f aca="false">SUM(J53:J66)+J52+J45+J31+J23</f>
        <v>1583452</v>
      </c>
      <c r="K67" s="305" t="n">
        <f aca="false">SUM(K53:K66)+K52+K45+K31+K23</f>
        <v>1247407</v>
      </c>
      <c r="L67" s="98"/>
      <c r="M67" s="98"/>
      <c r="N67" s="225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98"/>
      <c r="AG67" s="98"/>
      <c r="AH67" s="98"/>
      <c r="AI67" s="98"/>
      <c r="AJ67" s="98"/>
      <c r="AK67" s="98"/>
      <c r="AL67" s="98"/>
      <c r="AM67" s="98"/>
      <c r="AN67" s="98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  <c r="BA67" s="98"/>
      <c r="BB67" s="98"/>
      <c r="BC67" s="98"/>
      <c r="BD67" s="98"/>
      <c r="BE67" s="98"/>
      <c r="BF67" s="98"/>
      <c r="BG67" s="98"/>
      <c r="BH67" s="98"/>
      <c r="BI67" s="98"/>
      <c r="BJ67" s="98"/>
      <c r="BK67" s="98"/>
      <c r="BL67" s="98"/>
      <c r="BM67" s="98"/>
      <c r="BN67" s="98"/>
      <c r="BO67" s="98"/>
      <c r="BP67" s="98"/>
      <c r="BQ67" s="98"/>
      <c r="BR67" s="98"/>
      <c r="BS67" s="98"/>
      <c r="BT67" s="98"/>
      <c r="BU67" s="98"/>
      <c r="BV67" s="98"/>
      <c r="BW67" s="98"/>
      <c r="BX67" s="98"/>
      <c r="BY67" s="98"/>
      <c r="BZ67" s="98"/>
      <c r="CA67" s="98"/>
      <c r="CB67" s="98"/>
      <c r="CC67" s="98"/>
      <c r="CD67" s="98"/>
      <c r="CE67" s="98"/>
      <c r="CF67" s="98"/>
      <c r="CG67" s="98"/>
      <c r="CH67" s="98"/>
      <c r="CI67" s="98"/>
      <c r="CJ67" s="98"/>
      <c r="CK67" s="98"/>
      <c r="CL67" s="98"/>
      <c r="CM67" s="98"/>
      <c r="CN67" s="98"/>
      <c r="CO67" s="98"/>
      <c r="CP67" s="98"/>
      <c r="CQ67" s="98"/>
      <c r="CR67" s="98"/>
      <c r="CS67" s="98"/>
      <c r="CT67" s="98"/>
      <c r="CU67" s="98"/>
      <c r="CV67" s="98"/>
      <c r="CW67" s="98"/>
      <c r="CX67" s="98"/>
      <c r="CY67" s="98"/>
      <c r="CZ67" s="98"/>
      <c r="DA67" s="98"/>
      <c r="DB67" s="98"/>
      <c r="DC67" s="98"/>
      <c r="DD67" s="98"/>
      <c r="DE67" s="98"/>
      <c r="DF67" s="98"/>
      <c r="DG67" s="98"/>
      <c r="DH67" s="98"/>
      <c r="DI67" s="98"/>
      <c r="DJ67" s="98"/>
      <c r="DK67" s="98"/>
      <c r="DL67" s="98"/>
      <c r="DM67" s="98"/>
      <c r="DN67" s="98"/>
      <c r="DO67" s="98"/>
      <c r="DP67" s="98"/>
      <c r="DQ67" s="98"/>
      <c r="DR67" s="98"/>
      <c r="DS67" s="98"/>
      <c r="DT67" s="98"/>
      <c r="DU67" s="98"/>
      <c r="DV67" s="98"/>
      <c r="DW67" s="98"/>
      <c r="DX67" s="98"/>
      <c r="DY67" s="98"/>
      <c r="DZ67" s="98"/>
      <c r="EA67" s="98"/>
      <c r="EB67" s="98"/>
      <c r="EC67" s="98"/>
      <c r="ED67" s="98"/>
      <c r="EE67" s="98"/>
      <c r="EF67" s="98"/>
      <c r="EG67" s="98"/>
      <c r="EH67" s="98"/>
      <c r="EI67" s="98"/>
      <c r="EJ67" s="98"/>
      <c r="EK67" s="98"/>
      <c r="EL67" s="98"/>
      <c r="EM67" s="98"/>
      <c r="EN67" s="98"/>
      <c r="EO67" s="98"/>
      <c r="EP67" s="98"/>
      <c r="EQ67" s="98"/>
      <c r="ER67" s="98"/>
      <c r="ES67" s="98"/>
      <c r="ET67" s="98"/>
      <c r="EU67" s="98"/>
      <c r="EV67" s="98"/>
      <c r="EW67" s="98"/>
      <c r="EX67" s="98"/>
      <c r="EY67" s="98"/>
      <c r="EZ67" s="98"/>
      <c r="FA67" s="98"/>
      <c r="FB67" s="98"/>
      <c r="FC67" s="98"/>
      <c r="FD67" s="98"/>
      <c r="FE67" s="98"/>
      <c r="FF67" s="98"/>
      <c r="FG67" s="98"/>
      <c r="FH67" s="98"/>
      <c r="FI67" s="98"/>
      <c r="FJ67" s="98"/>
      <c r="FK67" s="98"/>
      <c r="FL67" s="98"/>
      <c r="FM67" s="98"/>
      <c r="FN67" s="98"/>
      <c r="FO67" s="98"/>
      <c r="FP67" s="98"/>
      <c r="FQ67" s="98"/>
      <c r="FR67" s="98"/>
      <c r="FS67" s="98"/>
      <c r="FT67" s="98"/>
      <c r="FU67" s="98"/>
      <c r="FV67" s="98"/>
      <c r="FW67" s="98"/>
      <c r="FX67" s="98"/>
      <c r="FY67" s="98"/>
      <c r="FZ67" s="98"/>
      <c r="GA67" s="98"/>
      <c r="GB67" s="98"/>
      <c r="GC67" s="98"/>
      <c r="GD67" s="98"/>
      <c r="GE67" s="98"/>
      <c r="GF67" s="98"/>
      <c r="GG67" s="98"/>
      <c r="GH67" s="98"/>
      <c r="GI67" s="98"/>
      <c r="GJ67" s="98"/>
      <c r="GK67" s="98"/>
      <c r="GL67" s="98"/>
      <c r="GM67" s="98"/>
      <c r="GN67" s="98"/>
      <c r="GO67" s="98"/>
      <c r="GP67" s="98"/>
      <c r="GQ67" s="98"/>
      <c r="GR67" s="98"/>
      <c r="GS67" s="98"/>
      <c r="GT67" s="98"/>
      <c r="GU67" s="98"/>
      <c r="GV67" s="98"/>
      <c r="GW67" s="98"/>
      <c r="GX67" s="98"/>
      <c r="GY67" s="98"/>
      <c r="GZ67" s="98"/>
      <c r="HA67" s="98"/>
      <c r="HB67" s="98"/>
      <c r="HC67" s="98"/>
      <c r="HD67" s="98"/>
      <c r="HE67" s="98"/>
      <c r="HF67" s="98"/>
      <c r="HG67" s="98"/>
      <c r="HH67" s="98"/>
      <c r="HI67" s="98"/>
      <c r="HJ67" s="98"/>
      <c r="HK67" s="98"/>
      <c r="HL67" s="98"/>
      <c r="HM67" s="98"/>
      <c r="HN67" s="98"/>
      <c r="HO67" s="98"/>
      <c r="HP67" s="98"/>
      <c r="HQ67" s="98"/>
      <c r="HR67" s="98"/>
      <c r="HS67" s="98"/>
      <c r="HT67" s="98"/>
      <c r="HU67" s="98"/>
      <c r="HV67" s="98"/>
      <c r="HW67" s="98"/>
      <c r="HX67" s="98"/>
      <c r="HY67" s="98"/>
      <c r="HZ67" s="98"/>
      <c r="IA67" s="98"/>
      <c r="IB67" s="98"/>
      <c r="IC67" s="98"/>
      <c r="ID67" s="98"/>
      <c r="IE67" s="98"/>
      <c r="IF67" s="98"/>
      <c r="IG67" s="98"/>
      <c r="IH67" s="98"/>
      <c r="II67" s="98"/>
      <c r="IJ67" s="98"/>
      <c r="IK67" s="98"/>
      <c r="IL67" s="98"/>
      <c r="IM67" s="98"/>
      <c r="IN67" s="98"/>
      <c r="IO67" s="98"/>
      <c r="IP67" s="98"/>
      <c r="IQ67" s="98"/>
      <c r="IR67" s="98"/>
      <c r="IS67" s="98"/>
      <c r="IT67" s="98"/>
      <c r="IU67" s="98"/>
      <c r="IV67" s="98"/>
      <c r="IW67" s="98"/>
    </row>
    <row r="68" customFormat="false" ht="7.5" hidden="false" customHeight="true" outlineLevel="0" collapsed="false">
      <c r="A68" s="97"/>
      <c r="B68" s="33"/>
      <c r="C68" s="74"/>
      <c r="D68" s="114"/>
      <c r="E68" s="311"/>
      <c r="F68" s="226"/>
      <c r="G68" s="226"/>
      <c r="H68" s="184"/>
      <c r="I68" s="78"/>
      <c r="J68" s="226"/>
      <c r="K68" s="312"/>
    </row>
    <row r="69" customFormat="false" ht="12.75" hidden="true" customHeight="true" outlineLevel="0" collapsed="false">
      <c r="A69" s="97" t="s">
        <v>67</v>
      </c>
      <c r="B69" s="33"/>
      <c r="C69" s="78" t="n">
        <v>0</v>
      </c>
      <c r="D69" s="226" t="n">
        <v>0</v>
      </c>
      <c r="E69" s="114" t="n">
        <v>0</v>
      </c>
      <c r="F69" s="302" t="n">
        <v>0</v>
      </c>
      <c r="G69" s="302" t="n">
        <v>0</v>
      </c>
      <c r="H69" s="184" t="n">
        <v>0</v>
      </c>
      <c r="I69" s="78" t="n">
        <f aca="false">SUM(C69:H69)</f>
        <v>0</v>
      </c>
      <c r="J69" s="226" t="n">
        <v>0</v>
      </c>
      <c r="K69" s="184" t="n">
        <f aca="false">I69-J69</f>
        <v>0</v>
      </c>
    </row>
    <row r="70" customFormat="false" ht="12.75" hidden="true" customHeight="true" outlineLevel="0" collapsed="false">
      <c r="A70" s="97" t="s">
        <v>68</v>
      </c>
      <c r="B70" s="33"/>
      <c r="C70" s="78" t="n">
        <v>0</v>
      </c>
      <c r="D70" s="226" t="n">
        <v>0</v>
      </c>
      <c r="E70" s="114" t="n">
        <v>0</v>
      </c>
      <c r="F70" s="302" t="n">
        <v>0</v>
      </c>
      <c r="G70" s="302" t="n">
        <v>0</v>
      </c>
      <c r="H70" s="184" t="n">
        <v>0</v>
      </c>
      <c r="I70" s="78" t="n">
        <f aca="false">SUM(C70:H70)</f>
        <v>0</v>
      </c>
      <c r="J70" s="226" t="n">
        <v>0</v>
      </c>
      <c r="K70" s="184" t="n">
        <f aca="false">I70-J70</f>
        <v>0</v>
      </c>
    </row>
    <row r="71" customFormat="false" ht="12.75" hidden="true" customHeight="true" outlineLevel="0" collapsed="false">
      <c r="A71" s="97" t="s">
        <v>69</v>
      </c>
      <c r="B71" s="33"/>
      <c r="C71" s="78" t="n">
        <v>0</v>
      </c>
      <c r="D71" s="226" t="n">
        <v>0</v>
      </c>
      <c r="E71" s="114" t="n">
        <v>0</v>
      </c>
      <c r="F71" s="302" t="n">
        <v>0</v>
      </c>
      <c r="G71" s="302" t="n">
        <v>0</v>
      </c>
      <c r="H71" s="184" t="n">
        <v>0</v>
      </c>
      <c r="I71" s="78" t="n">
        <f aca="false">SUM(C71:H71)</f>
        <v>0</v>
      </c>
      <c r="J71" s="226" t="n">
        <v>0</v>
      </c>
      <c r="K71" s="184" t="n">
        <f aca="false">I71-J71</f>
        <v>0</v>
      </c>
    </row>
    <row r="72" customFormat="false" ht="12.75" hidden="true" customHeight="true" outlineLevel="0" collapsed="false">
      <c r="A72" s="97" t="s">
        <v>70</v>
      </c>
      <c r="B72" s="33"/>
      <c r="C72" s="78" t="n">
        <v>0</v>
      </c>
      <c r="D72" s="226" t="n">
        <v>0</v>
      </c>
      <c r="E72" s="114" t="n">
        <v>0</v>
      </c>
      <c r="F72" s="302" t="n">
        <v>0</v>
      </c>
      <c r="G72" s="302" t="n">
        <v>0</v>
      </c>
      <c r="H72" s="184" t="n">
        <v>0</v>
      </c>
      <c r="I72" s="78" t="n">
        <f aca="false">SUM(C72:H72)</f>
        <v>0</v>
      </c>
      <c r="J72" s="226" t="n">
        <v>0</v>
      </c>
      <c r="K72" s="184" t="n">
        <f aca="false">I72-J72</f>
        <v>0</v>
      </c>
    </row>
    <row r="73" customFormat="false" ht="12.75" hidden="true" customHeight="true" outlineLevel="0" collapsed="false">
      <c r="A73" s="97" t="s">
        <v>71</v>
      </c>
      <c r="B73" s="33"/>
      <c r="C73" s="78" t="n">
        <v>0</v>
      </c>
      <c r="D73" s="226" t="n">
        <v>0</v>
      </c>
      <c r="E73" s="114" t="n">
        <v>0</v>
      </c>
      <c r="F73" s="302" t="n">
        <v>0</v>
      </c>
      <c r="G73" s="302" t="n">
        <v>0</v>
      </c>
      <c r="H73" s="184" t="n">
        <v>0</v>
      </c>
      <c r="I73" s="78" t="n">
        <f aca="false">SUM(C73:H73)</f>
        <v>0</v>
      </c>
      <c r="J73" s="226" t="n">
        <v>0</v>
      </c>
      <c r="K73" s="184" t="n">
        <f aca="false">I73-J73</f>
        <v>0</v>
      </c>
    </row>
    <row r="74" customFormat="false" ht="12.75" hidden="true" customHeight="true" outlineLevel="0" collapsed="false">
      <c r="A74" s="97" t="s">
        <v>72</v>
      </c>
      <c r="B74" s="33"/>
      <c r="C74" s="78" t="n">
        <v>0</v>
      </c>
      <c r="D74" s="226" t="n">
        <v>0</v>
      </c>
      <c r="E74" s="114" t="n">
        <v>0</v>
      </c>
      <c r="F74" s="302" t="n">
        <v>0</v>
      </c>
      <c r="G74" s="302" t="n">
        <v>0</v>
      </c>
      <c r="H74" s="184" t="n">
        <v>0</v>
      </c>
      <c r="I74" s="78" t="n">
        <f aca="false">SUM(C74:H74)</f>
        <v>0</v>
      </c>
      <c r="J74" s="226" t="n">
        <v>0</v>
      </c>
      <c r="K74" s="184" t="n">
        <f aca="false">I74-J74</f>
        <v>0</v>
      </c>
    </row>
    <row r="75" customFormat="false" ht="12.75" hidden="true" customHeight="true" outlineLevel="0" collapsed="false">
      <c r="A75" s="97" t="s">
        <v>73</v>
      </c>
      <c r="B75" s="33"/>
      <c r="C75" s="78" t="n">
        <v>0</v>
      </c>
      <c r="D75" s="226" t="n">
        <v>0</v>
      </c>
      <c r="E75" s="114" t="n">
        <v>0</v>
      </c>
      <c r="F75" s="302" t="n">
        <v>0</v>
      </c>
      <c r="G75" s="302" t="n">
        <v>0</v>
      </c>
      <c r="H75" s="184" t="n">
        <v>0</v>
      </c>
      <c r="I75" s="78" t="n">
        <f aca="false">SUM(C75:H75)</f>
        <v>0</v>
      </c>
      <c r="J75" s="226" t="n">
        <v>0</v>
      </c>
      <c r="K75" s="184" t="n">
        <f aca="false">I75-J75</f>
        <v>0</v>
      </c>
    </row>
    <row r="76" customFormat="false" ht="12.75" hidden="true" customHeight="true" outlineLevel="0" collapsed="false">
      <c r="A76" s="97" t="s">
        <v>74</v>
      </c>
      <c r="B76" s="33"/>
      <c r="C76" s="78" t="n">
        <v>0</v>
      </c>
      <c r="D76" s="226" t="n">
        <v>0</v>
      </c>
      <c r="E76" s="114" t="n">
        <v>0</v>
      </c>
      <c r="F76" s="302" t="n">
        <v>0</v>
      </c>
      <c r="G76" s="302" t="n">
        <v>0</v>
      </c>
      <c r="H76" s="184" t="n">
        <v>0</v>
      </c>
      <c r="I76" s="78" t="n">
        <f aca="false">SUM(C76:H76)</f>
        <v>0</v>
      </c>
      <c r="J76" s="226" t="n">
        <v>0</v>
      </c>
      <c r="K76" s="184" t="n">
        <f aca="false">I76-J76</f>
        <v>0</v>
      </c>
    </row>
    <row r="77" customFormat="false" ht="12.75" hidden="true" customHeight="true" outlineLevel="0" collapsed="false">
      <c r="A77" s="97" t="s">
        <v>75</v>
      </c>
      <c r="B77" s="33"/>
      <c r="C77" s="78" t="n">
        <v>0</v>
      </c>
      <c r="D77" s="226" t="n">
        <v>0</v>
      </c>
      <c r="E77" s="114" t="n">
        <v>0</v>
      </c>
      <c r="F77" s="302" t="n">
        <v>0</v>
      </c>
      <c r="G77" s="302" t="n">
        <v>0</v>
      </c>
      <c r="H77" s="184" t="n">
        <v>0</v>
      </c>
      <c r="I77" s="78" t="n">
        <f aca="false">SUM(C77:H77)</f>
        <v>0</v>
      </c>
      <c r="J77" s="226" t="n">
        <v>0</v>
      </c>
      <c r="K77" s="184" t="n">
        <f aca="false">I77-J77</f>
        <v>0</v>
      </c>
    </row>
    <row r="78" customFormat="false" ht="12.75" hidden="true" customHeight="true" outlineLevel="0" collapsed="false">
      <c r="A78" s="97" t="s">
        <v>76</v>
      </c>
      <c r="B78" s="33"/>
      <c r="C78" s="78" t="n">
        <v>0</v>
      </c>
      <c r="D78" s="226" t="n">
        <v>0</v>
      </c>
      <c r="E78" s="114" t="n">
        <v>0</v>
      </c>
      <c r="F78" s="302" t="n">
        <v>0</v>
      </c>
      <c r="G78" s="302" t="n">
        <v>0</v>
      </c>
      <c r="H78" s="184" t="n">
        <v>0</v>
      </c>
      <c r="I78" s="78" t="n">
        <f aca="false">SUM(C78:H78)</f>
        <v>0</v>
      </c>
      <c r="J78" s="226" t="n">
        <v>0</v>
      </c>
      <c r="K78" s="184" t="n">
        <f aca="false">I78-J78</f>
        <v>0</v>
      </c>
    </row>
    <row r="79" customFormat="false" ht="12.75" hidden="true" customHeight="true" outlineLevel="0" collapsed="false">
      <c r="A79" s="97" t="s">
        <v>77</v>
      </c>
      <c r="B79" s="33"/>
      <c r="C79" s="78" t="n">
        <v>0</v>
      </c>
      <c r="D79" s="226" t="n">
        <v>0</v>
      </c>
      <c r="E79" s="114" t="n">
        <v>0</v>
      </c>
      <c r="F79" s="302" t="n">
        <v>0</v>
      </c>
      <c r="G79" s="302" t="n">
        <v>0</v>
      </c>
      <c r="H79" s="184" t="n">
        <v>0</v>
      </c>
      <c r="I79" s="78" t="n">
        <f aca="false">SUM(C79:H79)</f>
        <v>0</v>
      </c>
      <c r="J79" s="226" t="n">
        <v>0</v>
      </c>
      <c r="K79" s="184" t="n">
        <f aca="false">I79-J79</f>
        <v>0</v>
      </c>
    </row>
    <row r="80" customFormat="false" ht="12.75" hidden="true" customHeight="true" outlineLevel="0" collapsed="false">
      <c r="A80" s="97" t="s">
        <v>78</v>
      </c>
      <c r="B80" s="33"/>
      <c r="C80" s="78" t="n">
        <v>0</v>
      </c>
      <c r="D80" s="226" t="n">
        <v>0</v>
      </c>
      <c r="E80" s="114" t="n">
        <v>0</v>
      </c>
      <c r="F80" s="302" t="n">
        <v>0</v>
      </c>
      <c r="G80" s="302" t="n">
        <v>0</v>
      </c>
      <c r="H80" s="184" t="n">
        <v>0</v>
      </c>
      <c r="I80" s="78" t="n">
        <f aca="false">SUM(C80:H80)</f>
        <v>0</v>
      </c>
      <c r="J80" s="226" t="n">
        <v>0</v>
      </c>
      <c r="K80" s="184" t="n">
        <f aca="false">I80-J80</f>
        <v>0</v>
      </c>
    </row>
    <row r="81" customFormat="false" ht="12.75" hidden="true" customHeight="true" outlineLevel="0" collapsed="false">
      <c r="A81" s="97" t="s">
        <v>79</v>
      </c>
      <c r="B81" s="33"/>
      <c r="C81" s="78" t="n">
        <v>0</v>
      </c>
      <c r="D81" s="226" t="n">
        <v>0</v>
      </c>
      <c r="E81" s="114" t="n">
        <v>0</v>
      </c>
      <c r="F81" s="302" t="n">
        <v>0</v>
      </c>
      <c r="G81" s="302" t="n">
        <v>0</v>
      </c>
      <c r="H81" s="184" t="n">
        <v>0</v>
      </c>
      <c r="I81" s="78" t="n">
        <f aca="false">SUM(C81:H81)</f>
        <v>0</v>
      </c>
      <c r="J81" s="226" t="n">
        <v>0</v>
      </c>
      <c r="K81" s="184" t="n">
        <f aca="false">I81-J81</f>
        <v>0</v>
      </c>
    </row>
    <row r="82" customFormat="false" ht="12.75" hidden="true" customHeight="true" outlineLevel="0" collapsed="false">
      <c r="A82" s="97" t="s">
        <v>80</v>
      </c>
      <c r="B82" s="33"/>
      <c r="C82" s="78" t="n">
        <v>0</v>
      </c>
      <c r="D82" s="226" t="n">
        <v>0</v>
      </c>
      <c r="E82" s="114" t="n">
        <v>0</v>
      </c>
      <c r="F82" s="302" t="n">
        <v>0</v>
      </c>
      <c r="G82" s="302" t="n">
        <v>0</v>
      </c>
      <c r="H82" s="184" t="n">
        <v>0</v>
      </c>
      <c r="I82" s="78" t="n">
        <f aca="false">SUM(C82:H82)</f>
        <v>0</v>
      </c>
      <c r="J82" s="226" t="n">
        <v>0</v>
      </c>
      <c r="K82" s="184" t="n">
        <f aca="false">I82-J82</f>
        <v>0</v>
      </c>
    </row>
    <row r="83" customFormat="false" ht="12.75" hidden="false" customHeight="true" outlineLevel="0" collapsed="false">
      <c r="A83" s="101" t="s">
        <v>81</v>
      </c>
      <c r="B83" s="191"/>
      <c r="C83" s="223" t="n">
        <f aca="false">SUM(C69:C82)</f>
        <v>0</v>
      </c>
      <c r="D83" s="193" t="n">
        <f aca="false">SUM(D69:D82)</f>
        <v>0</v>
      </c>
      <c r="E83" s="193" t="n">
        <f aca="false">SUM(E69:E82)</f>
        <v>0</v>
      </c>
      <c r="F83" s="304" t="n">
        <f aca="false">SUM(F69:F82)</f>
        <v>0</v>
      </c>
      <c r="G83" s="304" t="n">
        <f aca="false">SUM(G69:G82)</f>
        <v>0</v>
      </c>
      <c r="H83" s="305" t="n">
        <f aca="false">SUM(H69:H82)</f>
        <v>0</v>
      </c>
      <c r="I83" s="195" t="n">
        <f aca="false">SUM(I69:I82)</f>
        <v>0</v>
      </c>
      <c r="J83" s="304" t="n">
        <f aca="false">SUM(J69:J82)</f>
        <v>0</v>
      </c>
      <c r="K83" s="305" t="n">
        <f aca="false">SUM(K69:K82)</f>
        <v>0</v>
      </c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98"/>
      <c r="AE83" s="98"/>
      <c r="AF83" s="98"/>
      <c r="AG83" s="98"/>
      <c r="AH83" s="98"/>
      <c r="AI83" s="98"/>
      <c r="AJ83" s="98"/>
      <c r="AK83" s="98"/>
      <c r="AL83" s="98"/>
      <c r="AM83" s="98"/>
      <c r="AN83" s="98"/>
      <c r="AO83" s="98"/>
      <c r="AP83" s="98"/>
      <c r="AQ83" s="98"/>
      <c r="AR83" s="98"/>
      <c r="AS83" s="98"/>
      <c r="AT83" s="98"/>
      <c r="AU83" s="98"/>
      <c r="AV83" s="98"/>
      <c r="AW83" s="98"/>
      <c r="AX83" s="98"/>
      <c r="AY83" s="98"/>
      <c r="AZ83" s="98"/>
      <c r="BA83" s="98"/>
      <c r="BB83" s="98"/>
      <c r="BC83" s="98"/>
      <c r="BD83" s="98"/>
      <c r="BE83" s="98"/>
      <c r="BF83" s="98"/>
      <c r="BG83" s="98"/>
      <c r="BH83" s="98"/>
      <c r="BI83" s="98"/>
      <c r="BJ83" s="98"/>
      <c r="BK83" s="98"/>
      <c r="BL83" s="98"/>
      <c r="BM83" s="98"/>
      <c r="BN83" s="98"/>
      <c r="BO83" s="98"/>
      <c r="BP83" s="98"/>
      <c r="BQ83" s="98"/>
      <c r="BR83" s="98"/>
      <c r="BS83" s="98"/>
      <c r="BT83" s="98"/>
      <c r="BU83" s="98"/>
      <c r="BV83" s="98"/>
      <c r="BW83" s="98"/>
      <c r="BX83" s="98"/>
      <c r="BY83" s="98"/>
      <c r="BZ83" s="98"/>
      <c r="CA83" s="98"/>
      <c r="CB83" s="98"/>
      <c r="CC83" s="98"/>
      <c r="CD83" s="98"/>
      <c r="CE83" s="98"/>
      <c r="CF83" s="98"/>
      <c r="CG83" s="98"/>
      <c r="CH83" s="98"/>
      <c r="CI83" s="98"/>
      <c r="CJ83" s="98"/>
      <c r="CK83" s="98"/>
      <c r="CL83" s="98"/>
      <c r="CM83" s="98"/>
      <c r="CN83" s="98"/>
      <c r="CO83" s="98"/>
      <c r="CP83" s="98"/>
      <c r="CQ83" s="98"/>
      <c r="CR83" s="98"/>
      <c r="CS83" s="98"/>
      <c r="CT83" s="98"/>
      <c r="CU83" s="98"/>
      <c r="CV83" s="98"/>
      <c r="CW83" s="98"/>
      <c r="CX83" s="98"/>
      <c r="CY83" s="98"/>
      <c r="CZ83" s="98"/>
      <c r="DA83" s="98"/>
      <c r="DB83" s="98"/>
      <c r="DC83" s="98"/>
      <c r="DD83" s="98"/>
      <c r="DE83" s="98"/>
      <c r="DF83" s="98"/>
      <c r="DG83" s="98"/>
      <c r="DH83" s="98"/>
      <c r="DI83" s="98"/>
      <c r="DJ83" s="98"/>
      <c r="DK83" s="98"/>
      <c r="DL83" s="98"/>
      <c r="DM83" s="98"/>
      <c r="DN83" s="98"/>
      <c r="DO83" s="98"/>
      <c r="DP83" s="98"/>
      <c r="DQ83" s="98"/>
      <c r="DR83" s="98"/>
      <c r="DS83" s="98"/>
      <c r="DT83" s="98"/>
      <c r="DU83" s="98"/>
      <c r="DV83" s="98"/>
      <c r="DW83" s="98"/>
      <c r="DX83" s="98"/>
      <c r="DY83" s="98"/>
      <c r="DZ83" s="98"/>
      <c r="EA83" s="98"/>
      <c r="EB83" s="98"/>
      <c r="EC83" s="98"/>
      <c r="ED83" s="98"/>
      <c r="EE83" s="98"/>
      <c r="EF83" s="98"/>
      <c r="EG83" s="98"/>
      <c r="EH83" s="98"/>
      <c r="EI83" s="98"/>
      <c r="EJ83" s="98"/>
      <c r="EK83" s="98"/>
      <c r="EL83" s="98"/>
      <c r="EM83" s="98"/>
      <c r="EN83" s="98"/>
      <c r="EO83" s="98"/>
      <c r="EP83" s="98"/>
      <c r="EQ83" s="98"/>
      <c r="ER83" s="98"/>
      <c r="ES83" s="98"/>
      <c r="ET83" s="98"/>
      <c r="EU83" s="98"/>
      <c r="EV83" s="98"/>
      <c r="EW83" s="98"/>
      <c r="EX83" s="98"/>
      <c r="EY83" s="98"/>
      <c r="EZ83" s="98"/>
      <c r="FA83" s="98"/>
      <c r="FB83" s="98"/>
      <c r="FC83" s="98"/>
      <c r="FD83" s="98"/>
      <c r="FE83" s="98"/>
      <c r="FF83" s="98"/>
      <c r="FG83" s="98"/>
      <c r="FH83" s="98"/>
      <c r="FI83" s="98"/>
      <c r="FJ83" s="98"/>
      <c r="FK83" s="98"/>
      <c r="FL83" s="98"/>
      <c r="FM83" s="98"/>
      <c r="FN83" s="98"/>
      <c r="FO83" s="98"/>
      <c r="FP83" s="98"/>
      <c r="FQ83" s="98"/>
      <c r="FR83" s="98"/>
      <c r="FS83" s="98"/>
      <c r="FT83" s="98"/>
      <c r="FU83" s="98"/>
      <c r="FV83" s="98"/>
      <c r="FW83" s="98"/>
      <c r="FX83" s="98"/>
      <c r="FY83" s="98"/>
      <c r="FZ83" s="98"/>
      <c r="GA83" s="98"/>
      <c r="GB83" s="98"/>
      <c r="GC83" s="98"/>
      <c r="GD83" s="98"/>
      <c r="GE83" s="98"/>
      <c r="GF83" s="98"/>
      <c r="GG83" s="98"/>
      <c r="GH83" s="98"/>
      <c r="GI83" s="98"/>
      <c r="GJ83" s="98"/>
      <c r="GK83" s="98"/>
      <c r="GL83" s="98"/>
      <c r="GM83" s="98"/>
      <c r="GN83" s="98"/>
      <c r="GO83" s="98"/>
      <c r="GP83" s="98"/>
      <c r="GQ83" s="98"/>
      <c r="GR83" s="98"/>
      <c r="GS83" s="98"/>
      <c r="GT83" s="98"/>
      <c r="GU83" s="98"/>
      <c r="GV83" s="98"/>
      <c r="GW83" s="98"/>
      <c r="GX83" s="98"/>
      <c r="GY83" s="98"/>
      <c r="GZ83" s="98"/>
      <c r="HA83" s="98"/>
      <c r="HB83" s="98"/>
      <c r="HC83" s="98"/>
      <c r="HD83" s="98"/>
      <c r="HE83" s="98"/>
      <c r="HF83" s="98"/>
      <c r="HG83" s="98"/>
      <c r="HH83" s="98"/>
      <c r="HI83" s="98"/>
      <c r="HJ83" s="98"/>
      <c r="HK83" s="98"/>
      <c r="HL83" s="98"/>
      <c r="HM83" s="98"/>
      <c r="HN83" s="98"/>
      <c r="HO83" s="98"/>
      <c r="HP83" s="98"/>
      <c r="HQ83" s="98"/>
      <c r="HR83" s="98"/>
      <c r="HS83" s="98"/>
      <c r="HT83" s="98"/>
      <c r="HU83" s="98"/>
      <c r="HV83" s="98"/>
      <c r="HW83" s="98"/>
      <c r="HX83" s="98"/>
      <c r="HY83" s="98"/>
      <c r="HZ83" s="98"/>
      <c r="IA83" s="98"/>
      <c r="IB83" s="98"/>
      <c r="IC83" s="98"/>
      <c r="ID83" s="98"/>
      <c r="IE83" s="98"/>
      <c r="IF83" s="98"/>
      <c r="IG83" s="98"/>
      <c r="IH83" s="98"/>
      <c r="II83" s="98"/>
      <c r="IJ83" s="98"/>
      <c r="IK83" s="98"/>
      <c r="IL83" s="98"/>
      <c r="IM83" s="98"/>
      <c r="IN83" s="98"/>
      <c r="IO83" s="98"/>
      <c r="IP83" s="98"/>
      <c r="IQ83" s="98"/>
      <c r="IR83" s="98"/>
      <c r="IS83" s="98"/>
      <c r="IT83" s="98"/>
      <c r="IU83" s="98"/>
      <c r="IV83" s="98"/>
      <c r="IW83" s="98"/>
    </row>
    <row r="84" customFormat="false" ht="12.75" hidden="false" customHeight="true" outlineLevel="0" collapsed="false">
      <c r="A84" s="99" t="str">
        <f aca="false">'QTD Mgmt Summary'!A82</f>
        <v>Prepay Expenses</v>
      </c>
      <c r="B84" s="33"/>
      <c r="C84" s="78" t="n">
        <f aca="false">GrossMargin!C82</f>
        <v>0</v>
      </c>
      <c r="D84" s="226" t="n">
        <f aca="false">GrossMargin!D82</f>
        <v>0</v>
      </c>
      <c r="E84" s="114" t="n">
        <f aca="false">GrossMargin!E82</f>
        <v>0</v>
      </c>
      <c r="F84" s="302" t="n">
        <f aca="false">GrossMargin!F82</f>
        <v>0</v>
      </c>
      <c r="G84" s="302" t="n">
        <f aca="false">GrossMargin!G82</f>
        <v>0</v>
      </c>
      <c r="H84" s="184" t="n">
        <f aca="false">GrossMargin!H82</f>
        <v>0</v>
      </c>
      <c r="I84" s="78" t="n">
        <f aca="false">SUM(C84:H84)</f>
        <v>0</v>
      </c>
      <c r="J84" s="226" t="n">
        <v>0</v>
      </c>
      <c r="K84" s="184" t="n">
        <f aca="false">I84-J84</f>
        <v>0</v>
      </c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  <c r="AS84" s="100"/>
      <c r="AT84" s="100"/>
      <c r="AU84" s="100"/>
      <c r="AV84" s="100"/>
      <c r="AW84" s="100"/>
      <c r="AX84" s="100"/>
      <c r="AY84" s="100"/>
      <c r="AZ84" s="100"/>
      <c r="BA84" s="100"/>
      <c r="BB84" s="100"/>
      <c r="BC84" s="100"/>
      <c r="BD84" s="100"/>
      <c r="BE84" s="100"/>
      <c r="BF84" s="100"/>
      <c r="BG84" s="100"/>
      <c r="BH84" s="100"/>
      <c r="BI84" s="100"/>
      <c r="BJ84" s="100"/>
      <c r="BK84" s="100"/>
      <c r="BL84" s="100"/>
      <c r="BM84" s="100"/>
      <c r="BN84" s="100"/>
      <c r="BO84" s="100"/>
      <c r="BP84" s="100"/>
      <c r="BQ84" s="100"/>
      <c r="BR84" s="100"/>
      <c r="BS84" s="100"/>
      <c r="BT84" s="100"/>
      <c r="BU84" s="100"/>
      <c r="BV84" s="100"/>
      <c r="BW84" s="100"/>
      <c r="BX84" s="100"/>
      <c r="BY84" s="100"/>
      <c r="BZ84" s="100"/>
      <c r="CA84" s="100"/>
      <c r="CB84" s="100"/>
      <c r="CC84" s="100"/>
      <c r="CD84" s="100"/>
      <c r="CE84" s="100"/>
      <c r="CF84" s="100"/>
      <c r="CG84" s="100"/>
      <c r="CH84" s="100"/>
      <c r="CI84" s="100"/>
      <c r="CJ84" s="100"/>
      <c r="CK84" s="100"/>
      <c r="CL84" s="100"/>
      <c r="CM84" s="100"/>
      <c r="CN84" s="100"/>
      <c r="CO84" s="100"/>
      <c r="CP84" s="100"/>
      <c r="CQ84" s="100"/>
      <c r="CR84" s="100"/>
      <c r="CS84" s="100"/>
      <c r="CT84" s="100"/>
      <c r="CU84" s="100"/>
      <c r="CV84" s="100"/>
      <c r="CW84" s="100"/>
      <c r="CX84" s="100"/>
      <c r="CY84" s="100"/>
      <c r="CZ84" s="100"/>
      <c r="DA84" s="100"/>
      <c r="DB84" s="100"/>
      <c r="DC84" s="100"/>
      <c r="DD84" s="100"/>
      <c r="DE84" s="100"/>
      <c r="DF84" s="100"/>
      <c r="DG84" s="100"/>
      <c r="DH84" s="100"/>
      <c r="DI84" s="100"/>
      <c r="DJ84" s="100"/>
      <c r="DK84" s="100"/>
      <c r="DL84" s="100"/>
      <c r="DM84" s="100"/>
      <c r="DN84" s="100"/>
      <c r="DO84" s="100"/>
      <c r="DP84" s="100"/>
      <c r="DQ84" s="100"/>
      <c r="DR84" s="100"/>
      <c r="DS84" s="100"/>
      <c r="DT84" s="100"/>
      <c r="DU84" s="100"/>
      <c r="DV84" s="100"/>
      <c r="DW84" s="100"/>
      <c r="DX84" s="100"/>
      <c r="DY84" s="100"/>
      <c r="DZ84" s="100"/>
      <c r="EA84" s="100"/>
      <c r="EB84" s="100"/>
      <c r="EC84" s="100"/>
      <c r="ED84" s="100"/>
      <c r="EE84" s="100"/>
      <c r="EF84" s="100"/>
      <c r="EG84" s="100"/>
      <c r="EH84" s="100"/>
      <c r="EI84" s="100"/>
      <c r="EJ84" s="100"/>
      <c r="EK84" s="100"/>
      <c r="EL84" s="100"/>
      <c r="EM84" s="100"/>
      <c r="EN84" s="100"/>
      <c r="EO84" s="100"/>
      <c r="EP84" s="100"/>
      <c r="EQ84" s="100"/>
      <c r="ER84" s="100"/>
      <c r="ES84" s="100"/>
      <c r="ET84" s="100"/>
      <c r="EU84" s="100"/>
      <c r="EV84" s="100"/>
      <c r="EW84" s="100"/>
      <c r="EX84" s="100"/>
      <c r="EY84" s="100"/>
      <c r="EZ84" s="100"/>
      <c r="FA84" s="100"/>
      <c r="FB84" s="100"/>
      <c r="FC84" s="100"/>
      <c r="FD84" s="100"/>
      <c r="FE84" s="100"/>
      <c r="FF84" s="100"/>
      <c r="FG84" s="100"/>
      <c r="FH84" s="100"/>
      <c r="FI84" s="100"/>
      <c r="FJ84" s="100"/>
      <c r="FK84" s="100"/>
      <c r="FL84" s="100"/>
      <c r="FM84" s="100"/>
      <c r="FN84" s="100"/>
      <c r="FO84" s="100"/>
      <c r="FP84" s="100"/>
      <c r="FQ84" s="100"/>
      <c r="FR84" s="100"/>
      <c r="FS84" s="100"/>
      <c r="FT84" s="100"/>
      <c r="FU84" s="100"/>
      <c r="FV84" s="100"/>
      <c r="FW84" s="100"/>
      <c r="FX84" s="100"/>
      <c r="FY84" s="100"/>
      <c r="FZ84" s="100"/>
      <c r="GA84" s="100"/>
      <c r="GB84" s="100"/>
      <c r="GC84" s="100"/>
      <c r="GD84" s="100"/>
      <c r="GE84" s="100"/>
      <c r="GF84" s="100"/>
      <c r="GG84" s="100"/>
      <c r="GH84" s="100"/>
      <c r="GI84" s="100"/>
      <c r="GJ84" s="100"/>
      <c r="GK84" s="100"/>
      <c r="GL84" s="100"/>
      <c r="GM84" s="100"/>
      <c r="GN84" s="100"/>
      <c r="GO84" s="100"/>
      <c r="GP84" s="100"/>
      <c r="GQ84" s="100"/>
      <c r="GR84" s="100"/>
      <c r="GS84" s="100"/>
      <c r="GT84" s="100"/>
      <c r="GU84" s="100"/>
      <c r="GV84" s="100"/>
      <c r="GW84" s="100"/>
      <c r="GX84" s="100"/>
      <c r="GY84" s="100"/>
      <c r="GZ84" s="100"/>
      <c r="HA84" s="100"/>
      <c r="HB84" s="100"/>
      <c r="HC84" s="100"/>
      <c r="HD84" s="100"/>
      <c r="HE84" s="100"/>
      <c r="HF84" s="100"/>
      <c r="HG84" s="100"/>
      <c r="HH84" s="100"/>
      <c r="HI84" s="100"/>
      <c r="HJ84" s="100"/>
      <c r="HK84" s="100"/>
      <c r="HL84" s="100"/>
      <c r="HM84" s="100"/>
      <c r="HN84" s="100"/>
      <c r="HO84" s="100"/>
      <c r="HP84" s="100"/>
      <c r="HQ84" s="100"/>
      <c r="HR84" s="100"/>
      <c r="HS84" s="100"/>
      <c r="HT84" s="100"/>
      <c r="HU84" s="100"/>
      <c r="HV84" s="100"/>
      <c r="HW84" s="100"/>
      <c r="HX84" s="100"/>
      <c r="HY84" s="100"/>
      <c r="HZ84" s="100"/>
      <c r="IA84" s="100"/>
      <c r="IB84" s="100"/>
      <c r="IC84" s="100"/>
      <c r="ID84" s="100"/>
      <c r="IE84" s="100"/>
      <c r="IF84" s="100"/>
      <c r="IG84" s="100"/>
      <c r="IH84" s="100"/>
      <c r="II84" s="100"/>
      <c r="IJ84" s="100"/>
      <c r="IK84" s="100"/>
      <c r="IL84" s="100"/>
      <c r="IM84" s="100"/>
      <c r="IN84" s="100"/>
      <c r="IO84" s="100"/>
      <c r="IP84" s="100"/>
      <c r="IQ84" s="100"/>
      <c r="IR84" s="100"/>
      <c r="IS84" s="100"/>
      <c r="IT84" s="100"/>
      <c r="IU84" s="100"/>
      <c r="IV84" s="100"/>
      <c r="IW84" s="100"/>
    </row>
    <row r="85" customFormat="false" ht="12.75" hidden="false" customHeight="true" outlineLevel="0" collapsed="false">
      <c r="A85" s="99" t="str">
        <f aca="false">'QTD Mgmt Summary'!A83</f>
        <v>U.S. Drift</v>
      </c>
      <c r="B85" s="33"/>
      <c r="C85" s="74" t="n">
        <f aca="false">GrossMargin!C83+89625</f>
        <v>104519</v>
      </c>
      <c r="D85" s="302" t="n">
        <f aca="false">GrossMargin!D83</f>
        <v>0</v>
      </c>
      <c r="E85" s="114" t="n">
        <f aca="false">GrossMargin!E83</f>
        <v>0</v>
      </c>
      <c r="F85" s="302" t="n">
        <f aca="false">GrossMargin!F83</f>
        <v>0</v>
      </c>
      <c r="G85" s="302" t="n">
        <f aca="false">GrossMargin!G83</f>
        <v>0</v>
      </c>
      <c r="H85" s="184" t="n">
        <f aca="false">GrossMargin!H83</f>
        <v>0</v>
      </c>
      <c r="I85" s="78" t="n">
        <f aca="false">SUM(C85:H85)</f>
        <v>104519</v>
      </c>
      <c r="J85" s="226" t="n">
        <v>118538</v>
      </c>
      <c r="K85" s="184" t="n">
        <f aca="false">J85-I85</f>
        <v>14019</v>
      </c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100"/>
      <c r="AO85" s="100"/>
      <c r="AP85" s="100"/>
      <c r="AQ85" s="100"/>
      <c r="AR85" s="100"/>
      <c r="AS85" s="100"/>
      <c r="AT85" s="100"/>
      <c r="AU85" s="100"/>
      <c r="AV85" s="100"/>
      <c r="AW85" s="100"/>
      <c r="AX85" s="100"/>
      <c r="AY85" s="100"/>
      <c r="AZ85" s="100"/>
      <c r="BA85" s="100"/>
      <c r="BB85" s="100"/>
      <c r="BC85" s="100"/>
      <c r="BD85" s="100"/>
      <c r="BE85" s="100"/>
      <c r="BF85" s="100"/>
      <c r="BG85" s="100"/>
      <c r="BH85" s="100"/>
      <c r="BI85" s="100"/>
      <c r="BJ85" s="100"/>
      <c r="BK85" s="100"/>
      <c r="BL85" s="100"/>
      <c r="BM85" s="100"/>
      <c r="BN85" s="100"/>
      <c r="BO85" s="100"/>
      <c r="BP85" s="100"/>
      <c r="BQ85" s="100"/>
      <c r="BR85" s="100"/>
      <c r="BS85" s="100"/>
      <c r="BT85" s="100"/>
      <c r="BU85" s="100"/>
      <c r="BV85" s="100"/>
      <c r="BW85" s="100"/>
      <c r="BX85" s="100"/>
      <c r="BY85" s="100"/>
      <c r="BZ85" s="100"/>
      <c r="CA85" s="100"/>
      <c r="CB85" s="100"/>
      <c r="CC85" s="100"/>
      <c r="CD85" s="100"/>
      <c r="CE85" s="100"/>
      <c r="CF85" s="100"/>
      <c r="CG85" s="100"/>
      <c r="CH85" s="100"/>
      <c r="CI85" s="100"/>
      <c r="CJ85" s="100"/>
      <c r="CK85" s="100"/>
      <c r="CL85" s="100"/>
      <c r="CM85" s="100"/>
      <c r="CN85" s="100"/>
      <c r="CO85" s="100"/>
      <c r="CP85" s="100"/>
      <c r="CQ85" s="100"/>
      <c r="CR85" s="100"/>
      <c r="CS85" s="100"/>
      <c r="CT85" s="100"/>
      <c r="CU85" s="100"/>
      <c r="CV85" s="100"/>
      <c r="CW85" s="100"/>
      <c r="CX85" s="100"/>
      <c r="CY85" s="100"/>
      <c r="CZ85" s="100"/>
      <c r="DA85" s="100"/>
      <c r="DB85" s="100"/>
      <c r="DC85" s="100"/>
      <c r="DD85" s="100"/>
      <c r="DE85" s="100"/>
      <c r="DF85" s="100"/>
      <c r="DG85" s="100"/>
      <c r="DH85" s="100"/>
      <c r="DI85" s="100"/>
      <c r="DJ85" s="100"/>
      <c r="DK85" s="100"/>
      <c r="DL85" s="100"/>
      <c r="DM85" s="100"/>
      <c r="DN85" s="100"/>
      <c r="DO85" s="100"/>
      <c r="DP85" s="100"/>
      <c r="DQ85" s="100"/>
      <c r="DR85" s="100"/>
      <c r="DS85" s="100"/>
      <c r="DT85" s="100"/>
      <c r="DU85" s="100"/>
      <c r="DV85" s="100"/>
      <c r="DW85" s="100"/>
      <c r="DX85" s="100"/>
      <c r="DY85" s="100"/>
      <c r="DZ85" s="100"/>
      <c r="EA85" s="100"/>
      <c r="EB85" s="100"/>
      <c r="EC85" s="100"/>
      <c r="ED85" s="100"/>
      <c r="EE85" s="100"/>
      <c r="EF85" s="100"/>
      <c r="EG85" s="100"/>
      <c r="EH85" s="100"/>
      <c r="EI85" s="100"/>
      <c r="EJ85" s="100"/>
      <c r="EK85" s="100"/>
      <c r="EL85" s="100"/>
      <c r="EM85" s="100"/>
      <c r="EN85" s="100"/>
      <c r="EO85" s="100"/>
      <c r="EP85" s="100"/>
      <c r="EQ85" s="100"/>
      <c r="ER85" s="100"/>
      <c r="ES85" s="100"/>
      <c r="ET85" s="100"/>
      <c r="EU85" s="100"/>
      <c r="EV85" s="100"/>
      <c r="EW85" s="100"/>
      <c r="EX85" s="100"/>
      <c r="EY85" s="100"/>
      <c r="EZ85" s="100"/>
      <c r="FA85" s="100"/>
      <c r="FB85" s="100"/>
      <c r="FC85" s="100"/>
      <c r="FD85" s="100"/>
      <c r="FE85" s="100"/>
      <c r="FF85" s="100"/>
      <c r="FG85" s="100"/>
      <c r="FH85" s="100"/>
      <c r="FI85" s="100"/>
      <c r="FJ85" s="100"/>
      <c r="FK85" s="100"/>
      <c r="FL85" s="100"/>
      <c r="FM85" s="100"/>
      <c r="FN85" s="100"/>
      <c r="FO85" s="100"/>
      <c r="FP85" s="100"/>
      <c r="FQ85" s="100"/>
      <c r="FR85" s="100"/>
      <c r="FS85" s="100"/>
      <c r="FT85" s="100"/>
      <c r="FU85" s="100"/>
      <c r="FV85" s="100"/>
      <c r="FW85" s="100"/>
      <c r="FX85" s="100"/>
      <c r="FY85" s="100"/>
      <c r="FZ85" s="100"/>
      <c r="GA85" s="100"/>
      <c r="GB85" s="100"/>
      <c r="GC85" s="100"/>
      <c r="GD85" s="100"/>
      <c r="GE85" s="100"/>
      <c r="GF85" s="100"/>
      <c r="GG85" s="100"/>
      <c r="GH85" s="100"/>
      <c r="GI85" s="100"/>
      <c r="GJ85" s="100"/>
      <c r="GK85" s="100"/>
      <c r="GL85" s="100"/>
      <c r="GM85" s="100"/>
      <c r="GN85" s="100"/>
      <c r="GO85" s="100"/>
      <c r="GP85" s="100"/>
      <c r="GQ85" s="100"/>
      <c r="GR85" s="100"/>
      <c r="GS85" s="100"/>
      <c r="GT85" s="100"/>
      <c r="GU85" s="100"/>
      <c r="GV85" s="100"/>
      <c r="GW85" s="100"/>
      <c r="GX85" s="100"/>
      <c r="GY85" s="100"/>
      <c r="GZ85" s="100"/>
      <c r="HA85" s="100"/>
      <c r="HB85" s="100"/>
      <c r="HC85" s="100"/>
      <c r="HD85" s="100"/>
      <c r="HE85" s="100"/>
      <c r="HF85" s="100"/>
      <c r="HG85" s="100"/>
      <c r="HH85" s="100"/>
      <c r="HI85" s="100"/>
      <c r="HJ85" s="100"/>
      <c r="HK85" s="100"/>
      <c r="HL85" s="100"/>
      <c r="HM85" s="100"/>
      <c r="HN85" s="100"/>
      <c r="HO85" s="100"/>
      <c r="HP85" s="100"/>
      <c r="HQ85" s="100"/>
      <c r="HR85" s="100"/>
      <c r="HS85" s="100"/>
      <c r="HT85" s="100"/>
      <c r="HU85" s="100"/>
      <c r="HV85" s="100"/>
      <c r="HW85" s="100"/>
      <c r="HX85" s="100"/>
      <c r="HY85" s="100"/>
      <c r="HZ85" s="100"/>
      <c r="IA85" s="100"/>
      <c r="IB85" s="100"/>
      <c r="IC85" s="100"/>
      <c r="ID85" s="100"/>
      <c r="IE85" s="100"/>
      <c r="IF85" s="100"/>
      <c r="IG85" s="100"/>
      <c r="IH85" s="100"/>
      <c r="II85" s="100"/>
      <c r="IJ85" s="100"/>
      <c r="IK85" s="100"/>
      <c r="IL85" s="100"/>
      <c r="IM85" s="100"/>
      <c r="IN85" s="100"/>
      <c r="IO85" s="100"/>
      <c r="IP85" s="100"/>
      <c r="IQ85" s="100"/>
      <c r="IR85" s="100"/>
      <c r="IS85" s="100"/>
      <c r="IT85" s="100"/>
      <c r="IU85" s="100"/>
      <c r="IV85" s="100"/>
      <c r="IW85" s="100"/>
    </row>
    <row r="86" customFormat="false" ht="12.75" hidden="false" customHeight="true" outlineLevel="0" collapsed="false">
      <c r="A86" s="99" t="str">
        <f aca="false">'QTD Mgmt Summary'!A84</f>
        <v>Facility Costs</v>
      </c>
      <c r="B86" s="33"/>
      <c r="C86" s="78" t="n">
        <f aca="false">GrossMargin!C84</f>
        <v>0</v>
      </c>
      <c r="D86" s="226" t="n">
        <f aca="false">GrossMargin!D84</f>
        <v>0</v>
      </c>
      <c r="E86" s="114" t="n">
        <f aca="false">GrossMargin!E84</f>
        <v>0</v>
      </c>
      <c r="F86" s="302" t="n">
        <f aca="false">GrossMargin!F84</f>
        <v>0</v>
      </c>
      <c r="G86" s="302" t="n">
        <f aca="false">GrossMargin!G84-36988</f>
        <v>-47922</v>
      </c>
      <c r="H86" s="184" t="n">
        <f aca="false">GrossMargin!H84</f>
        <v>0</v>
      </c>
      <c r="I86" s="78" t="n">
        <f aca="false">SUM(C86:H86)</f>
        <v>-47922</v>
      </c>
      <c r="J86" s="226" t="n">
        <v>-52000</v>
      </c>
      <c r="K86" s="184" t="n">
        <f aca="false">I86-J86</f>
        <v>4078</v>
      </c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100"/>
      <c r="AB86" s="100"/>
      <c r="AC86" s="100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  <c r="AO86" s="100"/>
      <c r="AP86" s="100"/>
      <c r="AQ86" s="100"/>
      <c r="AR86" s="100"/>
      <c r="AS86" s="100"/>
      <c r="AT86" s="100"/>
      <c r="AU86" s="100"/>
      <c r="AV86" s="100"/>
      <c r="AW86" s="100"/>
      <c r="AX86" s="100"/>
      <c r="AY86" s="100"/>
      <c r="AZ86" s="100"/>
      <c r="BA86" s="100"/>
      <c r="BB86" s="100"/>
      <c r="BC86" s="100"/>
      <c r="BD86" s="100"/>
      <c r="BE86" s="100"/>
      <c r="BF86" s="100"/>
      <c r="BG86" s="100"/>
      <c r="BH86" s="100"/>
      <c r="BI86" s="100"/>
      <c r="BJ86" s="100"/>
      <c r="BK86" s="100"/>
      <c r="BL86" s="100"/>
      <c r="BM86" s="100"/>
      <c r="BN86" s="100"/>
      <c r="BO86" s="100"/>
      <c r="BP86" s="100"/>
      <c r="BQ86" s="100"/>
      <c r="BR86" s="100"/>
      <c r="BS86" s="100"/>
      <c r="BT86" s="100"/>
      <c r="BU86" s="100"/>
      <c r="BV86" s="100"/>
      <c r="BW86" s="100"/>
      <c r="BX86" s="100"/>
      <c r="BY86" s="100"/>
      <c r="BZ86" s="100"/>
      <c r="CA86" s="100"/>
      <c r="CB86" s="100"/>
      <c r="CC86" s="100"/>
      <c r="CD86" s="100"/>
      <c r="CE86" s="100"/>
      <c r="CF86" s="100"/>
      <c r="CG86" s="100"/>
      <c r="CH86" s="100"/>
      <c r="CI86" s="100"/>
      <c r="CJ86" s="100"/>
      <c r="CK86" s="100"/>
      <c r="CL86" s="100"/>
      <c r="CM86" s="100"/>
      <c r="CN86" s="100"/>
      <c r="CO86" s="100"/>
      <c r="CP86" s="100"/>
      <c r="CQ86" s="100"/>
      <c r="CR86" s="100"/>
      <c r="CS86" s="100"/>
      <c r="CT86" s="100"/>
      <c r="CU86" s="100"/>
      <c r="CV86" s="100"/>
      <c r="CW86" s="100"/>
      <c r="CX86" s="100"/>
      <c r="CY86" s="100"/>
      <c r="CZ86" s="100"/>
      <c r="DA86" s="100"/>
      <c r="DB86" s="100"/>
      <c r="DC86" s="100"/>
      <c r="DD86" s="100"/>
      <c r="DE86" s="100"/>
      <c r="DF86" s="100"/>
      <c r="DG86" s="100"/>
      <c r="DH86" s="100"/>
      <c r="DI86" s="100"/>
      <c r="DJ86" s="100"/>
      <c r="DK86" s="100"/>
      <c r="DL86" s="100"/>
      <c r="DM86" s="100"/>
      <c r="DN86" s="100"/>
      <c r="DO86" s="100"/>
      <c r="DP86" s="100"/>
      <c r="DQ86" s="100"/>
      <c r="DR86" s="100"/>
      <c r="DS86" s="100"/>
      <c r="DT86" s="100"/>
      <c r="DU86" s="100"/>
      <c r="DV86" s="100"/>
      <c r="DW86" s="100"/>
      <c r="DX86" s="100"/>
      <c r="DY86" s="100"/>
      <c r="DZ86" s="100"/>
      <c r="EA86" s="100"/>
      <c r="EB86" s="100"/>
      <c r="EC86" s="100"/>
      <c r="ED86" s="100"/>
      <c r="EE86" s="100"/>
      <c r="EF86" s="100"/>
      <c r="EG86" s="100"/>
      <c r="EH86" s="100"/>
      <c r="EI86" s="100"/>
      <c r="EJ86" s="100"/>
      <c r="EK86" s="100"/>
      <c r="EL86" s="100"/>
      <c r="EM86" s="100"/>
      <c r="EN86" s="100"/>
      <c r="EO86" s="100"/>
      <c r="EP86" s="100"/>
      <c r="EQ86" s="100"/>
      <c r="ER86" s="100"/>
      <c r="ES86" s="100"/>
      <c r="ET86" s="100"/>
      <c r="EU86" s="100"/>
      <c r="EV86" s="100"/>
      <c r="EW86" s="100"/>
      <c r="EX86" s="100"/>
      <c r="EY86" s="100"/>
      <c r="EZ86" s="100"/>
      <c r="FA86" s="100"/>
      <c r="FB86" s="100"/>
      <c r="FC86" s="100"/>
      <c r="FD86" s="100"/>
      <c r="FE86" s="100"/>
      <c r="FF86" s="100"/>
      <c r="FG86" s="100"/>
      <c r="FH86" s="100"/>
      <c r="FI86" s="100"/>
      <c r="FJ86" s="100"/>
      <c r="FK86" s="100"/>
      <c r="FL86" s="100"/>
      <c r="FM86" s="100"/>
      <c r="FN86" s="100"/>
      <c r="FO86" s="100"/>
      <c r="FP86" s="100"/>
      <c r="FQ86" s="100"/>
      <c r="FR86" s="100"/>
      <c r="FS86" s="100"/>
      <c r="FT86" s="100"/>
      <c r="FU86" s="100"/>
      <c r="FV86" s="100"/>
      <c r="FW86" s="100"/>
      <c r="FX86" s="100"/>
      <c r="FY86" s="100"/>
      <c r="FZ86" s="100"/>
      <c r="GA86" s="100"/>
      <c r="GB86" s="100"/>
      <c r="GC86" s="100"/>
      <c r="GD86" s="100"/>
      <c r="GE86" s="100"/>
      <c r="GF86" s="100"/>
      <c r="GG86" s="100"/>
      <c r="GH86" s="100"/>
      <c r="GI86" s="100"/>
      <c r="GJ86" s="100"/>
      <c r="GK86" s="100"/>
      <c r="GL86" s="100"/>
      <c r="GM86" s="100"/>
      <c r="GN86" s="100"/>
      <c r="GO86" s="100"/>
      <c r="GP86" s="100"/>
      <c r="GQ86" s="100"/>
      <c r="GR86" s="100"/>
      <c r="GS86" s="100"/>
      <c r="GT86" s="100"/>
      <c r="GU86" s="100"/>
      <c r="GV86" s="100"/>
      <c r="GW86" s="100"/>
      <c r="GX86" s="100"/>
      <c r="GY86" s="100"/>
      <c r="GZ86" s="100"/>
      <c r="HA86" s="100"/>
      <c r="HB86" s="100"/>
      <c r="HC86" s="100"/>
      <c r="HD86" s="100"/>
      <c r="HE86" s="100"/>
      <c r="HF86" s="100"/>
      <c r="HG86" s="100"/>
      <c r="HH86" s="100"/>
      <c r="HI86" s="100"/>
      <c r="HJ86" s="100"/>
      <c r="HK86" s="100"/>
      <c r="HL86" s="100"/>
      <c r="HM86" s="100"/>
      <c r="HN86" s="100"/>
      <c r="HO86" s="100"/>
      <c r="HP86" s="100"/>
      <c r="HQ86" s="100"/>
      <c r="HR86" s="100"/>
      <c r="HS86" s="100"/>
      <c r="HT86" s="100"/>
      <c r="HU86" s="100"/>
      <c r="HV86" s="100"/>
      <c r="HW86" s="100"/>
      <c r="HX86" s="100"/>
      <c r="HY86" s="100"/>
      <c r="HZ86" s="100"/>
      <c r="IA86" s="100"/>
      <c r="IB86" s="100"/>
      <c r="IC86" s="100"/>
      <c r="ID86" s="100"/>
      <c r="IE86" s="100"/>
      <c r="IF86" s="100"/>
      <c r="IG86" s="100"/>
      <c r="IH86" s="100"/>
      <c r="II86" s="100"/>
      <c r="IJ86" s="100"/>
      <c r="IK86" s="100"/>
      <c r="IL86" s="100"/>
      <c r="IM86" s="100"/>
      <c r="IN86" s="100"/>
      <c r="IO86" s="100"/>
      <c r="IP86" s="100"/>
      <c r="IQ86" s="100"/>
      <c r="IR86" s="100"/>
      <c r="IS86" s="100"/>
      <c r="IT86" s="100"/>
      <c r="IU86" s="100"/>
      <c r="IV86" s="100"/>
      <c r="IW86" s="100"/>
    </row>
    <row r="87" customFormat="false" ht="12.75" hidden="false" customHeight="true" outlineLevel="0" collapsed="false">
      <c r="A87" s="99" t="str">
        <f aca="false">'QTD Mgmt Summary'!A85</f>
        <v>Capital Charge Offset</v>
      </c>
      <c r="B87" s="33"/>
      <c r="C87" s="78" t="n">
        <f aca="false">GrossMargin!C85</f>
        <v>0</v>
      </c>
      <c r="D87" s="226" t="n">
        <f aca="false">GrossMargin!D85</f>
        <v>0</v>
      </c>
      <c r="E87" s="114" t="n">
        <f aca="false">GrossMargin!E85</f>
        <v>0</v>
      </c>
      <c r="F87" s="302" t="n">
        <f aca="false">GrossMargin!F85</f>
        <v>0</v>
      </c>
      <c r="G87" s="302" t="n">
        <f aca="false">GrossMargin!G85</f>
        <v>0</v>
      </c>
      <c r="H87" s="184" t="n">
        <f aca="false">GrossMargin!H85+5195</f>
        <v>8078</v>
      </c>
      <c r="I87" s="204" t="n">
        <f aca="false">SUM(C87:H87)</f>
        <v>8078</v>
      </c>
      <c r="J87" s="302" t="n">
        <v>0</v>
      </c>
      <c r="K87" s="184" t="n">
        <f aca="false">J87-I87</f>
        <v>-8078</v>
      </c>
    </row>
    <row r="88" customFormat="false" ht="12.75" hidden="false" customHeight="true" outlineLevel="0" collapsed="false">
      <c r="A88" s="101" t="s">
        <v>190</v>
      </c>
      <c r="B88" s="191"/>
      <c r="C88" s="223" t="n">
        <f aca="false">SUM(C84:C87)+C83+C67</f>
        <v>1909003</v>
      </c>
      <c r="D88" s="193" t="n">
        <f aca="false">SUM(D84:D87)+D83+D67</f>
        <v>134040</v>
      </c>
      <c r="E88" s="193" t="n">
        <f aca="false">SUM(E84:E87)+E83+E67</f>
        <v>786084</v>
      </c>
      <c r="F88" s="193" t="n">
        <f aca="false">SUM(F84:F87)+F83+F67</f>
        <v>55776</v>
      </c>
      <c r="G88" s="193" t="n">
        <f aca="false">SUM(G84:G87)+G83+G67</f>
        <v>2943</v>
      </c>
      <c r="H88" s="310" t="n">
        <f aca="false">SUM(H84:H87)+H83+H67</f>
        <v>7688</v>
      </c>
      <c r="I88" s="223" t="n">
        <f aca="false">SUM(I84:I87)+I83+I67</f>
        <v>2895534</v>
      </c>
      <c r="J88" s="193" t="n">
        <f aca="false">SUM(J84:J87)+J83+J67</f>
        <v>1649990</v>
      </c>
      <c r="K88" s="310" t="n">
        <f aca="false">SUM(K84:K87)+K83+K67</f>
        <v>1257426</v>
      </c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8"/>
      <c r="AD88" s="98"/>
      <c r="AE88" s="98"/>
      <c r="AF88" s="98"/>
      <c r="AG88" s="98"/>
      <c r="AH88" s="98"/>
      <c r="AI88" s="98"/>
      <c r="AJ88" s="98"/>
      <c r="AK88" s="98"/>
      <c r="AL88" s="98"/>
      <c r="AM88" s="98"/>
      <c r="AN88" s="98"/>
      <c r="AO88" s="98"/>
      <c r="AP88" s="98"/>
      <c r="AQ88" s="98"/>
      <c r="AR88" s="98"/>
      <c r="AS88" s="98"/>
      <c r="AT88" s="98"/>
      <c r="AU88" s="98"/>
      <c r="AV88" s="98"/>
      <c r="AW88" s="98"/>
      <c r="AX88" s="98"/>
      <c r="AY88" s="98"/>
      <c r="AZ88" s="98"/>
      <c r="BA88" s="98"/>
      <c r="BB88" s="98"/>
      <c r="BC88" s="98"/>
      <c r="BD88" s="98"/>
      <c r="BE88" s="98"/>
      <c r="BF88" s="98"/>
      <c r="BG88" s="98"/>
      <c r="BH88" s="98"/>
      <c r="BI88" s="98"/>
      <c r="BJ88" s="98"/>
      <c r="BK88" s="98"/>
      <c r="BL88" s="98"/>
      <c r="BM88" s="98"/>
      <c r="BN88" s="98"/>
      <c r="BO88" s="98"/>
      <c r="BP88" s="98"/>
      <c r="BQ88" s="98"/>
      <c r="BR88" s="98"/>
      <c r="BS88" s="98"/>
      <c r="BT88" s="98"/>
      <c r="BU88" s="98"/>
      <c r="BV88" s="98"/>
      <c r="BW88" s="98"/>
      <c r="BX88" s="98"/>
      <c r="BY88" s="98"/>
      <c r="BZ88" s="98"/>
      <c r="CA88" s="98"/>
      <c r="CB88" s="98"/>
      <c r="CC88" s="98"/>
      <c r="CD88" s="98"/>
      <c r="CE88" s="98"/>
      <c r="CF88" s="98"/>
      <c r="CG88" s="98"/>
      <c r="CH88" s="98"/>
      <c r="CI88" s="98"/>
      <c r="CJ88" s="98"/>
      <c r="CK88" s="98"/>
      <c r="CL88" s="98"/>
      <c r="CM88" s="98"/>
      <c r="CN88" s="98"/>
      <c r="CO88" s="98"/>
      <c r="CP88" s="98"/>
      <c r="CQ88" s="98"/>
      <c r="CR88" s="98"/>
      <c r="CS88" s="98"/>
      <c r="CT88" s="98"/>
      <c r="CU88" s="98"/>
      <c r="CV88" s="98"/>
      <c r="CW88" s="98"/>
      <c r="CX88" s="98"/>
      <c r="CY88" s="98"/>
      <c r="CZ88" s="98"/>
      <c r="DA88" s="98"/>
      <c r="DB88" s="98"/>
      <c r="DC88" s="98"/>
      <c r="DD88" s="98"/>
      <c r="DE88" s="98"/>
      <c r="DF88" s="98"/>
      <c r="DG88" s="98"/>
      <c r="DH88" s="98"/>
      <c r="DI88" s="98"/>
      <c r="DJ88" s="98"/>
      <c r="DK88" s="98"/>
      <c r="DL88" s="98"/>
      <c r="DM88" s="98"/>
      <c r="DN88" s="98"/>
      <c r="DO88" s="98"/>
      <c r="DP88" s="98"/>
      <c r="DQ88" s="98"/>
      <c r="DR88" s="98"/>
      <c r="DS88" s="98"/>
      <c r="DT88" s="98"/>
      <c r="DU88" s="98"/>
      <c r="DV88" s="98"/>
      <c r="DW88" s="98"/>
      <c r="DX88" s="98"/>
      <c r="DY88" s="98"/>
      <c r="DZ88" s="98"/>
      <c r="EA88" s="98"/>
      <c r="EB88" s="98"/>
      <c r="EC88" s="98"/>
      <c r="ED88" s="98"/>
      <c r="EE88" s="98"/>
      <c r="EF88" s="98"/>
      <c r="EG88" s="98"/>
      <c r="EH88" s="98"/>
      <c r="EI88" s="98"/>
      <c r="EJ88" s="98"/>
      <c r="EK88" s="98"/>
      <c r="EL88" s="98"/>
      <c r="EM88" s="98"/>
      <c r="EN88" s="98"/>
      <c r="EO88" s="98"/>
      <c r="EP88" s="98"/>
      <c r="EQ88" s="98"/>
      <c r="ER88" s="98"/>
      <c r="ES88" s="98"/>
      <c r="ET88" s="98"/>
      <c r="EU88" s="98"/>
      <c r="EV88" s="98"/>
      <c r="EW88" s="98"/>
      <c r="EX88" s="98"/>
      <c r="EY88" s="98"/>
      <c r="EZ88" s="98"/>
      <c r="FA88" s="98"/>
      <c r="FB88" s="98"/>
      <c r="FC88" s="98"/>
      <c r="FD88" s="98"/>
      <c r="FE88" s="98"/>
      <c r="FF88" s="98"/>
      <c r="FG88" s="98"/>
      <c r="FH88" s="98"/>
      <c r="FI88" s="98"/>
      <c r="FJ88" s="98"/>
      <c r="FK88" s="98"/>
      <c r="FL88" s="98"/>
      <c r="FM88" s="98"/>
      <c r="FN88" s="98"/>
      <c r="FO88" s="98"/>
      <c r="FP88" s="98"/>
      <c r="FQ88" s="98"/>
      <c r="FR88" s="98"/>
      <c r="FS88" s="98"/>
      <c r="FT88" s="98"/>
      <c r="FU88" s="98"/>
      <c r="FV88" s="98"/>
      <c r="FW88" s="98"/>
      <c r="FX88" s="98"/>
      <c r="FY88" s="98"/>
      <c r="FZ88" s="98"/>
      <c r="GA88" s="98"/>
      <c r="GB88" s="98"/>
      <c r="GC88" s="98"/>
      <c r="GD88" s="98"/>
      <c r="GE88" s="98"/>
      <c r="GF88" s="98"/>
      <c r="GG88" s="98"/>
      <c r="GH88" s="98"/>
      <c r="GI88" s="98"/>
      <c r="GJ88" s="98"/>
      <c r="GK88" s="98"/>
      <c r="GL88" s="98"/>
      <c r="GM88" s="98"/>
      <c r="GN88" s="98"/>
      <c r="GO88" s="98"/>
      <c r="GP88" s="98"/>
      <c r="GQ88" s="98"/>
      <c r="GR88" s="98"/>
      <c r="GS88" s="98"/>
      <c r="GT88" s="98"/>
      <c r="GU88" s="98"/>
      <c r="GV88" s="98"/>
      <c r="GW88" s="98"/>
      <c r="GX88" s="98"/>
      <c r="GY88" s="98"/>
      <c r="GZ88" s="98"/>
      <c r="HA88" s="98"/>
      <c r="HB88" s="98"/>
      <c r="HC88" s="98"/>
      <c r="HD88" s="98"/>
      <c r="HE88" s="98"/>
      <c r="HF88" s="98"/>
      <c r="HG88" s="98"/>
      <c r="HH88" s="98"/>
      <c r="HI88" s="98"/>
      <c r="HJ88" s="98"/>
      <c r="HK88" s="98"/>
      <c r="HL88" s="98"/>
      <c r="HM88" s="98"/>
      <c r="HN88" s="98"/>
      <c r="HO88" s="98"/>
      <c r="HP88" s="98"/>
      <c r="HQ88" s="98"/>
      <c r="HR88" s="98"/>
      <c r="HS88" s="98"/>
      <c r="HT88" s="98"/>
      <c r="HU88" s="98"/>
      <c r="HV88" s="98"/>
      <c r="HW88" s="98"/>
      <c r="HX88" s="98"/>
      <c r="HY88" s="98"/>
      <c r="HZ88" s="98"/>
      <c r="IA88" s="98"/>
      <c r="IB88" s="98"/>
      <c r="IC88" s="98"/>
      <c r="ID88" s="98"/>
      <c r="IE88" s="98"/>
      <c r="IF88" s="98"/>
      <c r="IG88" s="98"/>
      <c r="IH88" s="98"/>
      <c r="II88" s="98"/>
      <c r="IJ88" s="98"/>
      <c r="IK88" s="98"/>
      <c r="IL88" s="98"/>
      <c r="IM88" s="98"/>
      <c r="IN88" s="98"/>
      <c r="IO88" s="98"/>
      <c r="IP88" s="98"/>
      <c r="IQ88" s="98"/>
      <c r="IR88" s="98"/>
      <c r="IS88" s="98"/>
      <c r="IT88" s="98"/>
      <c r="IU88" s="98"/>
      <c r="IV88" s="98"/>
      <c r="IW88" s="98"/>
    </row>
    <row r="89" customFormat="false" ht="3" hidden="false" customHeight="true" outlineLevel="0" collapsed="false">
      <c r="A89" s="112"/>
      <c r="C89" s="113"/>
      <c r="D89" s="114"/>
      <c r="E89" s="112"/>
    </row>
    <row r="91" customFormat="false" ht="12.75" hidden="false" customHeight="false" outlineLevel="0" collapsed="false">
      <c r="A91" s="1" t="s">
        <v>173</v>
      </c>
      <c r="C91" s="114"/>
      <c r="D91" s="114"/>
      <c r="E91" s="114"/>
      <c r="F91" s="226"/>
      <c r="G91" s="226"/>
      <c r="H91" s="226"/>
      <c r="I91" s="226"/>
    </row>
    <row r="92" customFormat="false" ht="12.75" hidden="false" customHeight="false" outlineLevel="0" collapsed="false">
      <c r="C92" s="114"/>
      <c r="D92" s="114"/>
      <c r="E92" s="114"/>
      <c r="F92" s="226"/>
      <c r="G92" s="226"/>
      <c r="H92" s="226"/>
      <c r="I92" s="226"/>
    </row>
    <row r="93" customFormat="false" ht="12.75" hidden="false" customHeight="false" outlineLevel="0" collapsed="false">
      <c r="C93" s="114"/>
      <c r="D93" s="114"/>
      <c r="E93" s="114"/>
      <c r="F93" s="226"/>
      <c r="G93" s="226"/>
      <c r="H93" s="226"/>
      <c r="I93" s="226"/>
    </row>
    <row r="94" customFormat="false" ht="12.75" hidden="false" customHeight="false" outlineLevel="0" collapsed="false">
      <c r="C94" s="114"/>
      <c r="D94" s="114"/>
      <c r="E94" s="114"/>
      <c r="F94" s="114"/>
      <c r="G94" s="114"/>
      <c r="H94" s="114"/>
      <c r="I94" s="226"/>
    </row>
    <row r="95" customFormat="false" ht="12.75" hidden="false" customHeight="false" outlineLevel="0" collapsed="false">
      <c r="I95" s="233"/>
    </row>
    <row r="96" customFormat="false" ht="12.75" hidden="false" customHeight="false" outlineLevel="0" collapsed="false">
      <c r="C96" s="234"/>
      <c r="D96" s="234"/>
      <c r="E96" s="234"/>
      <c r="F96" s="234"/>
      <c r="G96" s="234"/>
      <c r="H96" s="234"/>
      <c r="I96" s="233"/>
    </row>
  </sheetData>
  <mergeCells count="5">
    <mergeCell ref="A2:K2"/>
    <mergeCell ref="A3:K3"/>
    <mergeCell ref="A4:K4"/>
    <mergeCell ref="C6:H7"/>
    <mergeCell ref="I6:K6"/>
  </mergeCells>
  <printOptions headings="false" gridLines="false" gridLinesSet="true" horizontalCentered="true" verticalCentered="false"/>
  <pageMargins left="0.25" right="0.25" top="0.2" bottom="0.179861111111111" header="0.511811023622047" footer="0.179861111111111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&amp;L&amp;D&amp;T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2001-01-02T16:35:14Z</dcterms:created>
  <dc:creator>Trey Hardy</dc:creator>
  <dc:description/>
  <dc:language>en-US</dc:language>
  <cp:lastModifiedBy>mday</cp:lastModifiedBy>
  <cp:lastPrinted>2001-08-06T17:57:00Z</cp:lastPrinted>
  <dcterms:modified xsi:type="dcterms:W3CDTF">2001-08-06T17:59:41Z</dcterms:modified>
  <cp:revision>0</cp:revision>
  <dc:subject/>
  <dc:title/>
</cp:coreProperties>
</file>