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uminum" sheetId="1" state="visible" r:id="rId3"/>
    <sheet name="Copper" sheetId="2" state="visible" r:id="rId4"/>
    <sheet name="Nickel" sheetId="3" state="visible" r:id="rId5"/>
    <sheet name="Zinc" sheetId="4" state="visible" r:id="rId6"/>
    <sheet name="Lead" sheetId="5" state="visible" r:id="rId7"/>
    <sheet name="Silver" sheetId="6" state="visible" r:id="rId8"/>
    <sheet name="Al Pricing Sheet" sheetId="7" state="visible" r:id="rId9"/>
  </sheets>
  <definedNames>
    <definedName function="false" hidden="false" name="Diff" vbProcedure="false">#REF!</definedName>
    <definedName function="false" hidden="false" name="Diff2" vbProcedure="false">#REF!</definedName>
    <definedName function="false" hidden="false" name="HourStart" vbProcedure="false">#REF!</definedName>
    <definedName function="false" hidden="false" name="MinuteStart" vbProcedure="false">#REF!</definedName>
    <definedName function="false" hidden="false" name="print" vbProcedure="false">#REF!</definedName>
    <definedName function="false" hidden="false" name="Row_Ref" vbProcedure="false">#REF!</definedName>
    <definedName function="false" hidden="false" name="Samples" vbProcedure="false">#REF!</definedName>
    <definedName function="false" hidden="false" name="Time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<sst xmlns="http://schemas.openxmlformats.org/spreadsheetml/2006/main" count="31" uniqueCount="9">
  <si>
    <t xml:space="preserve">Month</t>
  </si>
  <si>
    <t xml:space="preserve">Index</t>
  </si>
  <si>
    <t xml:space="preserve">Strike</t>
  </si>
  <si>
    <t xml:space="preserve">Vol</t>
  </si>
  <si>
    <t xml:space="preserve">Value Date</t>
  </si>
  <si>
    <t xml:space="preserve">Interest Rate</t>
  </si>
  <si>
    <t xml:space="preserve">Yield</t>
  </si>
  <si>
    <t xml:space="preserve">Volatility</t>
  </si>
  <si>
    <t xml:space="preserve">Type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</si>
</sst>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#,##0.00"/>
    <numFmt numFmtId="166" formatCode="\$#,##0.00_);[RED]&quot;($&quot;#,##0.00\)"/>
    <numFmt numFmtId="167" formatCode="[$-409]d\-mmm\-yy"/>
    <numFmt numFmtId="168" formatCode="0.00%"/>
    <numFmt numFmtId="169" formatCode="mm\-mmm\-yy"/>
  </numFmts>
  <fonts count="6">
    <font>
      <sz val="10"/>
      <name val="Univers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sz val="10"/>
      <name val="Univers"/>
      <family val="2"/>
    </font>
  </fonts>
  <fills count="2">
    <fill>
      <patternFill patternType="none"/>
    </fill>
    <fill>
      <patternFill patternType="gray125"/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3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1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Currency_REPORT" xfId="21"/>
    <cellStyle name="Normal_GI" xfId="22"/>
    <cellStyle name="Normal_INDICES.xls Chart 1" xfId="23"/>
    <cellStyle name="Normal_INDICES.xls Chart 2" xfId="24"/>
    <cellStyle name="Normal_INDICES.xls Chart 3" xfId="25"/>
    <cellStyle name="Normal_INDICES.xls Chart 4" xfId="26"/>
    <cellStyle name="Normal_INDICES.xls Chart 5" xfId="27"/>
    <cellStyle name="Normal_INDICES.xls Chart 6" xfId="28"/>
    <cellStyle name="Normal_INDICES.xls Chart 7" xfId="29"/>
    <cellStyle name="Normal_REPORT" xfId="30"/>
    <cellStyle name="Normal_s&amp;pvsDow3" xfId="3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4.56"/>
    <col collapsed="false" customWidth="false" hidden="false" outlineLevel="0" max="3" min="2" style="1" width="9.14"/>
    <col collapsed="false" customWidth="true" hidden="false" outlineLevel="0" max="4" min="4" style="1" width="21.99"/>
    <col collapsed="false" customWidth="false" hidden="false" outlineLevel="0" max="257" min="5" style="1" width="9.14"/>
  </cols>
  <sheetData>
    <row r="1" customFormat="false" ht="12.75" hidden="false" customHeight="false" outlineLevel="0" collapsed="false">
      <c r="A1" s="1" t="str">
        <f aca="false" t="array" ref="A1:A22">DDE("TWINDDE","RSFPage","MAL/VOL01 0 0 80 23")</f>
        <v>15:01 24JUL00                                                          MAL/VOL01</v>
      </c>
    </row>
    <row r="2" customFormat="false" ht="12.75" hidden="false" customHeight="false" outlineLevel="0" collapsed="false">
      <c r="A2" s="1" t="str">
        <v>          LONDON METAL EXCHANGE SUMMARY                                         </v>
      </c>
    </row>
    <row r="3" customFormat="false" ht="12.75" hidden="false" customHeight="false" outlineLevel="0" collapsed="false">
      <c r="A3" s="1" t="str">
        <v>AT-THE-MONEY INDICATIVE OPTION CLOSING PREMIUMS &amp; VOLATILITIES - ALUMINIUM      </v>
      </c>
    </row>
    <row r="4" customFormat="false" ht="12.75" hidden="false" customHeight="false" outlineLevel="0" collapsed="false">
      <c r="A4" s="1" t="str">
        <v>                                                                                </v>
      </c>
    </row>
    <row r="5" customFormat="false" ht="12.75" hidden="false" customHeight="false" outlineLevel="0" collapsed="false">
      <c r="A5" s="1" t="str">
        <v>MONTH  STRIKE   VOL     CALL      PUT     MONTH  STRIKE   VOL     CALL      PUT </v>
      </c>
    </row>
    <row r="6" customFormat="false" ht="12.75" hidden="false" customHeight="false" outlineLevel="0" collapsed="false">
      <c r="A6" s="1" t="str">
        <v>================================================================================</v>
      </c>
    </row>
    <row r="7" customFormat="false" ht="12.75" hidden="false" customHeight="false" outlineLevel="0" collapsed="false">
      <c r="A7" s="1" t="str">
        <v>                                                                                </v>
      </c>
      <c r="G7" s="2" t="s">
        <v>0</v>
      </c>
      <c r="H7" s="3" t="s">
        <v>1</v>
      </c>
      <c r="I7" s="3" t="s">
        <v>2</v>
      </c>
      <c r="J7" s="4" t="s">
        <v>3</v>
      </c>
    </row>
    <row r="8" customFormat="false" ht="12.75" hidden="false" customHeight="false" outlineLevel="0" collapsed="false">
      <c r="A8" s="1" t="str">
        <v>AUG00  1575=   17.17    20.24    18.75    OCT01   1550   16.65   103.95   103.49</v>
      </c>
      <c r="G8" s="5" t="str">
        <f aca="false" t="array" ref="G8:G8">DDE("TWINDDE","RSFPage","MAL/VOL01 7 0 6 23")</f>
        <v>AUG00 </v>
      </c>
      <c r="H8" s="6" t="n">
        <v>1</v>
      </c>
      <c r="I8" s="6" t="str">
        <f aca="false">DDE("TWINDDE","RSFPage","MAL/VOL01 7 7 4 23")</f>
        <v>1575</v>
      </c>
      <c r="J8" s="7" t="str">
        <f aca="false">DDE("TWINDDE","RSFPage","MAL/VOL01 7 15 5 23")</f>
        <v>17.17</v>
      </c>
    </row>
    <row r="9" customFormat="false" ht="12.75" hidden="false" customHeight="false" outlineLevel="0" collapsed="false">
      <c r="A9" s="1" t="str">
        <v>SEP00  1575=   19.25    49.43    37.31    NOV01   1550   16.65   105.95   108.01</v>
      </c>
      <c r="G9" s="8" t="str">
        <f aca="false">DDE("TWINDDE","RSFPage","MAL/VOL01 8 0 6 23")</f>
        <v>SEP00 </v>
      </c>
      <c r="H9" s="9" t="n">
        <v>2</v>
      </c>
      <c r="I9" s="9" t="str">
        <f aca="false">DDE("TWINDDE","RSFPage","MAL/VOL01 8 7 4 23")</f>
        <v>1575</v>
      </c>
      <c r="J9" s="10" t="str">
        <f aca="false">DDE("TWINDDE","RSFPage","MAL/VOL01 8 15 5 23")</f>
        <v>19.25</v>
      </c>
    </row>
    <row r="10" customFormat="false" ht="12.75" hidden="false" customHeight="false" outlineLevel="0" collapsed="false">
      <c r="A10" s="1" t="str">
        <v>OCT00  1600=   19.35    49.79    60.37    DEC01   1550   16.65   107.16   111.71</v>
      </c>
      <c r="G10" s="8" t="str">
        <f aca="false">DDE("TWINDDE","RSFPage","MAL/VOL01 9 0 6 23")</f>
        <v>OCT00 </v>
      </c>
      <c r="H10" s="9" t="n">
        <v>3</v>
      </c>
      <c r="I10" s="9" t="str">
        <f aca="false">DDE("TWINDDE","RSFPage","MAL/VOL01 9 7 4 23")</f>
        <v>1600</v>
      </c>
      <c r="J10" s="10" t="str">
        <f aca="false">DDE("TWINDDE","RSFPage","MAL/VOL01 9 15 5 23")</f>
        <v>19.35</v>
      </c>
    </row>
    <row r="11" customFormat="false" ht="12.75" hidden="false" customHeight="false" outlineLevel="0" collapsed="false">
      <c r="A11" s="1" t="str">
        <v>NOV00  1600=   19.15    58.12    68.89    JAN02   1550   15.93   104.30   109.73</v>
      </c>
      <c r="G11" s="8" t="str">
        <f aca="false">DDE("TWINDDE","RSFPage","MAL/VOL01 10 0 6 23")</f>
        <v>NOV00 </v>
      </c>
      <c r="H11" s="9" t="n">
        <v>4</v>
      </c>
      <c r="I11" s="9" t="str">
        <f aca="false">DDE("TWINDDE","RSFPage","MAL/VOL01 10 7 4 23")</f>
        <v>1600</v>
      </c>
      <c r="J11" s="10" t="str">
        <f aca="false">DDE("TWINDDE","RSFPage","MAL/VOL01 10 15 5 23")</f>
        <v>19.15</v>
      </c>
    </row>
    <row r="12" customFormat="false" ht="12.75" hidden="false" customHeight="false" outlineLevel="0" collapsed="false">
      <c r="A12" s="1" t="str">
        <v>DEC00  1575=   18.80    76.39    65.68    FEB02   1550   15.93   106.60   112.88</v>
      </c>
      <c r="G12" s="8" t="str">
        <f aca="false">DDE("TWINDDE","RSFPage","MAL/VOL01 11 0 6 23")</f>
        <v>DEC00 </v>
      </c>
      <c r="H12" s="9" t="n">
        <v>5</v>
      </c>
      <c r="I12" s="9" t="str">
        <f aca="false">DDE("TWINDDE","RSFPage","MAL/VOL01 11 7 4 23")</f>
        <v>1575</v>
      </c>
      <c r="J12" s="10" t="str">
        <f aca="false">DDE("TWINDDE","RSFPage","MAL/VOL01 11 15 5 23")</f>
        <v>18.80</v>
      </c>
    </row>
    <row r="13" customFormat="false" ht="12.75" hidden="false" customHeight="false" outlineLevel="0" collapsed="false">
      <c r="A13" s="1" t="str">
        <v>JAN01  1575=   18.05    77.36    71.06    MAR02   1550   15.93   108.24   115.39</v>
      </c>
      <c r="G13" s="8" t="str">
        <f aca="false">DDE("TWINDDE","RSFPage","MAL/VOL01 12 0 6 23")</f>
        <v>JAN01 </v>
      </c>
      <c r="H13" s="9" t="n">
        <v>6</v>
      </c>
      <c r="I13" s="9" t="str">
        <f aca="false">DDE("TWINDDE","RSFPage","MAL/VOL01 12 7 4 23")</f>
        <v>1575</v>
      </c>
      <c r="J13" s="10" t="str">
        <f aca="false">DDE("TWINDDE","RSFPage","MAL/VOL01 12 15 5 23")</f>
        <v>18.05</v>
      </c>
    </row>
    <row r="14" customFormat="false" ht="12.75" hidden="false" customHeight="false" outlineLevel="0" collapsed="false">
      <c r="A14" s="1" t="str">
        <v>FEB01  1575=   17.85    81.01    79.09    APR02   1550   15.63   107.67   115.68</v>
      </c>
      <c r="G14" s="8" t="str">
        <f aca="false">DDE("TWINDDE","RSFPage","MAL/VOL01 13 0 6 23")</f>
        <v>FEB01 </v>
      </c>
      <c r="H14" s="9" t="n">
        <v>7</v>
      </c>
      <c r="I14" s="9" t="str">
        <f aca="false">DDE("TWINDDE","RSFPage","MAL/VOL01 13 7 4 23")</f>
        <v>1575</v>
      </c>
      <c r="J14" s="10" t="str">
        <f aca="false">DDE("TWINDDE","RSFPage","MAL/VOL01 13 15 5 23")</f>
        <v>17.85</v>
      </c>
    </row>
    <row r="15" customFormat="false" ht="12.75" hidden="false" customHeight="false" outlineLevel="0" collapsed="false">
      <c r="A15" s="1" t="str">
        <v>MAR01  1575=   17.73    83.10    85.50    MAY02   1550   15.63   109.12   117.97</v>
      </c>
      <c r="G15" s="8" t="str">
        <f aca="false">DDE("TWINDDE","RSFPage","MAL/VOL01 14 0 6 23")</f>
        <v>MAR01 </v>
      </c>
      <c r="H15" s="9" t="n">
        <v>8</v>
      </c>
      <c r="I15" s="9" t="str">
        <f aca="false">DDE("TWINDDE","RSFPage","MAL/VOL01 14 7 4 23")</f>
        <v>1575</v>
      </c>
      <c r="J15" s="10" t="str">
        <f aca="false">DDE("TWINDDE","RSFPage","MAL/VOL01 14 15 5 23")</f>
        <v>17.73</v>
      </c>
    </row>
    <row r="16" customFormat="false" ht="12.75" hidden="false" customHeight="false" outlineLevel="0" collapsed="false">
      <c r="A16" s="1" t="str">
        <v>APR01  1575=   17.40    83.76    90.42    JUN02   1550   15.63   110.95   120.62</v>
      </c>
      <c r="G16" s="8" t="str">
        <f aca="false">DDE("TWINDDE","RSFPage","MAL/VOL01 15 0 6 23")</f>
        <v>APR01 </v>
      </c>
      <c r="H16" s="9" t="n">
        <v>9</v>
      </c>
      <c r="I16" s="9" t="str">
        <f aca="false">DDE("TWINDDE","RSFPage","MAL/VOL01 15 7 4 23")</f>
        <v>1575</v>
      </c>
      <c r="J16" s="10" t="str">
        <f aca="false">DDE("TWINDDE","RSFPage","MAL/VOL01 15 15 5 23")</f>
        <v>17.40</v>
      </c>
    </row>
    <row r="17" customFormat="false" ht="12.75" hidden="false" customHeight="false" outlineLevel="0" collapsed="false">
      <c r="A17" s="1" t="str">
        <v>MAY01  1575=   17.35    86.17    95.64    JUL02   1550   15.53   111.49   121.99</v>
      </c>
      <c r="G17" s="8" t="str">
        <f aca="false">DDE("TWINDDE","RSFPage","MAL/VOL01 16 0 6 23")</f>
        <v>MAY01 </v>
      </c>
      <c r="H17" s="9" t="n">
        <v>10</v>
      </c>
      <c r="I17" s="9" t="str">
        <f aca="false">DDE("TWINDDE","RSFPage","MAL/VOL01 16 7 4 23")</f>
        <v>1575</v>
      </c>
      <c r="J17" s="10" t="str">
        <f aca="false">DDE("TWINDDE","RSFPage","MAL/VOL01 16 15 5 23")</f>
        <v>17.35</v>
      </c>
    </row>
    <row r="18" customFormat="false" ht="12.75" hidden="false" customHeight="false" outlineLevel="0" collapsed="false">
      <c r="A18" s="1" t="str">
        <v>JUN01  1550=   17.35   100.48    89.19    AUG02   1525   15.53   123.01   112.58</v>
      </c>
      <c r="G18" s="8" t="str">
        <f aca="false">DDE("TWINDDE","RSFPage","MAL/VOL01 17 0 6 23")</f>
        <v>JUN01 </v>
      </c>
      <c r="H18" s="9" t="n">
        <v>11</v>
      </c>
      <c r="I18" s="9" t="str">
        <f aca="false">DDE("TWINDDE","RSFPage","MAL/VOL01 17 7 4 23")</f>
        <v>1550</v>
      </c>
      <c r="J18" s="10" t="str">
        <f aca="false">DDE("TWINDDE","RSFPage","MAL/VOL01 17 15 5 23")</f>
        <v>17.35</v>
      </c>
    </row>
    <row r="19" customFormat="false" ht="12.75" hidden="false" customHeight="false" outlineLevel="0" collapsed="false">
      <c r="A19" s="1" t="str">
        <v>JUL01  1550=   16.88    99.77    91.35    SEP02   1525   15.53   124.05   114.54</v>
      </c>
      <c r="G19" s="8" t="str">
        <f aca="false">DDE("TWINDDE","RSFPage","MAL/VOL01 18 0 6 23")</f>
        <v>JUL01 </v>
      </c>
      <c r="H19" s="9" t="n">
        <v>12</v>
      </c>
      <c r="I19" s="9" t="str">
        <f aca="false">DDE("TWINDDE","RSFPage","MAL/VOL01 18 7 4 23")</f>
        <v>1550</v>
      </c>
      <c r="J19" s="10" t="str">
        <f aca="false">DDE("TWINDDE","RSFPage","MAL/VOL01 18 15 5 23")</f>
        <v>16.88</v>
      </c>
    </row>
    <row r="20" customFormat="false" ht="12.75" hidden="false" customHeight="false" outlineLevel="0" collapsed="false">
      <c r="A20" s="1" t="str">
        <v>AUG01  1550=   16.88   101.46    95.87    OCT02   1525   15.53   125.03   116.42</v>
      </c>
      <c r="G20" s="8" t="str">
        <f aca="false">DDE("TWINDDE","RSFPage","MAL/VOL01 19 0 6 23")</f>
        <v>AUG01 </v>
      </c>
      <c r="H20" s="9" t="n">
        <v>13</v>
      </c>
      <c r="I20" s="9" t="str">
        <f aca="false">DDE("TWINDDE","RSFPage","MAL/VOL01 19 7 4 23")</f>
        <v>1550</v>
      </c>
      <c r="J20" s="10" t="str">
        <f aca="false">DDE("TWINDDE","RSFPage","MAL/VOL01 19 15 5 23")</f>
        <v>16.88</v>
      </c>
    </row>
    <row r="21" customFormat="false" ht="12.75" hidden="false" customHeight="false" outlineLevel="0" collapsed="false">
      <c r="A21" s="1" t="str">
        <v>SEP01  1550=   16.88   103.87   100.87                                          </v>
      </c>
      <c r="G21" s="11" t="str">
        <f aca="false">DDE("TWINDDE","RSFPage","MAL/VOL01 20 0 6 23")</f>
        <v>SEP01 </v>
      </c>
      <c r="H21" s="12" t="n">
        <v>14</v>
      </c>
      <c r="I21" s="12" t="str">
        <f aca="false">DDE("TWINDDE","RSFPage","MAL/VOL01 20 7 4 23")</f>
        <v>1550</v>
      </c>
      <c r="J21" s="13" t="str">
        <f aca="false">DDE("TWINDDE","RSFPage","MAL/VOL01 20 15 5 23")</f>
        <v>16.88</v>
      </c>
    </row>
    <row r="22" customFormat="false" ht="12.75" hidden="false" customHeight="false" outlineLevel="0" collapsed="false">
      <c r="A22" s="1" t="str">
        <v>                                                                                </v>
      </c>
      <c r="G22" s="14" t="str">
        <f aca="false">DDE("TWINDDE","RSFPage","MAL/VOL01 7 40 7 23")</f>
        <v>  OCT01</v>
      </c>
      <c r="H22" s="6" t="n">
        <v>15</v>
      </c>
      <c r="I22" s="6" t="str">
        <f aca="false">DDE("TWINDDE","RSFPage","MAL/VOL01 7 50 4 23")</f>
        <v>1550</v>
      </c>
      <c r="J22" s="7" t="str">
        <f aca="false">DDE("TWINDDE","RSFPage","MAL/VOL01 7 57 5 23")</f>
        <v>16.65</v>
      </c>
    </row>
    <row r="23" customFormat="false" ht="12.75" hidden="false" customHeight="false" outlineLevel="0" collapsed="false">
      <c r="G23" s="15" t="str">
        <f aca="false">DDE("TWINDDE","RSFPage","MAL/VOL01 8 40 7 23")</f>
        <v>  NOV01</v>
      </c>
      <c r="H23" s="9" t="n">
        <v>16</v>
      </c>
      <c r="I23" s="9" t="str">
        <f aca="false">DDE("TWINDDE","RSFPage","MAL/VOL01 8 50 4 23")</f>
        <v>1550</v>
      </c>
      <c r="J23" s="10" t="str">
        <f aca="false">DDE("TWINDDE","RSFPage","MAL/VOL01 8 57 5 23")</f>
        <v>16.65</v>
      </c>
    </row>
    <row r="24" customFormat="false" ht="12.75" hidden="false" customHeight="false" outlineLevel="0" collapsed="false">
      <c r="G24" s="15" t="str">
        <f aca="false">DDE("TWINDDE","RSFPage","MAL/VOL01 9 40 7 23")</f>
        <v>  DEC01</v>
      </c>
      <c r="H24" s="9" t="n">
        <v>17</v>
      </c>
      <c r="I24" s="9" t="str">
        <f aca="false">DDE("TWINDDE","RSFPage","MAL/VOL01 9 50 4 23")</f>
        <v>1550</v>
      </c>
      <c r="J24" s="10" t="str">
        <f aca="false">DDE("TWINDDE","RSFPage","MAL/VOL01 9 57 5 23")</f>
        <v>16.65</v>
      </c>
    </row>
    <row r="25" customFormat="false" ht="12.75" hidden="false" customHeight="false" outlineLevel="0" collapsed="false">
      <c r="G25" s="15" t="str">
        <f aca="false">DDE("TWINDDE","RSFPage","MAL/VOL01 10 40 7 23")</f>
        <v>  JAN02</v>
      </c>
      <c r="H25" s="9" t="n">
        <v>18</v>
      </c>
      <c r="I25" s="9" t="str">
        <f aca="false">DDE("TWINDDE","RSFPage","MAL/VOL01 10 50 4 23")</f>
        <v>1550</v>
      </c>
      <c r="J25" s="10" t="str">
        <f aca="false">DDE("TWINDDE","RSFPage","MAL/VOL01 10 57 5 23")</f>
        <v>15.93</v>
      </c>
    </row>
    <row r="26" customFormat="false" ht="12.75" hidden="false" customHeight="false" outlineLevel="0" collapsed="false">
      <c r="G26" s="15" t="str">
        <f aca="false">DDE("TWINDDE","RSFPage","MAL/VOL01 11 40 7 23")</f>
        <v>  FEB02</v>
      </c>
      <c r="H26" s="9" t="n">
        <v>19</v>
      </c>
      <c r="I26" s="9" t="str">
        <f aca="false">DDE("TWINDDE","RSFPage","MAL/VOL01 11 50 4 23")</f>
        <v>1550</v>
      </c>
      <c r="J26" s="10" t="str">
        <f aca="false">DDE("TWINDDE","RSFPage","MAL/VOL01 11 57 5 23")</f>
        <v>15.93</v>
      </c>
    </row>
    <row r="27" customFormat="false" ht="12.75" hidden="false" customHeight="false" outlineLevel="0" collapsed="false">
      <c r="G27" s="15" t="str">
        <f aca="false">DDE("TWINDDE","RSFPage","MAL/VOL01 12 40 7 23")</f>
        <v>  MAR02</v>
      </c>
      <c r="H27" s="9" t="n">
        <v>20</v>
      </c>
      <c r="I27" s="9" t="str">
        <f aca="false">DDE("TWINDDE","RSFPage","MAL/VOL01 12 50 4 23")</f>
        <v>1550</v>
      </c>
      <c r="J27" s="10" t="str">
        <f aca="false">DDE("TWINDDE","RSFPage","MAL/VOL01 12 57 5 23")</f>
        <v>15.93</v>
      </c>
    </row>
    <row r="28" customFormat="false" ht="12.75" hidden="false" customHeight="false" outlineLevel="0" collapsed="false">
      <c r="G28" s="15" t="str">
        <f aca="false">DDE("TWINDDE","RSFPage","MAL/VOL01 13 40 7 23")</f>
        <v>  APR02</v>
      </c>
      <c r="H28" s="9" t="n">
        <v>21</v>
      </c>
      <c r="I28" s="9" t="str">
        <f aca="false">DDE("TWINDDE","RSFPage","MAL/VOL01 13 50 4 23")</f>
        <v>1550</v>
      </c>
      <c r="J28" s="10" t="str">
        <f aca="false">DDE("TWINDDE","RSFPage","MAL/VOL01 13 57 5 23")</f>
        <v>15.63</v>
      </c>
    </row>
    <row r="29" customFormat="false" ht="12.75" hidden="false" customHeight="false" outlineLevel="0" collapsed="false">
      <c r="G29" s="15" t="str">
        <f aca="false">DDE("TWINDDE","RSFPage","MAL/VOL01 14 40 7 23")</f>
        <v>  MAY02</v>
      </c>
      <c r="H29" s="9" t="n">
        <v>22</v>
      </c>
      <c r="I29" s="9" t="str">
        <f aca="false">DDE("TWINDDE","RSFPage","MAL/VOL01 14 50 4 23")</f>
        <v>1550</v>
      </c>
      <c r="J29" s="10" t="str">
        <f aca="false">DDE("TWINDDE","RSFPage","MAL/VOL01 14 57 5 23")</f>
        <v>15.63</v>
      </c>
    </row>
    <row r="30" customFormat="false" ht="12.75" hidden="false" customHeight="false" outlineLevel="0" collapsed="false">
      <c r="G30" s="15" t="str">
        <f aca="false">DDE("TWINDDE","RSFPage","MAL/VOL01 15 40 7 23")</f>
        <v>  JUN02</v>
      </c>
      <c r="H30" s="9" t="n">
        <v>23</v>
      </c>
      <c r="I30" s="9" t="str">
        <f aca="false">DDE("TWINDDE","RSFPage","MAL/VOL01 15 50 4 23")</f>
        <v>1550</v>
      </c>
      <c r="J30" s="10" t="str">
        <f aca="false">DDE("TWINDDE","RSFPage","MAL/VOL01 15 57 5 23")</f>
        <v>15.63</v>
      </c>
    </row>
    <row r="31" customFormat="false" ht="12.75" hidden="false" customHeight="false" outlineLevel="0" collapsed="false">
      <c r="G31" s="15" t="str">
        <f aca="false">DDE("TWINDDE","RSFPage","MAL/VOL01 16 40 7 23")</f>
        <v>  JUL02</v>
      </c>
      <c r="H31" s="9" t="n">
        <v>24</v>
      </c>
      <c r="I31" s="9" t="str">
        <f aca="false">DDE("TWINDDE","RSFPage","MAL/VOL01 16 50 4 23")</f>
        <v>1550</v>
      </c>
      <c r="J31" s="10" t="str">
        <f aca="false">DDE("TWINDDE","RSFPage","MAL/VOL01 16 57 5 23")</f>
        <v>15.53</v>
      </c>
    </row>
    <row r="32" customFormat="false" ht="12.75" hidden="false" customHeight="false" outlineLevel="0" collapsed="false">
      <c r="G32" s="16" t="str">
        <f aca="false">DDE("TWINDDE","RSFPage","MAL/VOL01 17 40 7 23")</f>
        <v>  AUG02</v>
      </c>
      <c r="H32" s="12" t="n">
        <v>25</v>
      </c>
      <c r="I32" s="12" t="str">
        <f aca="false">DDE("TWINDDE","RSFPage","MAL/VOL01 17 50 4 23")</f>
        <v>1525</v>
      </c>
      <c r="J32" s="13" t="str">
        <f aca="false">DDE("TWINDDE","RSFPage","MAL/VOL01 17 57 5 23")</f>
        <v>15.53</v>
      </c>
    </row>
  </sheetData>
  <printOptions headings="false" gridLines="false" gridLinesSet="true" horizontalCentered="true" verticalCentered="false"/>
  <pageMargins left="0.25" right="0.25" top="0.75" bottom="0.5" header="0.25" footer="0.511811023622047"/>
  <pageSetup paperSize="9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 &amp;D &amp;T</oddHeader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3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7" activeCellId="0" sqref="G7:J3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4.56"/>
    <col collapsed="false" customWidth="false" hidden="false" outlineLevel="0" max="3" min="2" style="1" width="9.14"/>
    <col collapsed="false" customWidth="true" hidden="false" outlineLevel="0" max="4" min="4" style="1" width="21.99"/>
    <col collapsed="false" customWidth="false" hidden="false" outlineLevel="0" max="257" min="5" style="1" width="9.14"/>
  </cols>
  <sheetData>
    <row r="1" customFormat="false" ht="12.75" hidden="false" customHeight="false" outlineLevel="0" collapsed="false">
      <c r="A1" s="1" t="str">
        <f aca="false" t="array" ref="A1:A22">DDE("TWINDDE","RSFPage","MCU/VOL01 0 0 80 23")</f>
        <v>15:01 24JUL00                                                          MCU/VOL01</v>
      </c>
    </row>
    <row r="2" customFormat="false" ht="12.75" hidden="false" customHeight="false" outlineLevel="0" collapsed="false">
      <c r="A2" s="1" t="str">
        <v>          LONDON METAL EXCHANGE SUMMARY                                         </v>
      </c>
    </row>
    <row r="3" customFormat="false" ht="12.75" hidden="false" customHeight="false" outlineLevel="0" collapsed="false">
      <c r="A3" s="1" t="str">
        <v>AT-THE-MONEY INDICATIVE OPTION CLOSING PREMIUMS &amp; VOLATILITIES - COPPER         </v>
      </c>
    </row>
    <row r="4" customFormat="false" ht="12.75" hidden="false" customHeight="false" outlineLevel="0" collapsed="false">
      <c r="A4" s="1" t="str">
        <v>                                                                                </v>
      </c>
    </row>
    <row r="5" customFormat="false" ht="12.75" hidden="false" customHeight="false" outlineLevel="0" collapsed="false">
      <c r="A5" s="1" t="str">
        <v>MONTH  STRIKE   VOL     CALL      PUT     MONTH  STRIKE   VOL     CALL      PUT </v>
      </c>
    </row>
    <row r="6" customFormat="false" ht="12.75" hidden="false" customHeight="false" outlineLevel="0" collapsed="false">
      <c r="A6" s="1" t="str">
        <v>================================================================================</v>
      </c>
    </row>
    <row r="7" customFormat="false" ht="12.75" hidden="false" customHeight="false" outlineLevel="0" collapsed="false">
      <c r="A7" s="1" t="str">
        <v>                                                                                </v>
      </c>
      <c r="G7" s="2" t="s">
        <v>0</v>
      </c>
      <c r="H7" s="3" t="s">
        <v>1</v>
      </c>
      <c r="I7" s="3" t="s">
        <v>2</v>
      </c>
      <c r="J7" s="4" t="s">
        <v>3</v>
      </c>
    </row>
    <row r="8" customFormat="false" ht="12.75" hidden="false" customHeight="false" outlineLevel="0" collapsed="false">
      <c r="A8" s="1" t="str">
        <v>AUG00  1850=   16.75    22.82    21.83    OCT01   1850   17.54   135.12   126.38</v>
      </c>
      <c r="G8" s="5" t="str">
        <f aca="false" t="array" ref="G8:G8">DDE("TWINDDE","RSFPage","MCU/VOL01 7 0 6 23")</f>
        <v>AUG00 </v>
      </c>
      <c r="H8" s="6" t="n">
        <v>1</v>
      </c>
      <c r="I8" s="6" t="str">
        <f aca="false">DDE("TWINDDE","RSFPage","MCU/VOL01 7 7 4 23")</f>
        <v>1850</v>
      </c>
      <c r="J8" s="7" t="str">
        <f aca="false">DDE("TWINDDE","RSFPage","MCU/VOL01 7 15 5 23")</f>
        <v>16.75</v>
      </c>
    </row>
    <row r="9" customFormat="false" ht="12.75" hidden="false" customHeight="false" outlineLevel="0" collapsed="false">
      <c r="A9" s="1" t="str">
        <v>SEP00  1850=   18.55    55.06    42.93    NOV01   1850   17.49   138.05   130.97</v>
      </c>
      <c r="G9" s="8" t="str">
        <f aca="false">DDE("TWINDDE","RSFPage","MCU/VOL01 8 0 6 23")</f>
        <v>SEP00 </v>
      </c>
      <c r="H9" s="9" t="n">
        <v>2</v>
      </c>
      <c r="I9" s="9" t="str">
        <f aca="false">DDE("TWINDDE","RSFPage","MCU/VOL01 8 7 4 23")</f>
        <v>1850</v>
      </c>
      <c r="J9" s="10" t="str">
        <f aca="false">DDE("TWINDDE","RSFPage","MCU/VOL01 8 15 5 23")</f>
        <v>18.55</v>
      </c>
    </row>
    <row r="10" customFormat="false" ht="12.75" hidden="false" customHeight="false" outlineLevel="0" collapsed="false">
      <c r="A10" s="1" t="str">
        <v>OCT00  1875=   19.08    60.41    66.81    DEC01   1850   17.43   139.88   134.43</v>
      </c>
      <c r="G10" s="8" t="str">
        <f aca="false">DDE("TWINDDE","RSFPage","MCU/VOL01 9 0 6 23")</f>
        <v>OCT00 </v>
      </c>
      <c r="H10" s="9" t="n">
        <v>3</v>
      </c>
      <c r="I10" s="9" t="str">
        <f aca="false">DDE("TWINDDE","RSFPage","MCU/VOL01 9 7 4 23")</f>
        <v>1875</v>
      </c>
      <c r="J10" s="10" t="str">
        <f aca="false">DDE("TWINDDE","RSFPage","MCU/VOL01 9 15 5 23")</f>
        <v>19.08</v>
      </c>
    </row>
    <row r="11" customFormat="false" ht="12.75" hidden="false" customHeight="false" outlineLevel="0" collapsed="false">
      <c r="A11" s="1" t="str">
        <v>NOV00  1875=   19.00    72.66    75.11    JAN02   1850   17.26   140.93   136.63</v>
      </c>
      <c r="G11" s="8" t="str">
        <f aca="false">DDE("TWINDDE","RSFPage","MCU/VOL01 10 0 6 23")</f>
        <v>NOV00 </v>
      </c>
      <c r="H11" s="9" t="n">
        <v>4</v>
      </c>
      <c r="I11" s="9" t="str">
        <f aca="false">DDE("TWINDDE","RSFPage","MCU/VOL01 10 7 4 23")</f>
        <v>1875</v>
      </c>
      <c r="J11" s="10" t="str">
        <f aca="false">DDE("TWINDDE","RSFPage","MCU/VOL01 10 15 5 23")</f>
        <v>19.00</v>
      </c>
    </row>
    <row r="12" customFormat="false" ht="12.75" hidden="false" customHeight="false" outlineLevel="0" collapsed="false">
      <c r="A12" s="1" t="str">
        <v>DEC00  1875=   18.88    84.48    84.48    FEB02   1850   17.22   143.55   140.40</v>
      </c>
      <c r="G12" s="8" t="str">
        <f aca="false">DDE("TWINDDE","RSFPage","MCU/VOL01 11 0 6 23")</f>
        <v>DEC00 </v>
      </c>
      <c r="H12" s="9" t="n">
        <v>5</v>
      </c>
      <c r="I12" s="9" t="str">
        <f aca="false">DDE("TWINDDE","RSFPage","MCU/VOL01 11 7 4 23")</f>
        <v>1875</v>
      </c>
      <c r="J12" s="10" t="str">
        <f aca="false">DDE("TWINDDE","RSFPage","MCU/VOL01 11 15 5 23")</f>
        <v>18.88</v>
      </c>
    </row>
    <row r="13" customFormat="false" ht="12.75" hidden="false" customHeight="false" outlineLevel="0" collapsed="false">
      <c r="A13" s="1" t="str">
        <v>JAN01  1875=   18.42    89.16    90.61    MAR02   1850   17.22   145.65   143.63</v>
      </c>
      <c r="G13" s="8" t="str">
        <f aca="false">DDE("TWINDDE","RSFPage","MCU/VOL01 12 0 6 23")</f>
        <v>JAN01 </v>
      </c>
      <c r="H13" s="9" t="n">
        <v>6</v>
      </c>
      <c r="I13" s="9" t="str">
        <f aca="false">DDE("TWINDDE","RSFPage","MCU/VOL01 12 7 4 23")</f>
        <v>1875</v>
      </c>
      <c r="J13" s="10" t="str">
        <f aca="false">DDE("TWINDDE","RSFPage","MCU/VOL01 12 15 5 23")</f>
        <v>18.42</v>
      </c>
    </row>
    <row r="14" customFormat="false" ht="12.75" hidden="false" customHeight="false" outlineLevel="0" collapsed="false">
      <c r="A14" s="1" t="str">
        <v>FEB01  1875=   18.33    96.28    99.16    APR02   1850   17.22   147.64   146.75</v>
      </c>
      <c r="G14" s="8" t="str">
        <f aca="false">DDE("TWINDDE","RSFPage","MCU/VOL01 13 0 6 23")</f>
        <v>FEB01 </v>
      </c>
      <c r="H14" s="9" t="n">
        <v>7</v>
      </c>
      <c r="I14" s="9" t="str">
        <f aca="false">DDE("TWINDDE","RSFPage","MCU/VOL01 13 7 4 23")</f>
        <v>1875</v>
      </c>
      <c r="J14" s="10" t="str">
        <f aca="false">DDE("TWINDDE","RSFPage","MCU/VOL01 13 15 5 23")</f>
        <v>18.33</v>
      </c>
    </row>
    <row r="15" customFormat="false" ht="12.75" hidden="false" customHeight="false" outlineLevel="0" collapsed="false">
      <c r="A15" s="1" t="str">
        <v>MAR01  1875=   18.25   101.11   105.42    MAY02   1850   17.22   149.54   149.75</v>
      </c>
      <c r="G15" s="8" t="str">
        <f aca="false">DDE("TWINDDE","RSFPage","MCU/VOL01 14 0 6 23")</f>
        <v>MAR01 </v>
      </c>
      <c r="H15" s="9" t="n">
        <v>8</v>
      </c>
      <c r="I15" s="9" t="str">
        <f aca="false">DDE("TWINDDE","RSFPage","MCU/VOL01 14 7 4 23")</f>
        <v>1875</v>
      </c>
      <c r="J15" s="10" t="str">
        <f aca="false">DDE("TWINDDE","RSFPage","MCU/VOL01 14 15 5 23")</f>
        <v>18.25</v>
      </c>
    </row>
    <row r="16" customFormat="false" ht="12.75" hidden="false" customHeight="false" outlineLevel="0" collapsed="false">
      <c r="A16" s="1" t="str">
        <v>APR01  1875=   17.92   103.95   109.66    JUN02   1850   17.22   151.92   153.25</v>
      </c>
      <c r="G16" s="8" t="str">
        <f aca="false">DDE("TWINDDE","RSFPage","MCU/VOL01 15 0 6 23")</f>
        <v>APR01 </v>
      </c>
      <c r="H16" s="9" t="n">
        <v>9</v>
      </c>
      <c r="I16" s="9" t="str">
        <f aca="false">DDE("TWINDDE","RSFPage","MCU/VOL01 15 7 4 23")</f>
        <v>1875</v>
      </c>
      <c r="J16" s="10" t="str">
        <f aca="false">DDE("TWINDDE","RSFPage","MCU/VOL01 15 15 5 23")</f>
        <v>17.92</v>
      </c>
    </row>
    <row r="17" customFormat="false" ht="12.75" hidden="false" customHeight="false" outlineLevel="0" collapsed="false">
      <c r="A17" s="1" t="str">
        <v>MAY01  1875=   17.88   108.04   115.14    JUL02   1850   17.19   153.35   155.75</v>
      </c>
      <c r="G17" s="8" t="str">
        <f aca="false">DDE("TWINDDE","RSFPage","MCU/VOL01 16 0 6 23")</f>
        <v>MAY01 </v>
      </c>
      <c r="H17" s="9" t="n">
        <v>10</v>
      </c>
      <c r="I17" s="9" t="str">
        <f aca="false">DDE("TWINDDE","RSFPage","MCU/VOL01 16 7 4 23")</f>
        <v>1875</v>
      </c>
      <c r="J17" s="10" t="str">
        <f aca="false">DDE("TWINDDE","RSFPage","MCU/VOL01 16 15 5 23")</f>
        <v>17.88</v>
      </c>
    </row>
    <row r="18" customFormat="false" ht="12.75" hidden="false" customHeight="false" outlineLevel="0" collapsed="false">
      <c r="A18" s="1" t="str">
        <v>JUN01  1875=   17.88   113.17   121.63    AUG02   1850   17.19   155.48   158.96</v>
      </c>
      <c r="G18" s="8" t="str">
        <f aca="false">DDE("TWINDDE","RSFPage","MCU/VOL01 17 0 6 23")</f>
        <v>JUN01 </v>
      </c>
      <c r="H18" s="9" t="n">
        <v>11</v>
      </c>
      <c r="I18" s="9" t="str">
        <f aca="false">DDE("TWINDDE","RSFPage","MCU/VOL01 17 7 4 23")</f>
        <v>1875</v>
      </c>
      <c r="J18" s="10" t="str">
        <f aca="false">DDE("TWINDDE","RSFPage","MCU/VOL01 17 15 5 23")</f>
        <v>17.88</v>
      </c>
    </row>
    <row r="19" customFormat="false" ht="12.75" hidden="false" customHeight="false" outlineLevel="0" collapsed="false">
      <c r="A19" s="1" t="str">
        <v>JUL01  1875=   17.64   115.18   125.00    SEP02   1850   17.16   156.69   161.22</v>
      </c>
      <c r="G19" s="8" t="str">
        <f aca="false">DDE("TWINDDE","RSFPage","MCU/VOL01 18 0 6 23")</f>
        <v>JUL01 </v>
      </c>
      <c r="H19" s="9" t="n">
        <v>12</v>
      </c>
      <c r="I19" s="9" t="str">
        <f aca="false">DDE("TWINDDE","RSFPage","MCU/VOL01 18 7 4 23")</f>
        <v>1875</v>
      </c>
      <c r="J19" s="10" t="str">
        <f aca="false">DDE("TWINDDE","RSFPage","MCU/VOL01 18 15 5 23")</f>
        <v>17.64</v>
      </c>
    </row>
    <row r="20" customFormat="false" ht="12.75" hidden="false" customHeight="false" outlineLevel="0" collapsed="false">
      <c r="A20" s="1" t="str">
        <v>AUG01  1875=   17.59   118.19   129.35    OCT02   1850   17.16   158.09   163.68</v>
      </c>
      <c r="G20" s="8" t="str">
        <f aca="false">DDE("TWINDDE","RSFPage","MCU/VOL01 19 0 6 23")</f>
        <v>AUG01 </v>
      </c>
      <c r="H20" s="9" t="n">
        <v>13</v>
      </c>
      <c r="I20" s="9" t="str">
        <f aca="false">DDE("TWINDDE","RSFPage","MCU/VOL01 19 7 4 23")</f>
        <v>1875</v>
      </c>
      <c r="J20" s="10" t="str">
        <f aca="false">DDE("TWINDDE","RSFPage","MCU/VOL01 19 15 5 23")</f>
        <v>17.59</v>
      </c>
    </row>
    <row r="21" customFormat="false" ht="12.75" hidden="false" customHeight="false" outlineLevel="0" collapsed="false">
      <c r="A21" s="1" t="str">
        <v>SEP01  1850=   17.59   132.82   122.41                                          </v>
      </c>
      <c r="G21" s="11" t="str">
        <f aca="false">DDE("TWINDDE","RSFPage","MCU/VOL01 20 0 6 23")</f>
        <v>SEP01 </v>
      </c>
      <c r="H21" s="12" t="n">
        <v>14</v>
      </c>
      <c r="I21" s="12" t="str">
        <f aca="false">DDE("TWINDDE","RSFPage","MCU/VOL01 20 7 4 23")</f>
        <v>1850</v>
      </c>
      <c r="J21" s="13" t="str">
        <f aca="false">DDE("TWINDDE","RSFPage","MCU/VOL01 20 15 5 23")</f>
        <v>17.59</v>
      </c>
    </row>
    <row r="22" customFormat="false" ht="12.75" hidden="false" customHeight="false" outlineLevel="0" collapsed="false">
      <c r="A22" s="1" t="str">
        <v>                                                                                </v>
      </c>
      <c r="G22" s="14" t="str">
        <f aca="false">DDE("TWINDDE","RSFPage","MCU/VOL01 7 40 7 23")</f>
        <v>  OCT01</v>
      </c>
      <c r="H22" s="6" t="n">
        <v>15</v>
      </c>
      <c r="I22" s="6" t="str">
        <f aca="false">DDE("TWINDDE","RSFPage","MCU/VOL01 7 50 4 23")</f>
        <v>1850</v>
      </c>
      <c r="J22" s="7" t="str">
        <f aca="false">DDE("TWINDDE","RSFPage","MCU/VOL01 7 57 5 23")</f>
        <v>17.54</v>
      </c>
    </row>
    <row r="23" customFormat="false" ht="12.75" hidden="false" customHeight="false" outlineLevel="0" collapsed="false">
      <c r="G23" s="15" t="str">
        <f aca="false">DDE("TWINDDE","RSFPage","MCU/VOL01 8 40 7 23")</f>
        <v>  NOV01</v>
      </c>
      <c r="H23" s="9" t="n">
        <v>16</v>
      </c>
      <c r="I23" s="9" t="str">
        <f aca="false">DDE("TWINDDE","RSFPage","MCU/VOL01 8 50 4 23")</f>
        <v>1850</v>
      </c>
      <c r="J23" s="10" t="str">
        <f aca="false">DDE("TWINDDE","RSFPage","MCU/VOL01 8 57 5 23")</f>
        <v>17.49</v>
      </c>
    </row>
    <row r="24" customFormat="false" ht="12.75" hidden="false" customHeight="false" outlineLevel="0" collapsed="false">
      <c r="G24" s="15" t="str">
        <f aca="false">DDE("TWINDDE","RSFPage","MCU/VOL01 9 40 7 23")</f>
        <v>  DEC01</v>
      </c>
      <c r="H24" s="9" t="n">
        <v>17</v>
      </c>
      <c r="I24" s="9" t="str">
        <f aca="false">DDE("TWINDDE","RSFPage","MCU/VOL01 9 50 4 23")</f>
        <v>1850</v>
      </c>
      <c r="J24" s="10" t="str">
        <f aca="false">DDE("TWINDDE","RSFPage","MCU/VOL01 9 57 5 23")</f>
        <v>17.43</v>
      </c>
    </row>
    <row r="25" customFormat="false" ht="12.75" hidden="false" customHeight="false" outlineLevel="0" collapsed="false">
      <c r="G25" s="15" t="str">
        <f aca="false">DDE("TWINDDE","RSFPage","MCU/VOL01 10 40 7 23")</f>
        <v>  JAN02</v>
      </c>
      <c r="H25" s="9" t="n">
        <v>18</v>
      </c>
      <c r="I25" s="9" t="str">
        <f aca="false">DDE("TWINDDE","RSFPage","MCU/VOL01 10 50 4 23")</f>
        <v>1850</v>
      </c>
      <c r="J25" s="10" t="str">
        <f aca="false">DDE("TWINDDE","RSFPage","MCU/VOL01 10 57 5 23")</f>
        <v>17.26</v>
      </c>
    </row>
    <row r="26" customFormat="false" ht="12.75" hidden="false" customHeight="false" outlineLevel="0" collapsed="false">
      <c r="G26" s="15" t="str">
        <f aca="false">DDE("TWINDDE","RSFPage","MCU/VOL01 11 40 7 23")</f>
        <v>  FEB02</v>
      </c>
      <c r="H26" s="9" t="n">
        <v>19</v>
      </c>
      <c r="I26" s="9" t="str">
        <f aca="false">DDE("TWINDDE","RSFPage","MCU/VOL01 11 50 4 23")</f>
        <v>1850</v>
      </c>
      <c r="J26" s="10" t="str">
        <f aca="false">DDE("TWINDDE","RSFPage","MCU/VOL01 11 57 5 23")</f>
        <v>17.22</v>
      </c>
    </row>
    <row r="27" customFormat="false" ht="12.75" hidden="false" customHeight="false" outlineLevel="0" collapsed="false">
      <c r="G27" s="15" t="str">
        <f aca="false">DDE("TWINDDE","RSFPage","MCU/VOL01 12 40 7 23")</f>
        <v>  MAR02</v>
      </c>
      <c r="H27" s="9" t="n">
        <v>20</v>
      </c>
      <c r="I27" s="9" t="str">
        <f aca="false">DDE("TWINDDE","RSFPage","MCU/VOL01 12 50 4 23")</f>
        <v>1850</v>
      </c>
      <c r="J27" s="10" t="str">
        <f aca="false">DDE("TWINDDE","RSFPage","MCU/VOL01 12 57 5 23")</f>
        <v>17.22</v>
      </c>
    </row>
    <row r="28" customFormat="false" ht="12.75" hidden="false" customHeight="false" outlineLevel="0" collapsed="false">
      <c r="G28" s="15" t="str">
        <f aca="false">DDE("TWINDDE","RSFPage","MCU/VOL01 13 40 7 23")</f>
        <v>  APR02</v>
      </c>
      <c r="H28" s="9" t="n">
        <v>21</v>
      </c>
      <c r="I28" s="9" t="str">
        <f aca="false">DDE("TWINDDE","RSFPage","MCU/VOL01 13 50 4 23")</f>
        <v>1850</v>
      </c>
      <c r="J28" s="10" t="str">
        <f aca="false">DDE("TWINDDE","RSFPage","MCU/VOL01 13 57 5 23")</f>
        <v>17.22</v>
      </c>
    </row>
    <row r="29" customFormat="false" ht="12.75" hidden="false" customHeight="false" outlineLevel="0" collapsed="false">
      <c r="G29" s="15" t="str">
        <f aca="false">DDE("TWINDDE","RSFPage","MCU/VOL01 14 40 7 23")</f>
        <v>  MAY02</v>
      </c>
      <c r="H29" s="9" t="n">
        <v>22</v>
      </c>
      <c r="I29" s="9" t="str">
        <f aca="false">DDE("TWINDDE","RSFPage","MCU/VOL01 14 50 4 23")</f>
        <v>1850</v>
      </c>
      <c r="J29" s="10" t="str">
        <f aca="false">DDE("TWINDDE","RSFPage","MCU/VOL01 14 57 5 23")</f>
        <v>17.22</v>
      </c>
    </row>
    <row r="30" customFormat="false" ht="12.75" hidden="false" customHeight="false" outlineLevel="0" collapsed="false">
      <c r="G30" s="15" t="str">
        <f aca="false">DDE("TWINDDE","RSFPage","MCU/VOL01 15 40 7 23")</f>
        <v>  JUN02</v>
      </c>
      <c r="H30" s="9" t="n">
        <v>23</v>
      </c>
      <c r="I30" s="9" t="str">
        <f aca="false">DDE("TWINDDE","RSFPage","MCU/VOL01 15 50 4 23")</f>
        <v>1850</v>
      </c>
      <c r="J30" s="10" t="str">
        <f aca="false">DDE("TWINDDE","RSFPage","MCU/VOL01 15 57 5 23")</f>
        <v>17.22</v>
      </c>
    </row>
    <row r="31" customFormat="false" ht="12.75" hidden="false" customHeight="false" outlineLevel="0" collapsed="false">
      <c r="G31" s="15" t="str">
        <f aca="false">DDE("TWINDDE","RSFPage","MCU/VOL01 16 40 7 23")</f>
        <v>  JUL02</v>
      </c>
      <c r="H31" s="9" t="n">
        <v>24</v>
      </c>
      <c r="I31" s="9" t="str">
        <f aca="false">DDE("TWINDDE","RSFPage","MCU/VOL01 16 50 4 23")</f>
        <v>1850</v>
      </c>
      <c r="J31" s="10" t="str">
        <f aca="false">DDE("TWINDDE","RSFPage","MCU/VOL01 16 57 5 23")</f>
        <v>17.19</v>
      </c>
    </row>
    <row r="32" customFormat="false" ht="12.75" hidden="false" customHeight="false" outlineLevel="0" collapsed="false">
      <c r="G32" s="16" t="str">
        <f aca="false">DDE("TWINDDE","RSFPage","MCU/VOL01 17 40 7 23")</f>
        <v>  AUG02</v>
      </c>
      <c r="H32" s="12" t="n">
        <v>25</v>
      </c>
      <c r="I32" s="12" t="str">
        <f aca="false">DDE("TWINDDE","RSFPage","MCU/VOL01 17 50 4 23")</f>
        <v>1850</v>
      </c>
      <c r="J32" s="13" t="str">
        <f aca="false">DDE("TWINDDE","RSFPage","MCU/VOL01 17 57 5 23")</f>
        <v>17.19</v>
      </c>
    </row>
  </sheetData>
  <printOptions headings="false" gridLines="false" gridLinesSet="true" horizontalCentered="true" verticalCentered="false"/>
  <pageMargins left="0.25" right="0.25" top="0.75" bottom="0.5" header="0.25" footer="0.511811023622047"/>
  <pageSetup paperSize="9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 &amp;D &amp;T</oddHeader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3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13" activeCellId="0" sqref="G1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4.56"/>
    <col collapsed="false" customWidth="false" hidden="false" outlineLevel="0" max="3" min="2" style="1" width="9.14"/>
    <col collapsed="false" customWidth="true" hidden="false" outlineLevel="0" max="4" min="4" style="1" width="21.99"/>
    <col collapsed="false" customWidth="false" hidden="false" outlineLevel="0" max="257" min="5" style="1" width="9.14"/>
  </cols>
  <sheetData>
    <row r="1" customFormat="false" ht="12.75" hidden="false" customHeight="false" outlineLevel="0" collapsed="false">
      <c r="A1" s="1" t="str">
        <f aca="false" t="array" ref="A1:A22">DDE("TWINDDE","RSFPage","MNI/VOL01 0 0 80 23")</f>
        <v>15:01 24JUL00                                                          MNI/VOL01</v>
      </c>
    </row>
    <row r="2" customFormat="false" ht="12.75" hidden="false" customHeight="false" outlineLevel="0" collapsed="false">
      <c r="A2" s="1" t="str">
        <v>          LONDON METAL EXCHANGE SUMMARY                                         </v>
      </c>
    </row>
    <row r="3" customFormat="false" ht="12.75" hidden="false" customHeight="false" outlineLevel="0" collapsed="false">
      <c r="A3" s="1" t="str">
        <v>AT-THE-MONEY INDICATIVE OPTION CLOSING PREMIUMS &amp; VOLATILITIES - NICKEL         </v>
      </c>
    </row>
    <row r="4" customFormat="false" ht="12.75" hidden="false" customHeight="false" outlineLevel="0" collapsed="false">
      <c r="A4" s="1" t="str">
        <v>                                                                                </v>
      </c>
    </row>
    <row r="5" customFormat="false" ht="12.75" hidden="false" customHeight="false" outlineLevel="0" collapsed="false">
      <c r="A5" s="1" t="str">
        <v>MONTH  STRIKE   VOL     CALL      PUT     MONTH  STRIKE   VOL     CALL      PUT </v>
      </c>
    </row>
    <row r="6" customFormat="false" ht="12.75" hidden="false" customHeight="false" outlineLevel="0" collapsed="false">
      <c r="A6" s="1" t="str">
        <v>================================================================================</v>
      </c>
    </row>
    <row r="7" customFormat="false" ht="12.75" hidden="false" customHeight="false" outlineLevel="0" collapsed="false">
      <c r="A7" s="1" t="str">
        <v>                                                                                </v>
      </c>
      <c r="G7" s="2" t="s">
        <v>0</v>
      </c>
      <c r="H7" s="3" t="s">
        <v>1</v>
      </c>
      <c r="I7" s="3" t="s">
        <v>2</v>
      </c>
      <c r="J7" s="4" t="s">
        <v>3</v>
      </c>
    </row>
    <row r="8" customFormat="false" ht="12.75" hidden="false" customHeight="false" outlineLevel="0" collapsed="false">
      <c r="A8" s="1" t="str">
        <v>AUG00  8100=   33.67   206.72   186.81    OCT01   7150   25.67   723.37   746.36</v>
      </c>
      <c r="G8" s="5" t="str">
        <f aca="false" t="array" ref="G8:G8">DDE("TWINDDE","RSFPage","MNI/VOL01 7 0 6 23")</f>
        <v>AUG00 </v>
      </c>
      <c r="H8" s="6" t="n">
        <v>1</v>
      </c>
      <c r="I8" s="6" t="str">
        <f aca="false">DDE("TWINDDE","RSFPage","MNI/VOL01 7 7 4 23")</f>
        <v>8100</v>
      </c>
      <c r="J8" s="7" t="str">
        <f aca="false">DDE("TWINDDE","RSFPage","MNI/VOL01 7 15 5 23")</f>
        <v>33.67</v>
      </c>
    </row>
    <row r="9" customFormat="false" ht="12.75" hidden="false" customHeight="false" outlineLevel="0" collapsed="false">
      <c r="A9" s="1" t="str">
        <v>SEP00  8100=   33.83   377.60   397.38    NOV01   7100   25.67   741.78   764.62</v>
      </c>
      <c r="G9" s="8" t="str">
        <f aca="false">DDE("TWINDDE","RSFPage","MNI/VOL01 8 0 6 23")</f>
        <v>SEP00 </v>
      </c>
      <c r="H9" s="9" t="n">
        <v>2</v>
      </c>
      <c r="I9" s="9" t="str">
        <f aca="false">DDE("TWINDDE","RSFPage","MNI/VOL01 8 7 4 23")</f>
        <v>8100</v>
      </c>
      <c r="J9" s="10" t="str">
        <f aca="false">DDE("TWINDDE","RSFPage","MNI/VOL01 8 15 5 23")</f>
        <v>33.83</v>
      </c>
    </row>
    <row r="10" customFormat="false" ht="12.75" hidden="false" customHeight="false" outlineLevel="0" collapsed="false">
      <c r="A10" s="1" t="str">
        <v>OCT00  8000=   32.83   459.39   474.16    DEC01   7050   25.67   756.72   774.91</v>
      </c>
      <c r="G10" s="8" t="str">
        <f aca="false">DDE("TWINDDE","RSFPage","MNI/VOL01 9 0 6 23")</f>
        <v>OCT00 </v>
      </c>
      <c r="H10" s="9" t="n">
        <v>3</v>
      </c>
      <c r="I10" s="9" t="str">
        <f aca="false">DDE("TWINDDE","RSFPage","MNI/VOL01 9 7 4 23")</f>
        <v>8000</v>
      </c>
      <c r="J10" s="10" t="str">
        <f aca="false">DDE("TWINDDE","RSFPage","MNI/VOL01 9 15 5 23")</f>
        <v>32.83</v>
      </c>
    </row>
    <row r="11" customFormat="false" ht="12.75" hidden="false" customHeight="false" outlineLevel="0" collapsed="false">
      <c r="A11" s="1" t="str">
        <v>NOV00  7900=   31.50   521.24   511.44    JAN02   7000   24.83   742.85   760.94</v>
      </c>
      <c r="G11" s="8" t="str">
        <f aca="false">DDE("TWINDDE","RSFPage","MNI/VOL01 10 0 6 23")</f>
        <v>NOV00 </v>
      </c>
      <c r="H11" s="9" t="n">
        <v>4</v>
      </c>
      <c r="I11" s="9" t="str">
        <f aca="false">DDE("TWINDDE","RSFPage","MNI/VOL01 10 7 4 23")</f>
        <v>7900</v>
      </c>
      <c r="J11" s="10" t="str">
        <f aca="false">DDE("TWINDDE","RSFPage","MNI/VOL01 10 15 5 23")</f>
        <v>31.50</v>
      </c>
    </row>
    <row r="12" customFormat="false" ht="12.75" hidden="false" customHeight="false" outlineLevel="0" collapsed="false">
      <c r="A12" s="1" t="str">
        <v>DEC00  7800=   29.67   567.60   538.39    FEB02   6950   24.83   761.70   770.69</v>
      </c>
      <c r="G12" s="8" t="str">
        <f aca="false">DDE("TWINDDE","RSFPage","MNI/VOL01 11 0 6 23")</f>
        <v>DEC00 </v>
      </c>
      <c r="H12" s="9" t="n">
        <v>5</v>
      </c>
      <c r="I12" s="9" t="str">
        <f aca="false">DDE("TWINDDE","RSFPage","MNI/VOL01 11 7 4 23")</f>
        <v>7800</v>
      </c>
      <c r="J12" s="10" t="str">
        <f aca="false">DDE("TWINDDE","RSFPage","MNI/VOL01 11 15 5 23")</f>
        <v>29.67</v>
      </c>
    </row>
    <row r="13" customFormat="false" ht="12.75" hidden="false" customHeight="false" outlineLevel="0" collapsed="false">
      <c r="A13" s="1" t="str">
        <v>JAN01  7700=   29.19   608.34   564.77    MAR02   6900   24.67   770.76   770.76</v>
      </c>
      <c r="G13" s="8" t="str">
        <f aca="false">DDE("TWINDDE","RSFPage","MNI/VOL01 12 0 6 23")</f>
        <v>JAN01 </v>
      </c>
      <c r="H13" s="9" t="n">
        <v>6</v>
      </c>
      <c r="I13" s="9" t="str">
        <f aca="false">DDE("TWINDDE","RSFPage","MNI/VOL01 12 7 4 23")</f>
        <v>7700</v>
      </c>
      <c r="J13" s="10" t="str">
        <f aca="false">DDE("TWINDDE","RSFPage","MNI/VOL01 12 15 5 23")</f>
        <v>29.19</v>
      </c>
    </row>
    <row r="14" customFormat="false" ht="12.75" hidden="false" customHeight="false" outlineLevel="0" collapsed="false">
      <c r="A14" s="1" t="str">
        <v>FEB01  7700=   28.67   609.33   643.00    APR02   6900   24.17   756.34   778.58</v>
      </c>
      <c r="G14" s="8" t="str">
        <f aca="false">DDE("TWINDDE","RSFPage","MNI/VOL01 13 0 6 23")</f>
        <v>FEB01 </v>
      </c>
      <c r="H14" s="9" t="n">
        <v>7</v>
      </c>
      <c r="I14" s="9" t="str">
        <f aca="false">DDE("TWINDDE","RSFPage","MNI/VOL01 13 7 4 23")</f>
        <v>7700</v>
      </c>
      <c r="J14" s="10" t="str">
        <f aca="false">DDE("TWINDDE","RSFPage","MNI/VOL01 13 15 5 23")</f>
        <v>28.67</v>
      </c>
    </row>
    <row r="15" customFormat="false" ht="12.75" hidden="false" customHeight="false" outlineLevel="0" collapsed="false">
      <c r="A15" s="1" t="str">
        <v>MAR01  7600=   28.50   648.30   657.87    MAY02   6850   24.17   776.14   776.14</v>
      </c>
      <c r="G15" s="8" t="str">
        <f aca="false">DDE("TWINDDE","RSFPage","MNI/VOL01 14 0 6 23")</f>
        <v>MAR01 </v>
      </c>
      <c r="H15" s="9" t="n">
        <v>8</v>
      </c>
      <c r="I15" s="9" t="str">
        <f aca="false">DDE("TWINDDE","RSFPage","MNI/VOL01 14 7 4 23")</f>
        <v>7600</v>
      </c>
      <c r="J15" s="10" t="str">
        <f aca="false">DDE("TWINDDE","RSFPage","MNI/VOL01 14 15 5 23")</f>
        <v>28.50</v>
      </c>
    </row>
    <row r="16" customFormat="false" ht="12.75" hidden="false" customHeight="false" outlineLevel="0" collapsed="false">
      <c r="A16" s="1" t="str">
        <v>APR01  7500=   28.00   675.41   661.13    JUN02   6850   24.17   779.14   801.13</v>
      </c>
      <c r="G16" s="8" t="str">
        <f aca="false">DDE("TWINDDE","RSFPage","MNI/VOL01 15 0 6 23")</f>
        <v>APR01 </v>
      </c>
      <c r="H16" s="9" t="n">
        <v>9</v>
      </c>
      <c r="I16" s="9" t="str">
        <f aca="false">DDE("TWINDDE","RSFPage","MNI/VOL01 15 7 4 23")</f>
        <v>7500</v>
      </c>
      <c r="J16" s="10" t="str">
        <f aca="false">DDE("TWINDDE","RSFPage","MNI/VOL01 15 15 5 23")</f>
        <v>28.00</v>
      </c>
    </row>
    <row r="17" customFormat="false" ht="12.75" hidden="false" customHeight="false" outlineLevel="0" collapsed="false">
      <c r="A17" s="1" t="str">
        <v>MAY01  7450=   27.83   685.07   694.54    JUL02   6800   24.17   797.46   797.46</v>
      </c>
      <c r="G17" s="8" t="str">
        <f aca="false">DDE("TWINDDE","RSFPage","MNI/VOL01 16 0 6 23")</f>
        <v>MAY01 </v>
      </c>
      <c r="H17" s="9" t="n">
        <v>10</v>
      </c>
      <c r="I17" s="9" t="str">
        <f aca="false">DDE("TWINDDE","RSFPage","MNI/VOL01 16 7 4 23")</f>
        <v>7450</v>
      </c>
      <c r="J17" s="10" t="str">
        <f aca="false">DDE("TWINDDE","RSFPage","MNI/VOL01 16 15 5 23")</f>
        <v>27.83</v>
      </c>
    </row>
    <row r="18" customFormat="false" ht="12.75" hidden="false" customHeight="false" outlineLevel="0" collapsed="false">
      <c r="A18" s="1" t="str">
        <v>JUN01  7350=   27.33   711.55   697.45    AUG02   6800   24.00   793.42   815.15</v>
      </c>
      <c r="G18" s="8" t="str">
        <f aca="false">DDE("TWINDDE","RSFPage","MNI/VOL01 17 0 6 23")</f>
        <v>JUN01 </v>
      </c>
      <c r="H18" s="9" t="n">
        <v>11</v>
      </c>
      <c r="I18" s="9" t="str">
        <f aca="false">DDE("TWINDDE","RSFPage","MNI/VOL01 17 7 4 23")</f>
        <v>7350</v>
      </c>
      <c r="J18" s="10" t="str">
        <f aca="false">DDE("TWINDDE","RSFPage","MNI/VOL01 17 15 5 23")</f>
        <v>27.33</v>
      </c>
    </row>
    <row r="19" customFormat="false" ht="12.75" hidden="false" customHeight="false" outlineLevel="0" collapsed="false">
      <c r="A19" s="1" t="str">
        <v>JUL01  7300=   26.50   700.34   705.02    SEP02   6750   24.00   810.24   810.24</v>
      </c>
      <c r="G19" s="8" t="str">
        <f aca="false">DDE("TWINDDE","RSFPage","MNI/VOL01 18 0 6 23")</f>
        <v>JUL01 </v>
      </c>
      <c r="H19" s="9" t="n">
        <v>12</v>
      </c>
      <c r="I19" s="9" t="str">
        <f aca="false">DDE("TWINDDE","RSFPage","MNI/VOL01 18 7 4 23")</f>
        <v>7300</v>
      </c>
      <c r="J19" s="10" t="str">
        <f aca="false">DDE("TWINDDE","RSFPage","MNI/VOL01 18 15 5 23")</f>
        <v>26.50</v>
      </c>
    </row>
    <row r="20" customFormat="false" ht="12.75" hidden="false" customHeight="false" outlineLevel="0" collapsed="false">
      <c r="A20" s="1" t="str">
        <v>AUG01  7250=   26.17   699.90   723.16    OCT02   6750   24.00   810.49   827.70</v>
      </c>
      <c r="G20" s="8" t="str">
        <f aca="false">DDE("TWINDDE","RSFPage","MNI/VOL01 19 0 6 23")</f>
        <v>AUG01 </v>
      </c>
      <c r="H20" s="9" t="n">
        <v>13</v>
      </c>
      <c r="I20" s="9" t="str">
        <f aca="false">DDE("TWINDDE","RSFPage","MNI/VOL01 19 7 4 23")</f>
        <v>7250</v>
      </c>
      <c r="J20" s="10" t="str">
        <f aca="false">DDE("TWINDDE","RSFPage","MNI/VOL01 19 15 5 23")</f>
        <v>26.17</v>
      </c>
    </row>
    <row r="21" customFormat="false" ht="12.75" hidden="false" customHeight="false" outlineLevel="0" collapsed="false">
      <c r="A21" s="1" t="str">
        <v>SEP01  7200=   26.17   722.25   745.35                                          </v>
      </c>
      <c r="G21" s="11" t="str">
        <f aca="false">DDE("TWINDDE","RSFPage","MNI/VOL01 20 0 6 23")</f>
        <v>SEP01 </v>
      </c>
      <c r="H21" s="12" t="n">
        <v>14</v>
      </c>
      <c r="I21" s="12" t="str">
        <f aca="false">DDE("TWINDDE","RSFPage","MNI/VOL01 20 7 4 23")</f>
        <v>7200</v>
      </c>
      <c r="J21" s="13" t="str">
        <f aca="false">DDE("TWINDDE","RSFPage","MNI/VOL01 20 15 5 23")</f>
        <v>26.17</v>
      </c>
    </row>
    <row r="22" customFormat="false" ht="12.75" hidden="false" customHeight="false" outlineLevel="0" collapsed="false">
      <c r="A22" s="1" t="str">
        <v>                                                                                </v>
      </c>
      <c r="G22" s="14" t="str">
        <f aca="false">DDE("TWINDDE","RSFPage","MNI/VOL01 7 40 7 23")</f>
        <v>  OCT01</v>
      </c>
      <c r="H22" s="6" t="n">
        <v>15</v>
      </c>
      <c r="I22" s="6" t="str">
        <f aca="false">DDE("TWINDDE","RSFPage","MNI/VOL01 7 50 4 23")</f>
        <v>7150</v>
      </c>
      <c r="J22" s="7" t="str">
        <f aca="false">DDE("TWINDDE","RSFPage","MNI/VOL01 7 57 5 23")</f>
        <v>25.67</v>
      </c>
    </row>
    <row r="23" customFormat="false" ht="12.75" hidden="false" customHeight="false" outlineLevel="0" collapsed="false">
      <c r="G23" s="15" t="str">
        <f aca="false">DDE("TWINDDE","RSFPage","MNI/VOL01 8 40 7 23")</f>
        <v>  NOV01</v>
      </c>
      <c r="H23" s="9" t="n">
        <v>16</v>
      </c>
      <c r="I23" s="9" t="str">
        <f aca="false">DDE("TWINDDE","RSFPage","MNI/VOL01 8 50 4 23")</f>
        <v>7100</v>
      </c>
      <c r="J23" s="10" t="str">
        <f aca="false">DDE("TWINDDE","RSFPage","MNI/VOL01 8 57 5 23")</f>
        <v>25.67</v>
      </c>
    </row>
    <row r="24" customFormat="false" ht="12.75" hidden="false" customHeight="false" outlineLevel="0" collapsed="false">
      <c r="G24" s="15" t="str">
        <f aca="false">DDE("TWINDDE","RSFPage","MNI/VOL01 9 40 7 23")</f>
        <v>  DEC01</v>
      </c>
      <c r="H24" s="9" t="n">
        <v>17</v>
      </c>
      <c r="I24" s="9" t="str">
        <f aca="false">DDE("TWINDDE","RSFPage","MNI/VOL01 9 50 4 23")</f>
        <v>7050</v>
      </c>
      <c r="J24" s="10" t="str">
        <f aca="false">DDE("TWINDDE","RSFPage","MNI/VOL01 9 57 5 23")</f>
        <v>25.67</v>
      </c>
    </row>
    <row r="25" customFormat="false" ht="12.75" hidden="false" customHeight="false" outlineLevel="0" collapsed="false">
      <c r="G25" s="15" t="str">
        <f aca="false">DDE("TWINDDE","RSFPage","MNI/VOL01 10 40 7 23")</f>
        <v>  JAN02</v>
      </c>
      <c r="H25" s="9" t="n">
        <v>18</v>
      </c>
      <c r="I25" s="9" t="str">
        <f aca="false">DDE("TWINDDE","RSFPage","MNI/VOL01 10 50 4 23")</f>
        <v>7000</v>
      </c>
      <c r="J25" s="10" t="str">
        <f aca="false">DDE("TWINDDE","RSFPage","MNI/VOL01 10 57 5 23")</f>
        <v>24.83</v>
      </c>
    </row>
    <row r="26" customFormat="false" ht="12.75" hidden="false" customHeight="false" outlineLevel="0" collapsed="false">
      <c r="G26" s="15" t="str">
        <f aca="false">DDE("TWINDDE","RSFPage","MNI/VOL01 11 40 7 23")</f>
        <v>  FEB02</v>
      </c>
      <c r="H26" s="9" t="n">
        <v>19</v>
      </c>
      <c r="I26" s="9" t="str">
        <f aca="false">DDE("TWINDDE","RSFPage","MNI/VOL01 11 50 4 23")</f>
        <v>6950</v>
      </c>
      <c r="J26" s="10" t="str">
        <f aca="false">DDE("TWINDDE","RSFPage","MNI/VOL01 11 57 5 23")</f>
        <v>24.83</v>
      </c>
    </row>
    <row r="27" customFormat="false" ht="12.75" hidden="false" customHeight="false" outlineLevel="0" collapsed="false">
      <c r="G27" s="15" t="str">
        <f aca="false">DDE("TWINDDE","RSFPage","MNI/VOL01 12 40 7 23")</f>
        <v>  MAR02</v>
      </c>
      <c r="H27" s="9" t="n">
        <v>20</v>
      </c>
      <c r="I27" s="9" t="str">
        <f aca="false">DDE("TWINDDE","RSFPage","MNI/VOL01 12 50 4 23")</f>
        <v>6900</v>
      </c>
      <c r="J27" s="10" t="str">
        <f aca="false">DDE("TWINDDE","RSFPage","MNI/VOL01 12 57 5 23")</f>
        <v>24.67</v>
      </c>
    </row>
    <row r="28" customFormat="false" ht="12.75" hidden="false" customHeight="false" outlineLevel="0" collapsed="false">
      <c r="G28" s="15" t="str">
        <f aca="false">DDE("TWINDDE","RSFPage","MNI/VOL01 13 40 7 23")</f>
        <v>  APR02</v>
      </c>
      <c r="H28" s="9" t="n">
        <v>21</v>
      </c>
      <c r="I28" s="9" t="str">
        <f aca="false">DDE("TWINDDE","RSFPage","MNI/VOL01 13 50 4 23")</f>
        <v>6900</v>
      </c>
      <c r="J28" s="10" t="str">
        <f aca="false">DDE("TWINDDE","RSFPage","MNI/VOL01 13 57 5 23")</f>
        <v>24.17</v>
      </c>
    </row>
    <row r="29" customFormat="false" ht="12.75" hidden="false" customHeight="false" outlineLevel="0" collapsed="false">
      <c r="G29" s="15" t="str">
        <f aca="false">DDE("TWINDDE","RSFPage","MNI/VOL01 14 40 7 23")</f>
        <v>  MAY02</v>
      </c>
      <c r="H29" s="9" t="n">
        <v>22</v>
      </c>
      <c r="I29" s="9" t="str">
        <f aca="false">DDE("TWINDDE","RSFPage","MNI/VOL01 14 50 4 23")</f>
        <v>6850</v>
      </c>
      <c r="J29" s="10" t="str">
        <f aca="false">DDE("TWINDDE","RSFPage","MNI/VOL01 14 57 5 23")</f>
        <v>24.17</v>
      </c>
    </row>
    <row r="30" customFormat="false" ht="12.75" hidden="false" customHeight="false" outlineLevel="0" collapsed="false">
      <c r="G30" s="15" t="str">
        <f aca="false">DDE("TWINDDE","RSFPage","MNI/VOL01 15 40 7 23")</f>
        <v>  JUN02</v>
      </c>
      <c r="H30" s="9" t="n">
        <v>23</v>
      </c>
      <c r="I30" s="9" t="str">
        <f aca="false">DDE("TWINDDE","RSFPage","MNI/VOL01 15 50 4 23")</f>
        <v>6850</v>
      </c>
      <c r="J30" s="10" t="str">
        <f aca="false">DDE("TWINDDE","RSFPage","MNI/VOL01 15 57 5 23")</f>
        <v>24.17</v>
      </c>
    </row>
    <row r="31" customFormat="false" ht="12.75" hidden="false" customHeight="false" outlineLevel="0" collapsed="false">
      <c r="G31" s="15" t="str">
        <f aca="false">DDE("TWINDDE","RSFPage","MNI/VOL01 16 40 7 23")</f>
        <v>  JUL02</v>
      </c>
      <c r="H31" s="9" t="n">
        <v>24</v>
      </c>
      <c r="I31" s="9" t="str">
        <f aca="false">DDE("TWINDDE","RSFPage","MNI/VOL01 16 50 4 23")</f>
        <v>6800</v>
      </c>
      <c r="J31" s="10" t="str">
        <f aca="false">DDE("TWINDDE","RSFPage","MNI/VOL01 16 57 5 23")</f>
        <v>24.17</v>
      </c>
    </row>
    <row r="32" customFormat="false" ht="12.75" hidden="false" customHeight="false" outlineLevel="0" collapsed="false">
      <c r="G32" s="16" t="str">
        <f aca="false">DDE("TWINDDE","RSFPage","MNI/VOL01 17 40 7 23")</f>
        <v>  AUG02</v>
      </c>
      <c r="H32" s="12" t="n">
        <v>25</v>
      </c>
      <c r="I32" s="12" t="str">
        <f aca="false">DDE("TWINDDE","RSFPage","MNI/VOL01 17 50 4 23")</f>
        <v>6800</v>
      </c>
      <c r="J32" s="13" t="str">
        <f aca="false">DDE("TWINDDE","RSFPage","MNI/VOL01 17 57 5 23")</f>
        <v>24.00</v>
      </c>
    </row>
  </sheetData>
  <printOptions headings="false" gridLines="false" gridLinesSet="true" horizontalCentered="true" verticalCentered="false"/>
  <pageMargins left="0.25" right="0.25" top="0.75" bottom="0.5" header="0.25" footer="0.511811023622047"/>
  <pageSetup paperSize="9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 &amp;D &amp;T</oddHeader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3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4.56"/>
    <col collapsed="false" customWidth="false" hidden="false" outlineLevel="0" max="3" min="2" style="1" width="9.14"/>
    <col collapsed="false" customWidth="true" hidden="false" outlineLevel="0" max="4" min="4" style="1" width="21.99"/>
    <col collapsed="false" customWidth="false" hidden="false" outlineLevel="0" max="257" min="5" style="1" width="9.14"/>
  </cols>
  <sheetData>
    <row r="1" customFormat="false" ht="12.75" hidden="false" customHeight="false" outlineLevel="0" collapsed="false">
      <c r="A1" s="1" t="str">
        <f aca="false" t="array" ref="A1:A22">DDE("TWINDDE","RSFPage","MZN/VOL01 0 0 80 23")</f>
        <v>13:32 24JUL00                                                          MZN/VOL01</v>
      </c>
    </row>
    <row r="2" customFormat="false" ht="12.75" hidden="false" customHeight="false" outlineLevel="0" collapsed="false">
      <c r="A2" s="1" t="str">
        <v>          LONDON METAL EXCHANGE SUMMARY                                         </v>
      </c>
    </row>
    <row r="3" customFormat="false" ht="12.75" hidden="false" customHeight="false" outlineLevel="0" collapsed="false">
      <c r="A3" s="1" t="str">
        <v>AT-THE-MONEY INDICATIVE OPTION CLOSING PREMIUMS &amp; VOLATILITIES - ZINC           </v>
      </c>
    </row>
    <row r="4" customFormat="false" ht="12.75" hidden="false" customHeight="false" outlineLevel="0" collapsed="false">
      <c r="A4" s="1" t="str">
        <v>                                                                                </v>
      </c>
    </row>
    <row r="5" customFormat="false" ht="12.75" hidden="false" customHeight="false" outlineLevel="0" collapsed="false">
      <c r="A5" s="1" t="str">
        <v>MONTH  STRIKE   VOL     CALL      PUT     MONTH  STRIKE   VOL     CALL      PUT </v>
      </c>
    </row>
    <row r="6" customFormat="false" ht="12.75" hidden="false" customHeight="false" outlineLevel="0" collapsed="false">
      <c r="A6" s="1" t="str">
        <v>================================================================================</v>
      </c>
    </row>
    <row r="7" customFormat="false" ht="12.75" hidden="false" customHeight="false" outlineLevel="0" collapsed="false">
      <c r="A7" s="1" t="str">
        <v>                                                                                </v>
      </c>
      <c r="G7" s="2" t="s">
        <v>0</v>
      </c>
      <c r="H7" s="3" t="s">
        <v>1</v>
      </c>
      <c r="I7" s="3" t="s">
        <v>2</v>
      </c>
      <c r="J7" s="4" t="s">
        <v>3</v>
      </c>
    </row>
    <row r="8" customFormat="false" ht="12.75" hidden="false" customHeight="false" outlineLevel="0" collapsed="false">
      <c r="A8" s="1" t="str">
        <v>AUG00  1150=   17.17    15.91    12.68    OCT01   1150   16.03    72.37    75.59</v>
      </c>
      <c r="G8" s="5" t="str">
        <f aca="false" t="array" ref="G8:G8">DDE("TWINDDE","RSFPage","MZN/VOL01 7 0 6 23")</f>
        <v>AUG00 </v>
      </c>
      <c r="H8" s="6" t="n">
        <v>1</v>
      </c>
      <c r="I8" s="6" t="str">
        <f aca="false">DDE("TWINDDE","RSFPage","MZN/VOL01 7 7 4 23")</f>
        <v>1150</v>
      </c>
      <c r="J8" s="7" t="str">
        <f aca="false">DDE("TWINDDE","RSFPage","MZN/VOL01 7 15 5 23")</f>
        <v>17.17</v>
      </c>
    </row>
    <row r="9" customFormat="false" ht="12.75" hidden="false" customHeight="false" outlineLevel="0" collapsed="false">
      <c r="A9" s="1" t="str">
        <v>SEP00  1150=   19.38    37.73    26.35    NOV01   1150   16.03    73.93    78.73</v>
      </c>
      <c r="G9" s="8" t="str">
        <f aca="false">DDE("TWINDDE","RSFPage","MZN/VOL01 8 0 6 23")</f>
        <v>SEP00 </v>
      </c>
      <c r="H9" s="9" t="n">
        <v>2</v>
      </c>
      <c r="I9" s="9" t="str">
        <f aca="false">DDE("TWINDDE","RSFPage","MZN/VOL01 8 7 4 23")</f>
        <v>1150</v>
      </c>
      <c r="J9" s="10" t="str">
        <f aca="false">DDE("TWINDDE","RSFPage","MZN/VOL01 8 15 5 23")</f>
        <v>19.38</v>
      </c>
    </row>
    <row r="10" customFormat="false" ht="12.75" hidden="false" customHeight="false" outlineLevel="0" collapsed="false">
      <c r="A10" s="1" t="str">
        <v>OCT00  1150=   18.50    44.26    32.45    DEC01   1150   15.82    73.90    80.26</v>
      </c>
      <c r="G10" s="8" t="str">
        <f aca="false">DDE("TWINDDE","RSFPage","MZN/VOL01 9 0 6 23")</f>
        <v>OCT00 </v>
      </c>
      <c r="H10" s="9" t="n">
        <v>3</v>
      </c>
      <c r="I10" s="9" t="str">
        <f aca="false">DDE("TWINDDE","RSFPage","MZN/VOL01 9 7 4 23")</f>
        <v>1150</v>
      </c>
      <c r="J10" s="10" t="str">
        <f aca="false">DDE("TWINDDE","RSFPage","MZN/VOL01 9 15 5 23")</f>
        <v>18.50</v>
      </c>
    </row>
    <row r="11" customFormat="false" ht="12.75" hidden="false" customHeight="false" outlineLevel="0" collapsed="false">
      <c r="A11" s="1" t="str">
        <v>NOV00  1175=   17.92    38.31    49.09    JAN02   1150   15.59    73.53    81.67</v>
      </c>
      <c r="G11" s="8" t="str">
        <f aca="false">DDE("TWINDDE","RSFPage","MZN/VOL01 10 0 6 23")</f>
        <v>NOV00 </v>
      </c>
      <c r="H11" s="9" t="n">
        <v>4</v>
      </c>
      <c r="I11" s="9" t="str">
        <f aca="false">DDE("TWINDDE","RSFPage","MZN/VOL01 10 7 4 23")</f>
        <v>1175</v>
      </c>
      <c r="J11" s="10" t="str">
        <f aca="false">DDE("TWINDDE","RSFPage","MZN/VOL01 10 15 5 23")</f>
        <v>17.92</v>
      </c>
    </row>
    <row r="12" customFormat="false" ht="12.75" hidden="false" customHeight="false" outlineLevel="0" collapsed="false">
      <c r="A12" s="1" t="str">
        <v>DEC00  1175=   17.46    44.04    53.77    FEB02   1150   15.59    74.62    84.50</v>
      </c>
      <c r="G12" s="8" t="str">
        <f aca="false">DDE("TWINDDE","RSFPage","MZN/VOL01 11 0 6 23")</f>
        <v>DEC00 </v>
      </c>
      <c r="H12" s="9" t="n">
        <v>5</v>
      </c>
      <c r="I12" s="9" t="str">
        <f aca="false">DDE("TWINDDE","RSFPage","MZN/VOL01 11 7 4 23")</f>
        <v>1175</v>
      </c>
      <c r="J12" s="10" t="str">
        <f aca="false">DDE("TWINDDE","RSFPage","MZN/VOL01 11 15 5 23")</f>
        <v>17.46</v>
      </c>
    </row>
    <row r="13" customFormat="false" ht="12.75" hidden="false" customHeight="false" outlineLevel="0" collapsed="false">
      <c r="A13" s="1" t="str">
        <v>JAN01  1175=   16.88    45.78    57.39    MAR02   1125   15.59    85.51    74.79</v>
      </c>
      <c r="G13" s="8" t="str">
        <f aca="false">DDE("TWINDDE","RSFPage","MZN/VOL01 12 0 6 23")</f>
        <v>JAN01 </v>
      </c>
      <c r="H13" s="9" t="n">
        <v>6</v>
      </c>
      <c r="I13" s="9" t="str">
        <f aca="false">DDE("TWINDDE","RSFPage","MZN/VOL01 12 7 4 23")</f>
        <v>1175</v>
      </c>
      <c r="J13" s="10" t="str">
        <f aca="false">DDE("TWINDDE","RSFPage","MZN/VOL01 12 15 5 23")</f>
        <v>16.88</v>
      </c>
    </row>
    <row r="14" customFormat="false" ht="12.75" hidden="false" customHeight="false" outlineLevel="0" collapsed="false">
      <c r="A14" s="1" t="str">
        <v>FEB01  1150=   16.77    60.60    50.02    APR02   1125   15.59    85.93    77.03</v>
      </c>
      <c r="G14" s="8" t="str">
        <f aca="false">DDE("TWINDDE","RSFPage","MZN/VOL01 13 0 6 23")</f>
        <v>FEB01 </v>
      </c>
      <c r="H14" s="9" t="n">
        <v>7</v>
      </c>
      <c r="I14" s="9" t="str">
        <f aca="false">DDE("TWINDDE","RSFPage","MZN/VOL01 13 7 4 23")</f>
        <v>1150</v>
      </c>
      <c r="J14" s="10" t="str">
        <f aca="false">DDE("TWINDDE","RSFPage","MZN/VOL01 13 15 5 23")</f>
        <v>16.77</v>
      </c>
    </row>
    <row r="15" customFormat="false" ht="12.75" hidden="false" customHeight="false" outlineLevel="0" collapsed="false">
      <c r="A15" s="1" t="str">
        <v>MAR01  1150=   16.72    62.73    54.12    MAY02   1125   15.59    86.31    79.23</v>
      </c>
      <c r="G15" s="8" t="str">
        <f aca="false">DDE("TWINDDE","RSFPage","MZN/VOL01 14 0 6 23")</f>
        <v>MAR01 </v>
      </c>
      <c r="H15" s="9" t="n">
        <v>8</v>
      </c>
      <c r="I15" s="9" t="str">
        <f aca="false">DDE("TWINDDE","RSFPage","MZN/VOL01 14 7 4 23")</f>
        <v>1150</v>
      </c>
      <c r="J15" s="10" t="str">
        <f aca="false">DDE("TWINDDE","RSFPage","MZN/VOL01 14 15 5 23")</f>
        <v>16.72</v>
      </c>
    </row>
    <row r="16" customFormat="false" ht="12.75" hidden="false" customHeight="false" outlineLevel="0" collapsed="false">
      <c r="A16" s="1" t="str">
        <v>APR01  1150=   16.50    63.98    57.32    JUN02   1125   15.57    86.85    81.58</v>
      </c>
      <c r="G16" s="8" t="str">
        <f aca="false">DDE("TWINDDE","RSFPage","MZN/VOL01 15 0 6 23")</f>
        <v>APR01 </v>
      </c>
      <c r="H16" s="9" t="n">
        <v>9</v>
      </c>
      <c r="I16" s="9" t="str">
        <f aca="false">DDE("TWINDDE","RSFPage","MZN/VOL01 15 7 4 23")</f>
        <v>1150</v>
      </c>
      <c r="J16" s="10" t="str">
        <f aca="false">DDE("TWINDDE","RSFPage","MZN/VOL01 15 15 5 23")</f>
        <v>16.50</v>
      </c>
    </row>
    <row r="17" customFormat="false" ht="12.75" hidden="false" customHeight="false" outlineLevel="0" collapsed="false">
      <c r="A17" s="1" t="str">
        <v>MAY01  1150=   16.50    65.94    60.96    JUL02   1125   15.50    86.75    83.26</v>
      </c>
      <c r="G17" s="8" t="str">
        <f aca="false">DDE("TWINDDE","RSFPage","MZN/VOL01 16 0 6 23")</f>
        <v>MAY01 </v>
      </c>
      <c r="H17" s="9" t="n">
        <v>10</v>
      </c>
      <c r="I17" s="9" t="str">
        <f aca="false">DDE("TWINDDE","RSFPage","MZN/VOL01 16 7 4 23")</f>
        <v>1150</v>
      </c>
      <c r="J17" s="10" t="str">
        <f aca="false">DDE("TWINDDE","RSFPage","MZN/VOL01 16 15 5 23")</f>
        <v>16.50</v>
      </c>
    </row>
    <row r="18" customFormat="false" ht="12.75" hidden="false" customHeight="false" outlineLevel="0" collapsed="false">
      <c r="A18" s="1" t="str">
        <v>JUN01  1150=   16.50    68.35    65.06    AUG02   1125   15.50    87.28    85.55</v>
      </c>
      <c r="G18" s="8" t="str">
        <f aca="false">DDE("TWINDDE","RSFPage","MZN/VOL01 17 0 6 23")</f>
        <v>JUN01 </v>
      </c>
      <c r="H18" s="9" t="n">
        <v>11</v>
      </c>
      <c r="I18" s="9" t="str">
        <f aca="false">DDE("TWINDDE","RSFPage","MZN/VOL01 17 7 4 23")</f>
        <v>1150</v>
      </c>
      <c r="J18" s="10" t="str">
        <f aca="false">DDE("TWINDDE","RSFPage","MZN/VOL01 17 15 5 23")</f>
        <v>16.50</v>
      </c>
    </row>
    <row r="19" customFormat="false" ht="12.75" hidden="false" customHeight="false" outlineLevel="0" collapsed="false">
      <c r="A19" s="1" t="str">
        <v>JUL01  1150=   16.23    68.81    67.17    SEP02   1125   15.40    86.91    86.92</v>
      </c>
      <c r="G19" s="8" t="str">
        <f aca="false">DDE("TWINDDE","RSFPage","MZN/VOL01 18 0 6 23")</f>
        <v>JUL01 </v>
      </c>
      <c r="H19" s="9" t="n">
        <v>12</v>
      </c>
      <c r="I19" s="9" t="str">
        <f aca="false">DDE("TWINDDE","RSFPage","MZN/VOL01 18 7 4 23")</f>
        <v>1150</v>
      </c>
      <c r="J19" s="10" t="str">
        <f aca="false">DDE("TWINDDE","RSFPage","MZN/VOL01 18 15 5 23")</f>
        <v>16.23</v>
      </c>
    </row>
    <row r="20" customFormat="false" ht="12.75" hidden="false" customHeight="false" outlineLevel="0" collapsed="false">
      <c r="A20" s="1" t="str">
        <v>AUG01  1150=   16.23    70.24    70.24    OCT02   1125   15.40    87.06    88.78</v>
      </c>
      <c r="G20" s="8" t="str">
        <f aca="false">DDE("TWINDDE","RSFPage","MZN/VOL01 19 0 6 23")</f>
        <v>AUG01 </v>
      </c>
      <c r="H20" s="9" t="n">
        <v>13</v>
      </c>
      <c r="I20" s="9" t="str">
        <f aca="false">DDE("TWINDDE","RSFPage","MZN/VOL01 19 7 4 23")</f>
        <v>1150</v>
      </c>
      <c r="J20" s="10" t="str">
        <f aca="false">DDE("TWINDDE","RSFPage","MZN/VOL01 19 15 5 23")</f>
        <v>16.23</v>
      </c>
    </row>
    <row r="21" customFormat="false" ht="12.75" hidden="false" customHeight="false" outlineLevel="0" collapsed="false">
      <c r="A21" s="1" t="str">
        <v>SEP01  1150=   16.23    72.09    73.71                                          </v>
      </c>
      <c r="G21" s="11" t="str">
        <f aca="false">DDE("TWINDDE","RSFPage","MZN/VOL01 20 0 6 23")</f>
        <v>SEP01 </v>
      </c>
      <c r="H21" s="12" t="n">
        <v>14</v>
      </c>
      <c r="I21" s="12" t="str">
        <f aca="false">DDE("TWINDDE","RSFPage","MZN/VOL01 20 7 4 23")</f>
        <v>1150</v>
      </c>
      <c r="J21" s="13" t="str">
        <f aca="false">DDE("TWINDDE","RSFPage","MZN/VOL01 20 15 5 23")</f>
        <v>16.23</v>
      </c>
    </row>
    <row r="22" customFormat="false" ht="12.75" hidden="false" customHeight="false" outlineLevel="0" collapsed="false">
      <c r="A22" s="1" t="str">
        <v>                                                                                </v>
      </c>
      <c r="G22" s="14" t="str">
        <f aca="false">DDE("TWINDDE","RSFPage","MZN/VOL01 7 40 7 23")</f>
        <v>  OCT01</v>
      </c>
      <c r="H22" s="6" t="n">
        <v>15</v>
      </c>
      <c r="I22" s="6" t="str">
        <f aca="false">DDE("TWINDDE","RSFPage","MZN/VOL01 7 50 4 23")</f>
        <v>1150</v>
      </c>
      <c r="J22" s="7" t="str">
        <f aca="false">DDE("TWINDDE","RSFPage","MZN/VOL01 7 57 5 23")</f>
        <v>16.03</v>
      </c>
    </row>
    <row r="23" customFormat="false" ht="12.75" hidden="false" customHeight="false" outlineLevel="0" collapsed="false">
      <c r="G23" s="15" t="str">
        <f aca="false">DDE("TWINDDE","RSFPage","MZN/VOL01 8 40 7 23")</f>
        <v>  NOV01</v>
      </c>
      <c r="H23" s="9" t="n">
        <v>16</v>
      </c>
      <c r="I23" s="9" t="str">
        <f aca="false">DDE("TWINDDE","RSFPage","MZN/VOL01 8 50 4 23")</f>
        <v>1150</v>
      </c>
      <c r="J23" s="10" t="str">
        <f aca="false">DDE("TWINDDE","RSFPage","MZN/VOL01 8 57 5 23")</f>
        <v>16.03</v>
      </c>
    </row>
    <row r="24" customFormat="false" ht="12.75" hidden="false" customHeight="false" outlineLevel="0" collapsed="false">
      <c r="G24" s="15" t="str">
        <f aca="false">DDE("TWINDDE","RSFPage","MZN/VOL01 9 40 7 23")</f>
        <v>  DEC01</v>
      </c>
      <c r="H24" s="9" t="n">
        <v>17</v>
      </c>
      <c r="I24" s="9" t="str">
        <f aca="false">DDE("TWINDDE","RSFPage","MZN/VOL01 9 50 4 23")</f>
        <v>1150</v>
      </c>
      <c r="J24" s="10" t="str">
        <f aca="false">DDE("TWINDDE","RSFPage","MZN/VOL01 9 57 5 23")</f>
        <v>15.82</v>
      </c>
    </row>
    <row r="25" customFormat="false" ht="12.75" hidden="false" customHeight="false" outlineLevel="0" collapsed="false">
      <c r="G25" s="15" t="str">
        <f aca="false">DDE("TWINDDE","RSFPage","MZN/VOL01 10 40 7 23")</f>
        <v>  JAN02</v>
      </c>
      <c r="H25" s="9" t="n">
        <v>18</v>
      </c>
      <c r="I25" s="9" t="str">
        <f aca="false">DDE("TWINDDE","RSFPage","MZN/VOL01 10 50 4 23")</f>
        <v>1150</v>
      </c>
      <c r="J25" s="10" t="str">
        <f aca="false">DDE("TWINDDE","RSFPage","MZN/VOL01 10 57 5 23")</f>
        <v>15.59</v>
      </c>
    </row>
    <row r="26" customFormat="false" ht="12.75" hidden="false" customHeight="false" outlineLevel="0" collapsed="false">
      <c r="G26" s="15" t="str">
        <f aca="false">DDE("TWINDDE","RSFPage","MZN/VOL01 11 40 7 23")</f>
        <v>  FEB02</v>
      </c>
      <c r="H26" s="9" t="n">
        <v>19</v>
      </c>
      <c r="I26" s="9" t="str">
        <f aca="false">DDE("TWINDDE","RSFPage","MZN/VOL01 11 50 4 23")</f>
        <v>1150</v>
      </c>
      <c r="J26" s="10" t="str">
        <f aca="false">DDE("TWINDDE","RSFPage","MZN/VOL01 11 57 5 23")</f>
        <v>15.59</v>
      </c>
    </row>
    <row r="27" customFormat="false" ht="12.75" hidden="false" customHeight="false" outlineLevel="0" collapsed="false">
      <c r="G27" s="15" t="str">
        <f aca="false">DDE("TWINDDE","RSFPage","MZN/VOL01 12 40 7 23")</f>
        <v>  MAR02</v>
      </c>
      <c r="H27" s="9" t="n">
        <v>20</v>
      </c>
      <c r="I27" s="9" t="str">
        <f aca="false">DDE("TWINDDE","RSFPage","MZN/VOL01 12 50 4 23")</f>
        <v>1125</v>
      </c>
      <c r="J27" s="10" t="str">
        <f aca="false">DDE("TWINDDE","RSFPage","MZN/VOL01 12 57 5 23")</f>
        <v>15.59</v>
      </c>
    </row>
    <row r="28" customFormat="false" ht="12.75" hidden="false" customHeight="false" outlineLevel="0" collapsed="false">
      <c r="G28" s="15" t="str">
        <f aca="false">DDE("TWINDDE","RSFPage","MZN/VOL01 13 40 7 23")</f>
        <v>  APR02</v>
      </c>
      <c r="H28" s="9" t="n">
        <v>21</v>
      </c>
      <c r="I28" s="9" t="str">
        <f aca="false">DDE("TWINDDE","RSFPage","MZN/VOL01 13 50 4 23")</f>
        <v>1125</v>
      </c>
      <c r="J28" s="10" t="str">
        <f aca="false">DDE("TWINDDE","RSFPage","MZN/VOL01 13 57 5 23")</f>
        <v>15.59</v>
      </c>
    </row>
    <row r="29" customFormat="false" ht="12.75" hidden="false" customHeight="false" outlineLevel="0" collapsed="false">
      <c r="G29" s="15" t="str">
        <f aca="false">DDE("TWINDDE","RSFPage","MZN/VOL01 14 40 7 23")</f>
        <v>  MAY02</v>
      </c>
      <c r="H29" s="9" t="n">
        <v>22</v>
      </c>
      <c r="I29" s="9" t="str">
        <f aca="false">DDE("TWINDDE","RSFPage","MZN/VOL01 14 50 4 23")</f>
        <v>1125</v>
      </c>
      <c r="J29" s="10" t="str">
        <f aca="false">DDE("TWINDDE","RSFPage","MZN/VOL01 14 57 5 23")</f>
        <v>15.59</v>
      </c>
    </row>
    <row r="30" customFormat="false" ht="12.75" hidden="false" customHeight="false" outlineLevel="0" collapsed="false">
      <c r="G30" s="15" t="str">
        <f aca="false">DDE("TWINDDE","RSFPage","MZN/VOL01 15 40 7 23")</f>
        <v>  JUN02</v>
      </c>
      <c r="H30" s="9" t="n">
        <v>23</v>
      </c>
      <c r="I30" s="9" t="str">
        <f aca="false">DDE("TWINDDE","RSFPage","MZN/VOL01 15 50 4 23")</f>
        <v>1125</v>
      </c>
      <c r="J30" s="10" t="str">
        <f aca="false">DDE("TWINDDE","RSFPage","MZN/VOL01 15 57 5 23")</f>
        <v>15.57</v>
      </c>
    </row>
    <row r="31" customFormat="false" ht="12.75" hidden="false" customHeight="false" outlineLevel="0" collapsed="false">
      <c r="G31" s="15" t="str">
        <f aca="false">DDE("TWINDDE","RSFPage","MZN/VOL01 16 40 7 23")</f>
        <v>  JUL02</v>
      </c>
      <c r="H31" s="9" t="n">
        <v>24</v>
      </c>
      <c r="I31" s="9" t="str">
        <f aca="false">DDE("TWINDDE","RSFPage","MZN/VOL01 16 50 4 23")</f>
        <v>1125</v>
      </c>
      <c r="J31" s="10" t="str">
        <f aca="false">DDE("TWINDDE","RSFPage","MZN/VOL01 16 57 5 23")</f>
        <v>15.50</v>
      </c>
    </row>
    <row r="32" customFormat="false" ht="12.75" hidden="false" customHeight="false" outlineLevel="0" collapsed="false">
      <c r="G32" s="16" t="str">
        <f aca="false">DDE("TWINDDE","RSFPage","MZN/VOL01 17 40 7 23")</f>
        <v>  AUG02</v>
      </c>
      <c r="H32" s="12" t="n">
        <v>25</v>
      </c>
      <c r="I32" s="12" t="str">
        <f aca="false">DDE("TWINDDE","RSFPage","MZN/VOL01 17 50 4 23")</f>
        <v>1125</v>
      </c>
      <c r="J32" s="13" t="str">
        <f aca="false">DDE("TWINDDE","RSFPage","MZN/VOL01 17 57 5 23")</f>
        <v>15.50</v>
      </c>
    </row>
  </sheetData>
  <printOptions headings="false" gridLines="false" gridLinesSet="true" horizontalCentered="true" verticalCentered="false"/>
  <pageMargins left="0.25" right="0.25" top="0.75" bottom="0.5" header="0.25" footer="0.511811023622047"/>
  <pageSetup paperSize="9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 &amp;D &amp;T</oddHeader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3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4.56"/>
    <col collapsed="false" customWidth="false" hidden="false" outlineLevel="0" max="3" min="2" style="1" width="9.14"/>
    <col collapsed="false" customWidth="true" hidden="false" outlineLevel="0" max="4" min="4" style="1" width="21.99"/>
    <col collapsed="false" customWidth="false" hidden="false" outlineLevel="0" max="257" min="5" style="1" width="9.14"/>
  </cols>
  <sheetData>
    <row r="1" customFormat="false" ht="12.75" hidden="false" customHeight="false" outlineLevel="0" collapsed="false">
      <c r="A1" s="1" t="str">
        <f aca="false" t="array" ref="A1:A22">DDE("TWINDDE","RSFPage","MPB/VOL01 0 0 80 23")</f>
        <v>18:19 21JUL00                                                          MPB/VOL01</v>
      </c>
    </row>
    <row r="2" customFormat="false" ht="12.75" hidden="false" customHeight="false" outlineLevel="0" collapsed="false">
      <c r="A2" s="1" t="str">
        <v>          LONDON METAL EXCHANGE SUMMARY                                         </v>
      </c>
    </row>
    <row r="3" customFormat="false" ht="12.75" hidden="false" customHeight="false" outlineLevel="0" collapsed="false">
      <c r="A3" s="1" t="str">
        <v>AT-THE-MONEY INDICATIVE OPTION CLOSING PREMIUMS &amp; VOLATILITIES - LEAD           </v>
      </c>
    </row>
    <row r="4" customFormat="false" ht="12.75" hidden="false" customHeight="false" outlineLevel="0" collapsed="false">
      <c r="A4" s="1" t="str">
        <v>                                                                                </v>
      </c>
    </row>
    <row r="5" customFormat="false" ht="12.75" hidden="false" customHeight="false" outlineLevel="0" collapsed="false">
      <c r="A5" s="1" t="str">
        <v>MONTH  STRIKE   VOL     CALL      PUT     MONTH  STRIKE   VOL     CALL      PUT </v>
      </c>
    </row>
    <row r="6" customFormat="false" ht="12.75" hidden="false" customHeight="false" outlineLevel="0" collapsed="false">
      <c r="A6" s="1" t="str">
        <v>================================================================================</v>
      </c>
    </row>
    <row r="7" customFormat="false" ht="12.75" hidden="false" customHeight="false" outlineLevel="0" collapsed="false">
      <c r="A7" s="1" t="str">
        <v>                                                                                </v>
      </c>
      <c r="G7" s="2" t="s">
        <v>0</v>
      </c>
      <c r="H7" s="3" t="s">
        <v>1</v>
      </c>
      <c r="I7" s="3" t="s">
        <v>2</v>
      </c>
      <c r="J7" s="4" t="s">
        <v>3</v>
      </c>
    </row>
    <row r="8" customFormat="false" ht="12.75" hidden="false" customHeight="false" outlineLevel="0" collapsed="false">
      <c r="A8" s="1" t="str">
        <v>AUG00    475   20.50     2.53    14.47                                          </v>
      </c>
      <c r="G8" s="5" t="str">
        <f aca="false" t="array" ref="G8:G8">DDE("TWINDDE","RSFPage","MPB/VOL01 7 0 6 23")</f>
        <v>AUG00 </v>
      </c>
      <c r="H8" s="6" t="n">
        <v>1</v>
      </c>
      <c r="I8" s="6" t="str">
        <f aca="false">DDE("TWINDDE","RSFPage","MPB/VOL01 7 7 4 23")</f>
        <v>  47</v>
      </c>
      <c r="J8" s="7" t="str">
        <f aca="false">DDE("TWINDDE","RSFPage","MPB/VOL01 7 15 5 23")</f>
        <v>20.50</v>
      </c>
    </row>
    <row r="9" customFormat="false" ht="12.75" hidden="false" customHeight="false" outlineLevel="0" collapsed="false">
      <c r="A9" s="1" t="str">
        <v>SEP00    475   21.00    10.09    18.74                                          </v>
      </c>
      <c r="G9" s="8" t="str">
        <f aca="false">DDE("TWINDDE","RSFPage","MPB/VOL01 8 0 6 23")</f>
        <v>SEP00 </v>
      </c>
      <c r="H9" s="9" t="n">
        <v>2</v>
      </c>
      <c r="I9" s="9" t="str">
        <f aca="false">DDE("TWINDDE","RSFPage","MPB/VOL01 8 7 4 23")</f>
        <v>  47</v>
      </c>
      <c r="J9" s="10" t="str">
        <f aca="false">DDE("TWINDDE","RSFPage","MPB/VOL01 8 15 5 23")</f>
        <v>21.00</v>
      </c>
    </row>
    <row r="10" customFormat="false" ht="12.75" hidden="false" customHeight="false" outlineLevel="0" collapsed="false">
      <c r="A10" s="1" t="str">
        <v>OCT00    475   20.83    14.25    21.14                                          </v>
      </c>
      <c r="G10" s="8" t="str">
        <f aca="false">DDE("TWINDDE","RSFPage","MPB/VOL01 9 0 6 23")</f>
        <v>OCT00 </v>
      </c>
      <c r="H10" s="9" t="n">
        <v>3</v>
      </c>
      <c r="I10" s="9" t="str">
        <f aca="false">DDE("TWINDDE","RSFPage","MPB/VOL01 9 7 4 23")</f>
        <v>  47</v>
      </c>
      <c r="J10" s="10" t="str">
        <f aca="false">DDE("TWINDDE","RSFPage","MPB/VOL01 9 15 5 23")</f>
        <v>20.83</v>
      </c>
    </row>
    <row r="11" customFormat="false" ht="12.75" hidden="false" customHeight="false" outlineLevel="0" collapsed="false">
      <c r="A11" s="1" t="str">
        <v>NOV00    475   20.67    18.63    22.05                                          </v>
      </c>
      <c r="G11" s="8" t="str">
        <f aca="false">DDE("TWINDDE","RSFPage","MPB/VOL01 10 0 6 23")</f>
        <v>NOV00 </v>
      </c>
      <c r="H11" s="9" t="n">
        <v>4</v>
      </c>
      <c r="I11" s="9" t="str">
        <f aca="false">DDE("TWINDDE","RSFPage","MPB/VOL01 10 7 4 23")</f>
        <v>  47</v>
      </c>
      <c r="J11" s="10" t="str">
        <f aca="false">DDE("TWINDDE","RSFPage","MPB/VOL01 10 15 5 23")</f>
        <v>20.67</v>
      </c>
    </row>
    <row r="12" customFormat="false" ht="12.75" hidden="false" customHeight="false" outlineLevel="0" collapsed="false">
      <c r="A12" s="1" t="str">
        <v>DEC00    475   20.67    22.42    24.36                                          </v>
      </c>
      <c r="G12" s="8" t="str">
        <f aca="false">DDE("TWINDDE","RSFPage","MPB/VOL01 11 0 6 23")</f>
        <v>DEC00 </v>
      </c>
      <c r="H12" s="9" t="n">
        <v>5</v>
      </c>
      <c r="I12" s="9" t="str">
        <f aca="false">DDE("TWINDDE","RSFPage","MPB/VOL01 11 7 4 23")</f>
        <v>  47</v>
      </c>
      <c r="J12" s="10" t="str">
        <f aca="false">DDE("TWINDDE","RSFPage","MPB/VOL01 11 15 5 23")</f>
        <v>20.67</v>
      </c>
    </row>
    <row r="13" customFormat="false" ht="12.75" hidden="false" customHeight="false" outlineLevel="0" collapsed="false">
      <c r="A13" s="1" t="str">
        <v>JAN01    475   18.83    23.16    23.40                                          </v>
      </c>
      <c r="G13" s="8" t="str">
        <f aca="false">DDE("TWINDDE","RSFPage","MPB/VOL01 12 0 6 23")</f>
        <v>JAN01 </v>
      </c>
      <c r="H13" s="9" t="n">
        <v>6</v>
      </c>
      <c r="I13" s="9" t="str">
        <f aca="false">DDE("TWINDDE","RSFPage","MPB/VOL01 12 7 4 23")</f>
        <v>  47</v>
      </c>
      <c r="J13" s="10" t="str">
        <f aca="false">DDE("TWINDDE","RSFPage","MPB/VOL01 12 15 5 23")</f>
        <v>18.83</v>
      </c>
    </row>
    <row r="14" customFormat="false" ht="12.75" hidden="false" customHeight="false" outlineLevel="0" collapsed="false">
      <c r="A14" s="1" t="str">
        <v>FEB01    475   18.83    26.22    24.77                                          </v>
      </c>
      <c r="G14" s="8" t="str">
        <f aca="false">DDE("TWINDDE","RSFPage","MPB/VOL01 13 0 6 23")</f>
        <v>FEB01 </v>
      </c>
      <c r="H14" s="9" t="n">
        <v>7</v>
      </c>
      <c r="I14" s="9" t="str">
        <f aca="false">DDE("TWINDDE","RSFPage","MPB/VOL01 13 7 4 23")</f>
        <v>  47</v>
      </c>
      <c r="J14" s="10" t="str">
        <f aca="false">DDE("TWINDDE","RSFPage","MPB/VOL01 13 15 5 23")</f>
        <v>18.83</v>
      </c>
    </row>
    <row r="15" customFormat="false" ht="12.75" hidden="false" customHeight="false" outlineLevel="0" collapsed="false">
      <c r="A15" s="1" t="str">
        <v>MAR01    475   18.50    27.96    25.33                                          </v>
      </c>
      <c r="G15" s="8" t="str">
        <f aca="false">DDE("TWINDDE","RSFPage","MPB/VOL01 14 0 6 23")</f>
        <v>MAR01 </v>
      </c>
      <c r="H15" s="9" t="n">
        <v>8</v>
      </c>
      <c r="I15" s="9" t="str">
        <f aca="false">DDE("TWINDDE","RSFPage","MPB/VOL01 14 7 4 23")</f>
        <v>  47</v>
      </c>
      <c r="J15" s="10" t="str">
        <f aca="false">DDE("TWINDDE","RSFPage","MPB/VOL01 14 15 5 23")</f>
        <v>18.50</v>
      </c>
    </row>
    <row r="16" customFormat="false" ht="12.75" hidden="false" customHeight="false" outlineLevel="0" collapsed="false">
      <c r="A16" s="1" t="str">
        <v>APR01    475   18.50    30.03    26.23                                          </v>
      </c>
      <c r="G16" s="8" t="str">
        <f aca="false">DDE("TWINDDE","RSFPage","MPB/VOL01 15 0 6 23")</f>
        <v>APR01 </v>
      </c>
      <c r="H16" s="9" t="n">
        <v>9</v>
      </c>
      <c r="I16" s="9" t="str">
        <f aca="false">DDE("TWINDDE","RSFPage","MPB/VOL01 15 7 4 23")</f>
        <v>  47</v>
      </c>
      <c r="J16" s="10" t="str">
        <f aca="false">DDE("TWINDDE","RSFPage","MPB/VOL01 15 15 5 23")</f>
        <v>18.50</v>
      </c>
    </row>
    <row r="17" customFormat="false" ht="12.75" hidden="false" customHeight="false" outlineLevel="0" collapsed="false">
      <c r="A17" s="1" t="str">
        <v>MAY01    475   18.17    31.49    26.52                                          </v>
      </c>
      <c r="G17" s="8" t="str">
        <f aca="false">DDE("TWINDDE","RSFPage","MPB/VOL01 16 0 6 23")</f>
        <v>MAY01 </v>
      </c>
      <c r="H17" s="9" t="n">
        <v>10</v>
      </c>
      <c r="I17" s="9" t="str">
        <f aca="false">DDE("TWINDDE","RSFPage","MPB/VOL01 16 7 4 23")</f>
        <v>  47</v>
      </c>
      <c r="J17" s="10" t="str">
        <f aca="false">DDE("TWINDDE","RSFPage","MPB/VOL01 16 15 5 23")</f>
        <v>18.17</v>
      </c>
    </row>
    <row r="18" customFormat="false" ht="12.75" hidden="false" customHeight="false" outlineLevel="0" collapsed="false">
      <c r="A18" s="1" t="str">
        <v>JUN01    475   18.17    33.64    27.53                                          </v>
      </c>
      <c r="G18" s="8" t="str">
        <f aca="false">DDE("TWINDDE","RSFPage","MPB/VOL01 17 0 6 23")</f>
        <v>JUN01 </v>
      </c>
      <c r="H18" s="9" t="n">
        <v>11</v>
      </c>
      <c r="I18" s="9" t="str">
        <f aca="false">DDE("TWINDDE","RSFPage","MPB/VOL01 17 7 4 23")</f>
        <v>  47</v>
      </c>
      <c r="J18" s="10" t="str">
        <f aca="false">DDE("TWINDDE","RSFPage","MPB/VOL01 17 15 5 23")</f>
        <v>18.17</v>
      </c>
    </row>
    <row r="19" customFormat="false" ht="12.75" hidden="false" customHeight="false" outlineLevel="0" collapsed="false">
      <c r="A19" s="1" t="str">
        <v>JUL01    475   18.00    35.13    27.88                                          </v>
      </c>
      <c r="G19" s="8" t="str">
        <f aca="false">DDE("TWINDDE","RSFPage","MPB/VOL01 18 0 6 23")</f>
        <v>JUL01 </v>
      </c>
      <c r="H19" s="9" t="n">
        <v>12</v>
      </c>
      <c r="I19" s="9" t="str">
        <f aca="false">DDE("TWINDDE","RSFPage","MPB/VOL01 18 7 4 23")</f>
        <v>  47</v>
      </c>
      <c r="J19" s="10" t="str">
        <f aca="false">DDE("TWINDDE","RSFPage","MPB/VOL01 18 15 5 23")</f>
        <v>18.00</v>
      </c>
    </row>
    <row r="20" customFormat="false" ht="12.75" hidden="false" customHeight="false" outlineLevel="0" collapsed="false">
      <c r="A20" s="1" t="str">
        <v>AUG01    475   18.00    36.83    28.45                                          </v>
      </c>
      <c r="G20" s="8" t="str">
        <f aca="false">DDE("TWINDDE","RSFPage","MPB/VOL01 19 0 6 23")</f>
        <v>AUG01 </v>
      </c>
      <c r="H20" s="9" t="n">
        <v>13</v>
      </c>
      <c r="I20" s="9" t="str">
        <f aca="false">DDE("TWINDDE","RSFPage","MPB/VOL01 19 7 4 23")</f>
        <v>  47</v>
      </c>
      <c r="J20" s="10" t="str">
        <f aca="false">DDE("TWINDDE","RSFPage","MPB/VOL01 19 15 5 23")</f>
        <v>18.00</v>
      </c>
    </row>
    <row r="21" customFormat="false" ht="12.75" hidden="false" customHeight="false" outlineLevel="0" collapsed="false">
      <c r="A21" s="1" t="str">
        <v>SEP01    475   18.00    38.45    29.44                                          </v>
      </c>
      <c r="G21" s="11" t="str">
        <f aca="false">DDE("TWINDDE","RSFPage","MPB/VOL01 20 0 6 23")</f>
        <v>SEP01 </v>
      </c>
      <c r="H21" s="12" t="n">
        <v>14</v>
      </c>
      <c r="I21" s="12" t="str">
        <f aca="false">DDE("TWINDDE","RSFPage","MPB/VOL01 20 7 4 23")</f>
        <v>  47</v>
      </c>
      <c r="J21" s="13" t="str">
        <f aca="false">DDE("TWINDDE","RSFPage","MPB/VOL01 20 15 5 23")</f>
        <v>18.00</v>
      </c>
    </row>
    <row r="22" customFormat="false" ht="12.75" hidden="false" customHeight="false" outlineLevel="0" collapsed="false">
      <c r="A22" s="1" t="str">
        <v>OCT01    475   18.00    39.63    30.21                                          </v>
      </c>
      <c r="G22" s="14" t="str">
        <f aca="false">DDE("TWINDDE","RSFPage","MPB/VOL01 7 40 7 23")</f>
        <v>       </v>
      </c>
      <c r="H22" s="6" t="n">
        <v>15</v>
      </c>
      <c r="I22" s="6" t="str">
        <f aca="false">DDE("TWINDDE","RSFPage","MPB/VOL01 7 50 4 23")</f>
        <v>    </v>
      </c>
      <c r="J22" s="7" t="str">
        <f aca="false">DDE("TWINDDE","RSFPage","MPB/VOL01 7 57 5 23")</f>
        <v>     </v>
      </c>
    </row>
    <row r="23" customFormat="false" ht="12.75" hidden="false" customHeight="false" outlineLevel="0" collapsed="false">
      <c r="G23" s="15" t="str">
        <f aca="false">DDE("TWINDDE","RSFPage","MPB/VOL01 8 40 7 23")</f>
        <v>       </v>
      </c>
      <c r="H23" s="9" t="n">
        <v>16</v>
      </c>
      <c r="I23" s="9" t="str">
        <f aca="false">DDE("TWINDDE","RSFPage","MPB/VOL01 8 50 4 23")</f>
        <v>    </v>
      </c>
      <c r="J23" s="10" t="str">
        <f aca="false">DDE("TWINDDE","RSFPage","MPB/VOL01 8 57 5 23")</f>
        <v>     </v>
      </c>
    </row>
    <row r="24" customFormat="false" ht="12.75" hidden="false" customHeight="false" outlineLevel="0" collapsed="false">
      <c r="G24" s="15" t="str">
        <f aca="false">DDE("TWINDDE","RSFPage","MPB/VOL01 9 40 7 23")</f>
        <v>       </v>
      </c>
      <c r="H24" s="9" t="n">
        <v>17</v>
      </c>
      <c r="I24" s="9" t="str">
        <f aca="false">DDE("TWINDDE","RSFPage","MPB/VOL01 9 50 4 23")</f>
        <v>    </v>
      </c>
      <c r="J24" s="10" t="str">
        <f aca="false">DDE("TWINDDE","RSFPage","MPB/VOL01 9 57 5 23")</f>
        <v>     </v>
      </c>
    </row>
    <row r="25" customFormat="false" ht="12.75" hidden="false" customHeight="false" outlineLevel="0" collapsed="false">
      <c r="G25" s="15" t="str">
        <f aca="false">DDE("TWINDDE","RSFPage","MPB/VOL01 10 40 7 23")</f>
        <v>       </v>
      </c>
      <c r="H25" s="9" t="n">
        <v>18</v>
      </c>
      <c r="I25" s="9" t="str">
        <f aca="false">DDE("TWINDDE","RSFPage","MPB/VOL01 10 50 4 23")</f>
        <v>    </v>
      </c>
      <c r="J25" s="10" t="str">
        <f aca="false">DDE("TWINDDE","RSFPage","MPB/VOL01 10 57 5 23")</f>
        <v>     </v>
      </c>
    </row>
    <row r="26" customFormat="false" ht="12.75" hidden="false" customHeight="false" outlineLevel="0" collapsed="false">
      <c r="G26" s="15" t="str">
        <f aca="false">DDE("TWINDDE","RSFPage","MPB/VOL01 11 40 7 23")</f>
        <v>       </v>
      </c>
      <c r="H26" s="9" t="n">
        <v>19</v>
      </c>
      <c r="I26" s="9" t="str">
        <f aca="false">DDE("TWINDDE","RSFPage","MPB/VOL01 11 50 4 23")</f>
        <v>    </v>
      </c>
      <c r="J26" s="10" t="str">
        <f aca="false">DDE("TWINDDE","RSFPage","MPB/VOL01 11 57 5 23")</f>
        <v>     </v>
      </c>
    </row>
    <row r="27" customFormat="false" ht="12.75" hidden="false" customHeight="false" outlineLevel="0" collapsed="false">
      <c r="G27" s="15" t="str">
        <f aca="false">DDE("TWINDDE","RSFPage","MPB/VOL01 12 40 7 23")</f>
        <v>       </v>
      </c>
      <c r="H27" s="9" t="n">
        <v>20</v>
      </c>
      <c r="I27" s="9" t="str">
        <f aca="false">DDE("TWINDDE","RSFPage","MPB/VOL01 12 50 4 23")</f>
        <v>    </v>
      </c>
      <c r="J27" s="10" t="str">
        <f aca="false">DDE("TWINDDE","RSFPage","MPB/VOL01 12 57 5 23")</f>
        <v>     </v>
      </c>
    </row>
    <row r="28" customFormat="false" ht="12.75" hidden="false" customHeight="false" outlineLevel="0" collapsed="false">
      <c r="G28" s="15" t="str">
        <f aca="false">DDE("TWINDDE","RSFPage","MPB/VOL01 13 40 7 23")</f>
        <v>       </v>
      </c>
      <c r="H28" s="9" t="n">
        <v>21</v>
      </c>
      <c r="I28" s="9" t="str">
        <f aca="false">DDE("TWINDDE","RSFPage","MPB/VOL01 13 50 4 23")</f>
        <v>    </v>
      </c>
      <c r="J28" s="10" t="str">
        <f aca="false">DDE("TWINDDE","RSFPage","MPB/VOL01 13 57 5 23")</f>
        <v>     </v>
      </c>
    </row>
    <row r="29" customFormat="false" ht="12.75" hidden="false" customHeight="false" outlineLevel="0" collapsed="false">
      <c r="G29" s="15" t="str">
        <f aca="false">DDE("TWINDDE","RSFPage","MPB/VOL01 14 40 7 23")</f>
        <v>       </v>
      </c>
      <c r="H29" s="9" t="n">
        <v>22</v>
      </c>
      <c r="I29" s="9" t="str">
        <f aca="false">DDE("TWINDDE","RSFPage","MPB/VOL01 14 50 4 23")</f>
        <v>    </v>
      </c>
      <c r="J29" s="10" t="str">
        <f aca="false">DDE("TWINDDE","RSFPage","MPB/VOL01 14 57 5 23")</f>
        <v>     </v>
      </c>
    </row>
    <row r="30" customFormat="false" ht="12.75" hidden="false" customHeight="false" outlineLevel="0" collapsed="false">
      <c r="G30" s="15" t="str">
        <f aca="false">DDE("TWINDDE","RSFPage","MPB/VOL01 15 40 7 23")</f>
        <v>       </v>
      </c>
      <c r="H30" s="9" t="n">
        <v>23</v>
      </c>
      <c r="I30" s="9" t="str">
        <f aca="false">DDE("TWINDDE","RSFPage","MPB/VOL01 15 50 4 23")</f>
        <v>    </v>
      </c>
      <c r="J30" s="10" t="str">
        <f aca="false">DDE("TWINDDE","RSFPage","MPB/VOL01 15 57 5 23")</f>
        <v>     </v>
      </c>
    </row>
    <row r="31" customFormat="false" ht="12.75" hidden="false" customHeight="false" outlineLevel="0" collapsed="false">
      <c r="G31" s="15" t="str">
        <f aca="false">DDE("TWINDDE","RSFPage","MPB/VOL01 16 40 7 23")</f>
        <v>       </v>
      </c>
      <c r="H31" s="9" t="n">
        <v>24</v>
      </c>
      <c r="I31" s="9" t="str">
        <f aca="false">DDE("TWINDDE","RSFPage","MPB/VOL01 16 50 4 23")</f>
        <v>    </v>
      </c>
      <c r="J31" s="10" t="str">
        <f aca="false">DDE("TWINDDE","RSFPage","MPB/VOL01 16 57 5 23")</f>
        <v>     </v>
      </c>
    </row>
    <row r="32" customFormat="false" ht="12.75" hidden="false" customHeight="false" outlineLevel="0" collapsed="false">
      <c r="G32" s="16" t="str">
        <f aca="false">DDE("TWINDDE","RSFPage","MPB/VOL01 17 40 7 23")</f>
        <v>       </v>
      </c>
      <c r="H32" s="12" t="n">
        <v>25</v>
      </c>
      <c r="I32" s="12" t="str">
        <f aca="false">DDE("TWINDDE","RSFPage","MPB/VOL01 17 50 4 23")</f>
        <v>    </v>
      </c>
      <c r="J32" s="13" t="str">
        <f aca="false">DDE("TWINDDE","RSFPage","MPB/VOL01 17 57 5 23")</f>
        <v>     </v>
      </c>
    </row>
  </sheetData>
  <printOptions headings="false" gridLines="false" gridLinesSet="true" horizontalCentered="true" verticalCentered="false"/>
  <pageMargins left="0.25" right="0.25" top="0.75" bottom="0.5" header="0.25" footer="0.511811023622047"/>
  <pageSetup paperSize="9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 &amp;D &amp;T</oddHeader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3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4.56"/>
    <col collapsed="false" customWidth="false" hidden="false" outlineLevel="0" max="3" min="2" style="1" width="9.14"/>
    <col collapsed="false" customWidth="true" hidden="false" outlineLevel="0" max="4" min="4" style="1" width="21.99"/>
    <col collapsed="false" customWidth="false" hidden="false" outlineLevel="0" max="257" min="5" style="1" width="9.14"/>
  </cols>
  <sheetData>
    <row r="1" customFormat="false" ht="12.75" hidden="false" customHeight="false" outlineLevel="0" collapsed="false">
      <c r="A1" s="1" t="str">
        <f aca="false" t="array" ref="A1:A22">DDE("TWINDDE","RSFPage","MAG/VOL01 0 0 80 23")</f>
        <v>18:18 21JUL00                                                          MAG/VOL01</v>
      </c>
    </row>
    <row r="2" customFormat="false" ht="12.75" hidden="false" customHeight="false" outlineLevel="0" collapsed="false">
      <c r="A2" s="1" t="str">
        <v>          LONDON METAL EXCHANGE SUMMARY                                         </v>
      </c>
    </row>
    <row r="3" customFormat="false" ht="12.75" hidden="false" customHeight="false" outlineLevel="0" collapsed="false">
      <c r="A3" s="1" t="str">
        <v>AT-THE-MONEY INDICATIVE OPTION CLOSING PREMIUMS &amp; VOLATILITIES - SILVER         </v>
      </c>
    </row>
    <row r="4" customFormat="false" ht="12.75" hidden="false" customHeight="false" outlineLevel="0" collapsed="false">
      <c r="A4" s="1" t="str">
        <v>                                                                                </v>
      </c>
    </row>
    <row r="5" customFormat="false" ht="12.75" hidden="false" customHeight="false" outlineLevel="0" collapsed="false">
      <c r="A5" s="1" t="str">
        <v>MONTH  STRIKE   VOL     CALL      PUT     MONTH  STRIKE   VOL     CALL      PUT </v>
      </c>
    </row>
    <row r="6" customFormat="false" ht="12.75" hidden="false" customHeight="false" outlineLevel="0" collapsed="false">
      <c r="A6" s="1" t="str">
        <v>================================================================================</v>
      </c>
    </row>
    <row r="7" customFormat="false" ht="12.75" hidden="false" customHeight="false" outlineLevel="0" collapsed="false">
      <c r="A7" s="1" t="str">
        <v>                                                                                </v>
      </c>
      <c r="G7" s="2" t="s">
        <v>0</v>
      </c>
      <c r="H7" s="3" t="s">
        <v>1</v>
      </c>
      <c r="I7" s="3" t="s">
        <v>2</v>
      </c>
      <c r="J7" s="4" t="s">
        <v>3</v>
      </c>
    </row>
    <row r="8" customFormat="false" ht="12.75" hidden="false" customHeight="false" outlineLevel="0" collapsed="false">
      <c r="A8" s="1" t="str">
        <v>AUG00   500=   21.50     7.44     8.04    OCT01    500   20.50    42.67    39.92</v>
      </c>
      <c r="G8" s="5" t="str">
        <f aca="false" t="array" ref="G8:G8">DDE("TWINDDE","RSFPage","MAG/VOL01 7 0 6 23")</f>
        <v>AUG00 </v>
      </c>
      <c r="H8" s="6" t="n">
        <v>1</v>
      </c>
      <c r="I8" s="6" t="str">
        <f aca="false">DDE("TWINDDE","RSFPage","MAG/VOL01 7 7 4 23")</f>
        <v> 500</v>
      </c>
      <c r="J8" s="7" t="str">
        <f aca="false">DDE("TWINDDE","RSFPage","MAG/VOL01 7 15 5 23")</f>
        <v>21.50</v>
      </c>
    </row>
    <row r="9" customFormat="false" ht="12.75" hidden="false" customHeight="false" outlineLevel="0" collapsed="false">
      <c r="A9" s="1" t="str">
        <v>SEP00   500=   21.50    15.95    14.57    NOV01    500   20.50    44.00    41.25</v>
      </c>
      <c r="G9" s="8" t="str">
        <f aca="false">DDE("TWINDDE","RSFPage","MAG/VOL01 8 0 6 23")</f>
        <v>SEP00 </v>
      </c>
      <c r="H9" s="9" t="n">
        <v>2</v>
      </c>
      <c r="I9" s="9" t="str">
        <f aca="false">DDE("TWINDDE","RSFPage","MAG/VOL01 8 7 4 23")</f>
        <v> 500</v>
      </c>
      <c r="J9" s="10" t="str">
        <f aca="false">DDE("TWINDDE","RSFPage","MAG/VOL01 8 15 5 23")</f>
        <v>21.50</v>
      </c>
    </row>
    <row r="10" customFormat="false" ht="12.75" hidden="false" customHeight="false" outlineLevel="0" collapsed="false">
      <c r="A10" s="1" t="str">
        <v>OCT00   500=   21.50    20.65    17.79    DEC01    500   20.50    45.00    42.28</v>
      </c>
      <c r="G10" s="8" t="str">
        <f aca="false">DDE("TWINDDE","RSFPage","MAG/VOL01 9 0 6 23")</f>
        <v>OCT00 </v>
      </c>
      <c r="H10" s="9" t="n">
        <v>3</v>
      </c>
      <c r="I10" s="9" t="str">
        <f aca="false">DDE("TWINDDE","RSFPage","MAG/VOL01 9 7 4 23")</f>
        <v> 500</v>
      </c>
      <c r="J10" s="10" t="str">
        <f aca="false">DDE("TWINDDE","RSFPage","MAG/VOL01 9 15 5 23")</f>
        <v>21.50</v>
      </c>
    </row>
    <row r="11" customFormat="false" ht="12.75" hidden="false" customHeight="false" outlineLevel="0" collapsed="false">
      <c r="A11" s="1" t="str">
        <v>NOV00   500=   21.50    23.87    20.93    JAN02    500   20.50    45.96    43.25</v>
      </c>
      <c r="G11" s="8" t="str">
        <f aca="false">DDE("TWINDDE","RSFPage","MAG/VOL01 10 0 6 23")</f>
        <v>NOV00 </v>
      </c>
      <c r="H11" s="9" t="n">
        <v>4</v>
      </c>
      <c r="I11" s="9" t="str">
        <f aca="false">DDE("TWINDDE","RSFPage","MAG/VOL01 10 7 4 23")</f>
        <v> 500</v>
      </c>
      <c r="J11" s="10" t="str">
        <f aca="false">DDE("TWINDDE","RSFPage","MAG/VOL01 10 15 5 23")</f>
        <v>21.50</v>
      </c>
    </row>
    <row r="12" customFormat="false" ht="12.75" hidden="false" customHeight="false" outlineLevel="0" collapsed="false">
      <c r="A12" s="1" t="str">
        <v>DEC00   500=   21.50    27.21    24.29    FEB02    500   20.50    47.10    44.40</v>
      </c>
      <c r="G12" s="8" t="str">
        <f aca="false">DDE("TWINDDE","RSFPage","MAG/VOL01 11 0 6 23")</f>
        <v>DEC00 </v>
      </c>
      <c r="H12" s="9" t="n">
        <v>5</v>
      </c>
      <c r="I12" s="9" t="str">
        <f aca="false">DDE("TWINDDE","RSFPage","MAG/VOL01 11 7 4 23")</f>
        <v> 500</v>
      </c>
      <c r="J12" s="10" t="str">
        <f aca="false">DDE("TWINDDE","RSFPage","MAG/VOL01 11 15 5 23")</f>
        <v>21.50</v>
      </c>
    </row>
    <row r="13" customFormat="false" ht="12.75" hidden="false" customHeight="false" outlineLevel="0" collapsed="false">
      <c r="A13" s="1" t="str">
        <v>JAN01   500=   21.50    29.54    26.63    MAR02    500   20.50    47.96    45.28</v>
      </c>
      <c r="G13" s="8" t="str">
        <f aca="false">DDE("TWINDDE","RSFPage","MAG/VOL01 12 0 6 23")</f>
        <v>JAN01 </v>
      </c>
      <c r="H13" s="9" t="n">
        <v>6</v>
      </c>
      <c r="I13" s="9" t="str">
        <f aca="false">DDE("TWINDDE","RSFPage","MAG/VOL01 12 7 4 23")</f>
        <v> 500</v>
      </c>
      <c r="J13" s="10" t="str">
        <f aca="false">DDE("TWINDDE","RSFPage","MAG/VOL01 12 15 5 23")</f>
        <v>21.50</v>
      </c>
    </row>
    <row r="14" customFormat="false" ht="12.75" hidden="false" customHeight="false" outlineLevel="0" collapsed="false">
      <c r="A14" s="1" t="str">
        <v>FEB01   500=   20.50    30.71    27.83    APR02    500   20.50    48.79    46.12</v>
      </c>
      <c r="G14" s="8" t="str">
        <f aca="false">DDE("TWINDDE","RSFPage","MAG/VOL01 13 0 6 23")</f>
        <v>FEB01 </v>
      </c>
      <c r="H14" s="9" t="n">
        <v>7</v>
      </c>
      <c r="I14" s="9" t="str">
        <f aca="false">DDE("TWINDDE","RSFPage","MAG/VOL01 13 7 4 23")</f>
        <v> 500</v>
      </c>
      <c r="J14" s="10" t="str">
        <f aca="false">DDE("TWINDDE","RSFPage","MAG/VOL01 13 15 5 23")</f>
        <v>20.50</v>
      </c>
    </row>
    <row r="15" customFormat="false" ht="12.75" hidden="false" customHeight="false" outlineLevel="0" collapsed="false">
      <c r="A15" s="1" t="str">
        <v>MAR01   500=   20.50    32.51    29.64    MAY02    500   20.50    49.59    46.94</v>
      </c>
      <c r="G15" s="8" t="str">
        <f aca="false">DDE("TWINDDE","RSFPage","MAG/VOL01 14 0 6 23")</f>
        <v>MAR01 </v>
      </c>
      <c r="H15" s="9" t="n">
        <v>8</v>
      </c>
      <c r="I15" s="9" t="str">
        <f aca="false">DDE("TWINDDE","RSFPage","MAG/VOL01 14 7 4 23")</f>
        <v> 500</v>
      </c>
      <c r="J15" s="10" t="str">
        <f aca="false">DDE("TWINDDE","RSFPage","MAG/VOL01 14 15 5 23")</f>
        <v>20.50</v>
      </c>
    </row>
    <row r="16" customFormat="false" ht="12.75" hidden="false" customHeight="false" outlineLevel="0" collapsed="false">
      <c r="A16" s="1" t="str">
        <v>APR01   500=   20.50    34.16    31.31    JUN02    500   20.50    50.54    47.90</v>
      </c>
      <c r="G16" s="8" t="str">
        <f aca="false">DDE("TWINDDE","RSFPage","MAG/VOL01 15 0 6 23")</f>
        <v>APR01 </v>
      </c>
      <c r="H16" s="9" t="n">
        <v>9</v>
      </c>
      <c r="I16" s="9" t="str">
        <f aca="false">DDE("TWINDDE","RSFPage","MAG/VOL01 15 7 4 23")</f>
        <v> 500</v>
      </c>
      <c r="J16" s="10" t="str">
        <f aca="false">DDE("TWINDDE","RSFPage","MAG/VOL01 15 15 5 23")</f>
        <v>20.50</v>
      </c>
    </row>
    <row r="17" customFormat="false" ht="12.75" hidden="false" customHeight="false" outlineLevel="0" collapsed="false">
      <c r="A17" s="1" t="str">
        <v>MAY01   500=   20.50    35.70    32.87    JUL02    500   20.50    51.27    48.64</v>
      </c>
      <c r="G17" s="8" t="str">
        <f aca="false">DDE("TWINDDE","RSFPage","MAG/VOL01 16 0 6 23")</f>
        <v>MAY01 </v>
      </c>
      <c r="H17" s="9" t="n">
        <v>10</v>
      </c>
      <c r="I17" s="9" t="str">
        <f aca="false">DDE("TWINDDE","RSFPage","MAG/VOL01 16 7 4 23")</f>
        <v> 500</v>
      </c>
      <c r="J17" s="10" t="str">
        <f aca="false">DDE("TWINDDE","RSFPage","MAG/VOL01 16 15 5 23")</f>
        <v>20.50</v>
      </c>
    </row>
    <row r="18" customFormat="false" ht="12.75" hidden="false" customHeight="false" outlineLevel="0" collapsed="false">
      <c r="A18" s="1" t="str">
        <v>JUN01   500=   20.50    37.49    34.67    AUG02    500   20.50    52.14    49.53</v>
      </c>
      <c r="G18" s="8" t="str">
        <f aca="false">DDE("TWINDDE","RSFPage","MAG/VOL01 17 0 6 23")</f>
        <v>JUN01 </v>
      </c>
      <c r="H18" s="9" t="n">
        <v>11</v>
      </c>
      <c r="I18" s="9" t="str">
        <f aca="false">DDE("TWINDDE","RSFPage","MAG/VOL01 17 7 4 23")</f>
        <v> 500</v>
      </c>
      <c r="J18" s="10" t="str">
        <f aca="false">DDE("TWINDDE","RSFPage","MAG/VOL01 17 15 5 23")</f>
        <v>20.50</v>
      </c>
    </row>
    <row r="19" customFormat="false" ht="12.75" hidden="false" customHeight="false" outlineLevel="0" collapsed="false">
      <c r="A19" s="1" t="str">
        <v>JUL01   500=   20.50    38.82    36.01    SEP02    500   20.50    52.80    50.20</v>
      </c>
      <c r="G19" s="8" t="str">
        <f aca="false">DDE("TWINDDE","RSFPage","MAG/VOL01 18 0 6 23")</f>
        <v>JUL01 </v>
      </c>
      <c r="H19" s="9" t="n">
        <v>12</v>
      </c>
      <c r="I19" s="9" t="str">
        <f aca="false">DDE("TWINDDE","RSFPage","MAG/VOL01 18 7 4 23")</f>
        <v> 500</v>
      </c>
      <c r="J19" s="10" t="str">
        <f aca="false">DDE("TWINDDE","RSFPage","MAG/VOL01 18 15 5 23")</f>
        <v>20.50</v>
      </c>
    </row>
    <row r="20" customFormat="false" ht="12.75" hidden="false" customHeight="false" outlineLevel="0" collapsed="false">
      <c r="A20" s="1" t="str">
        <v>AUG01   500=   20.50    40.07    37.28    OCT02    500   20.50    53.43    50.85</v>
      </c>
      <c r="G20" s="8" t="str">
        <f aca="false">DDE("TWINDDE","RSFPage","MAG/VOL01 19 0 6 23")</f>
        <v>AUG01 </v>
      </c>
      <c r="H20" s="9" t="n">
        <v>13</v>
      </c>
      <c r="I20" s="9" t="str">
        <f aca="false">DDE("TWINDDE","RSFPage","MAG/VOL01 19 7 4 23")</f>
        <v> 500</v>
      </c>
      <c r="J20" s="10" t="str">
        <f aca="false">DDE("TWINDDE","RSFPage","MAG/VOL01 19 15 5 23")</f>
        <v>20.50</v>
      </c>
    </row>
    <row r="21" customFormat="false" ht="12.75" hidden="false" customHeight="false" outlineLevel="0" collapsed="false">
      <c r="A21" s="1" t="str">
        <v>SEP01   500=   20.50    41.56    38.78    OCT02                                 </v>
      </c>
      <c r="G21" s="11" t="str">
        <f aca="false">DDE("TWINDDE","RSFPage","MAG/VOL01 20 0 6 23")</f>
        <v>SEP01 </v>
      </c>
      <c r="H21" s="12" t="n">
        <v>14</v>
      </c>
      <c r="I21" s="12" t="str">
        <f aca="false">DDE("TWINDDE","RSFPage","MAG/VOL01 20 7 4 23")</f>
        <v> 500</v>
      </c>
      <c r="J21" s="13" t="str">
        <f aca="false">DDE("TWINDDE","RSFPage","MAG/VOL01 20 15 5 23")</f>
        <v>20.50</v>
      </c>
    </row>
    <row r="22" customFormat="false" ht="12.75" hidden="false" customHeight="false" outlineLevel="0" collapsed="false">
      <c r="A22" s="1" t="str">
        <v>                                                                                </v>
      </c>
      <c r="G22" s="14" t="str">
        <f aca="false">DDE("TWINDDE","RSFPage","MAG/VOL01 7 40 7 23")</f>
        <v>  OCT01</v>
      </c>
      <c r="H22" s="6" t="n">
        <v>15</v>
      </c>
      <c r="I22" s="6" t="str">
        <f aca="false">DDE("TWINDDE","RSFPage","MAG/VOL01 7 50 4 23")</f>
        <v> 500</v>
      </c>
      <c r="J22" s="7" t="str">
        <f aca="false">DDE("TWINDDE","RSFPage","MAG/VOL01 7 57 5 23")</f>
        <v>20.50</v>
      </c>
    </row>
    <row r="23" customFormat="false" ht="12.75" hidden="false" customHeight="false" outlineLevel="0" collapsed="false">
      <c r="G23" s="15" t="str">
        <f aca="false">DDE("TWINDDE","RSFPage","MAG/VOL01 8 40 7 23")</f>
        <v>  NOV01</v>
      </c>
      <c r="H23" s="9" t="n">
        <v>16</v>
      </c>
      <c r="I23" s="9" t="str">
        <f aca="false">DDE("TWINDDE","RSFPage","MAG/VOL01 8 50 4 23")</f>
        <v> 500</v>
      </c>
      <c r="J23" s="10" t="str">
        <f aca="false">DDE("TWINDDE","RSFPage","MAG/VOL01 8 57 5 23")</f>
        <v>20.50</v>
      </c>
    </row>
    <row r="24" customFormat="false" ht="12.75" hidden="false" customHeight="false" outlineLevel="0" collapsed="false">
      <c r="G24" s="15" t="str">
        <f aca="false">DDE("TWINDDE","RSFPage","MAG/VOL01 9 40 7 23")</f>
        <v>  DEC01</v>
      </c>
      <c r="H24" s="9" t="n">
        <v>17</v>
      </c>
      <c r="I24" s="9" t="str">
        <f aca="false">DDE("TWINDDE","RSFPage","MAG/VOL01 9 50 4 23")</f>
        <v> 500</v>
      </c>
      <c r="J24" s="10" t="str">
        <f aca="false">DDE("TWINDDE","RSFPage","MAG/VOL01 9 57 5 23")</f>
        <v>20.50</v>
      </c>
    </row>
    <row r="25" customFormat="false" ht="12.75" hidden="false" customHeight="false" outlineLevel="0" collapsed="false">
      <c r="G25" s="15" t="str">
        <f aca="false">DDE("TWINDDE","RSFPage","MAG/VOL01 10 40 7 23")</f>
        <v>  JAN02</v>
      </c>
      <c r="H25" s="9" t="n">
        <v>18</v>
      </c>
      <c r="I25" s="9" t="str">
        <f aca="false">DDE("TWINDDE","RSFPage","MAG/VOL01 10 50 4 23")</f>
        <v> 500</v>
      </c>
      <c r="J25" s="10" t="str">
        <f aca="false">DDE("TWINDDE","RSFPage","MAG/VOL01 10 57 5 23")</f>
        <v>20.50</v>
      </c>
    </row>
    <row r="26" customFormat="false" ht="12.75" hidden="false" customHeight="false" outlineLevel="0" collapsed="false">
      <c r="G26" s="15" t="str">
        <f aca="false">DDE("TWINDDE","RSFPage","MAG/VOL01 11 40 7 23")</f>
        <v>  FEB02</v>
      </c>
      <c r="H26" s="9" t="n">
        <v>19</v>
      </c>
      <c r="I26" s="9" t="str">
        <f aca="false">DDE("TWINDDE","RSFPage","MAG/VOL01 11 50 4 23")</f>
        <v> 500</v>
      </c>
      <c r="J26" s="10" t="str">
        <f aca="false">DDE("TWINDDE","RSFPage","MAG/VOL01 11 57 5 23")</f>
        <v>20.50</v>
      </c>
    </row>
    <row r="27" customFormat="false" ht="12.75" hidden="false" customHeight="false" outlineLevel="0" collapsed="false">
      <c r="G27" s="15" t="str">
        <f aca="false">DDE("TWINDDE","RSFPage","MAG/VOL01 12 40 7 23")</f>
        <v>  MAR02</v>
      </c>
      <c r="H27" s="9" t="n">
        <v>20</v>
      </c>
      <c r="I27" s="9" t="str">
        <f aca="false">DDE("TWINDDE","RSFPage","MAG/VOL01 12 50 4 23")</f>
        <v> 500</v>
      </c>
      <c r="J27" s="10" t="str">
        <f aca="false">DDE("TWINDDE","RSFPage","MAG/VOL01 12 57 5 23")</f>
        <v>20.50</v>
      </c>
    </row>
    <row r="28" customFormat="false" ht="12.75" hidden="false" customHeight="false" outlineLevel="0" collapsed="false">
      <c r="G28" s="15" t="str">
        <f aca="false">DDE("TWINDDE","RSFPage","MAG/VOL01 13 40 7 23")</f>
        <v>  APR02</v>
      </c>
      <c r="H28" s="9" t="n">
        <v>21</v>
      </c>
      <c r="I28" s="9" t="str">
        <f aca="false">DDE("TWINDDE","RSFPage","MAG/VOL01 13 50 4 23")</f>
        <v> 500</v>
      </c>
      <c r="J28" s="10" t="str">
        <f aca="false">DDE("TWINDDE","RSFPage","MAG/VOL01 13 57 5 23")</f>
        <v>20.50</v>
      </c>
    </row>
    <row r="29" customFormat="false" ht="12.75" hidden="false" customHeight="false" outlineLevel="0" collapsed="false">
      <c r="G29" s="15" t="str">
        <f aca="false">DDE("TWINDDE","RSFPage","MAG/VOL01 14 40 7 23")</f>
        <v>  MAY02</v>
      </c>
      <c r="H29" s="9" t="n">
        <v>22</v>
      </c>
      <c r="I29" s="9" t="str">
        <f aca="false">DDE("TWINDDE","RSFPage","MAG/VOL01 14 50 4 23")</f>
        <v> 500</v>
      </c>
      <c r="J29" s="10" t="str">
        <f aca="false">DDE("TWINDDE","RSFPage","MAG/VOL01 14 57 5 23")</f>
        <v>20.50</v>
      </c>
    </row>
    <row r="30" customFormat="false" ht="12.75" hidden="false" customHeight="false" outlineLevel="0" collapsed="false">
      <c r="G30" s="15" t="str">
        <f aca="false">DDE("TWINDDE","RSFPage","MAG/VOL01 15 40 7 23")</f>
        <v>  JUN02</v>
      </c>
      <c r="H30" s="9" t="n">
        <v>23</v>
      </c>
      <c r="I30" s="9" t="str">
        <f aca="false">DDE("TWINDDE","RSFPage","MAG/VOL01 15 50 4 23")</f>
        <v> 500</v>
      </c>
      <c r="J30" s="10" t="str">
        <f aca="false">DDE("TWINDDE","RSFPage","MAG/VOL01 15 57 5 23")</f>
        <v>20.50</v>
      </c>
    </row>
    <row r="31" customFormat="false" ht="12.75" hidden="false" customHeight="false" outlineLevel="0" collapsed="false">
      <c r="G31" s="15" t="str">
        <f aca="false">DDE("TWINDDE","RSFPage","MAG/VOL01 16 40 7 23")</f>
        <v>  JUL02</v>
      </c>
      <c r="H31" s="9" t="n">
        <v>24</v>
      </c>
      <c r="I31" s="9" t="str">
        <f aca="false">DDE("TWINDDE","RSFPage","MAG/VOL01 16 50 4 23")</f>
        <v> 500</v>
      </c>
      <c r="J31" s="10" t="str">
        <f aca="false">DDE("TWINDDE","RSFPage","MAG/VOL01 16 57 5 23")</f>
        <v>20.50</v>
      </c>
    </row>
    <row r="32" customFormat="false" ht="12.75" hidden="false" customHeight="false" outlineLevel="0" collapsed="false">
      <c r="G32" s="16" t="str">
        <f aca="false">DDE("TWINDDE","RSFPage","MAG/VOL01 17 40 7 23")</f>
        <v>  AUG02</v>
      </c>
      <c r="H32" s="12" t="n">
        <v>25</v>
      </c>
      <c r="I32" s="12" t="str">
        <f aca="false">DDE("TWINDDE","RSFPage","MAG/VOL01 17 50 4 23")</f>
        <v> 500</v>
      </c>
      <c r="J32" s="13" t="str">
        <f aca="false">DDE("TWINDDE","RSFPage","MAG/VOL01 17 57 5 23")</f>
        <v>20.50</v>
      </c>
    </row>
  </sheetData>
  <printOptions headings="false" gridLines="false" gridLinesSet="true" horizontalCentered="true" verticalCentered="false"/>
  <pageMargins left="0.25" right="0.25" top="0.75" bottom="0.5" header="0.25" footer="0.511811023622047"/>
  <pageSetup paperSize="9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 &amp;D &amp;T</oddHeader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B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0" activeCellId="0" sqref="A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2" min="2" style="0" width="10.13"/>
  </cols>
  <sheetData>
    <row r="2" customFormat="false" ht="12.75" hidden="false" customHeight="false" outlineLevel="0" collapsed="false">
      <c r="A2" s="0" t="s">
        <v>4</v>
      </c>
      <c r="B2" s="17" t="n">
        <v>36731</v>
      </c>
    </row>
    <row r="3" customFormat="false" ht="12.75" hidden="false" customHeight="false" outlineLevel="0" collapsed="false">
      <c r="A3" s="0" t="s">
        <v>5</v>
      </c>
      <c r="B3" s="18" t="n">
        <v>0.06</v>
      </c>
    </row>
    <row r="4" customFormat="false" ht="12.75" hidden="false" customHeight="false" outlineLevel="0" collapsed="false">
      <c r="A4" s="0" t="s">
        <v>6</v>
      </c>
      <c r="B4" s="18" t="n">
        <v>0.06</v>
      </c>
    </row>
    <row r="5" customFormat="false" ht="12.75" hidden="false" customHeight="false" outlineLevel="0" collapsed="false">
      <c r="A5" s="0" t="s">
        <v>7</v>
      </c>
    </row>
    <row r="6" customFormat="false" ht="12.75" hidden="false" customHeight="false" outlineLevel="0" collapsed="false">
      <c r="A6" s="0" t="s">
        <v>8</v>
      </c>
      <c r="B6" s="0" t="n">
        <v>1</v>
      </c>
    </row>
    <row r="8" customFormat="false" ht="12.75" hidden="false" customHeight="false" outlineLevel="0" collapsed="false">
      <c r="B8" s="0" t="s">
        <v>2</v>
      </c>
    </row>
    <row r="9" customFormat="false" ht="12.75" hidden="false" customHeight="false" outlineLevel="0" collapsed="false">
      <c r="A9" s="0" t="s">
        <v>0</v>
      </c>
    </row>
    <row r="10" customFormat="false" ht="12.75" hidden="false" customHeight="false" outlineLevel="0" collapsed="false">
      <c r="A10" s="19" t="n">
        <f aca="false">EOMONTH($B$2,0)</f>
        <v>36738</v>
      </c>
    </row>
    <row r="11" customFormat="false" ht="12.75" hidden="false" customHeight="false" outlineLevel="0" collapsed="false">
      <c r="A11" s="19" t="n">
        <f aca="false">EOMONTH($B$2,1)</f>
        <v>36769</v>
      </c>
    </row>
    <row r="12" customFormat="false" ht="12.75" hidden="false" customHeight="false" outlineLevel="0" collapsed="false">
      <c r="A12" s="19" t="n">
        <f aca="false">EOMONTH($B$2,1)</f>
        <v>36769</v>
      </c>
    </row>
    <row r="13" customFormat="false" ht="12.75" hidden="false" customHeight="false" outlineLevel="0" collapsed="false">
      <c r="A13" s="19" t="n">
        <f aca="false">EOMONTH($B$2,1)</f>
        <v>36769</v>
      </c>
    </row>
    <row r="14" customFormat="false" ht="12.75" hidden="false" customHeight="false" outlineLevel="0" collapsed="false">
      <c r="A14" s="19" t="n">
        <f aca="false">EOMONTH($B$2,1)</f>
        <v>36769</v>
      </c>
    </row>
    <row r="15" customFormat="false" ht="12.75" hidden="false" customHeight="false" outlineLevel="0" collapsed="false">
      <c r="A15" s="19" t="n">
        <f aca="false">EOMONTH($B$2,1)</f>
        <v>36769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1997-10-28T07:13:39Z</dcterms:created>
  <dc:creator/>
  <dc:description/>
  <dc:language>en-US</dc:language>
  <cp:lastModifiedBy>aahmad</cp:lastModifiedBy>
  <cp:lastPrinted>2000-01-12T15:42:00Z</cp:lastPrinted>
  <cp:revision>0</cp:revision>
  <dc:subject/>
  <dc:title/>
</cp:coreProperties>
</file>