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0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9.xml" ContentType="application/vnd.openxmlformats-officedocument.drawing+xml"/>
  <Override PartName="/xl/drawings/drawing13.xml" ContentType="application/vnd.openxmlformats-officedocument.drawing+xml"/>
  <Override PartName="/xl/drawings/vmlDrawing2.vml" ContentType="application/vnd.openxmlformats-officedocument.vmlDrawing"/>
  <Override PartName="/xl/drawings/drawing11.xml" ContentType="application/vnd.openxmlformats-officedocument.drawing+xml"/>
  <Override PartName="/xl/drawings/drawing1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erm" sheetId="1" state="visible" r:id="rId3"/>
    <sheet name="Total" sheetId="2" state="visible" r:id="rId4"/>
    <sheet name="Master" sheetId="3" state="visible" r:id="rId5"/>
    <sheet name="TradeSum" sheetId="4" state="visible" r:id="rId6"/>
    <sheet name="GencoPosn" sheetId="5" state="hidden" r:id="rId7"/>
    <sheet name="NYMEX" sheetId="6" state="hidden" r:id="rId8"/>
    <sheet name="OthNewDeals" sheetId="7" state="hidden" r:id="rId9"/>
    <sheet name="NymexData" sheetId="8" state="hidden" r:id="rId10"/>
    <sheet name="Interest" sheetId="9" state="visible" r:id="rId11"/>
    <sheet name="FuturesPosn" sheetId="10" state="hidden" r:id="rId12"/>
    <sheet name="EOL LINKS" sheetId="11" state="visible" r:id="rId13"/>
    <sheet name="Cd" sheetId="12" state="hidden" r:id="rId14"/>
    <sheet name="Module1" sheetId="13" state="hidden" r:id="rId15"/>
    <sheet name="Module2" sheetId="14" state="hidden" r:id="rId16"/>
  </sheets>
  <externalReferences>
    <externalReference r:id="rId17"/>
    <externalReference r:id="rId18"/>
  </externalReferences>
  <definedNames>
    <definedName function="false" hidden="false" localSheetId="5" name="_xlnm.Print_Area" vbProcedure="false">NYMEX!$A$1:$L$28</definedName>
    <definedName function="false" hidden="false" localSheetId="1" name="_xlnm.Print_Area" vbProcedure="false">Total!$A$2:$L$46</definedName>
    <definedName function="false" hidden="false" localSheetId="3" name="_xlnm.Print_Area" vbProcedure="false">TradeSum!$A$139:$AB$195</definedName>
    <definedName function="false" hidden="false" name="DldName" vbProcedure="false">TradeSum!$B$4</definedName>
    <definedName function="false" hidden="false" name="NumProducts" vbProcedure="false">'EOL LINKS'!$G$1</definedName>
    <definedName function="false" hidden="false" name="tblEntergyPosn" vbProcedure="false">NymexData!$O$4:$P$46</definedName>
    <definedName function="false" hidden="false" name="TradeDate" vbProcedure="false">TradeSum!$B$2</definedName>
    <definedName function="false" hidden="false" localSheetId="1" name="tblPriorPrice" vbProcedure="false">Total!$BZ$2:$CE$255</definedName>
    <definedName function="false" hidden="false" localSheetId="9" name="fDealType" vbProcedure="false">FuturesPosn!$B$4</definedName>
    <definedName function="false" hidden="false" localSheetId="9" name="fPortfolio" vbProcedure="false">FuturesPosn!$B$3</definedName>
    <definedName function="false" hidden="false" localSheetId="9" name="fRegion" vbProcedure="false">FuturesPosn!$B$1</definedName>
    <definedName function="false" hidden="false" localSheetId="9" name="fStart" vbProcedure="false">FuturesPosn!$A$7</definedName>
    <definedName function="false" hidden="false" localSheetId="9" name="fTerm" vbProcedure="false">FuturesPosn!$B$2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<sst xmlns="http://schemas.openxmlformats.org/spreadsheetml/2006/main" count="1669" uniqueCount="527">
  <si>
    <t xml:space="preserve">Day</t>
  </si>
  <si>
    <t xml:space="preserve">Heat</t>
  </si>
  <si>
    <t xml:space="preserve">On - Peak</t>
  </si>
  <si>
    <t xml:space="preserve">Bid/Offer</t>
  </si>
  <si>
    <t xml:space="preserve">Off - Peak</t>
  </si>
  <si>
    <t xml:space="preserve">Power</t>
  </si>
  <si>
    <t xml:space="preserve">Change</t>
  </si>
  <si>
    <t xml:space="preserve">Rate</t>
  </si>
  <si>
    <t xml:space="preserve">Gas Eq.</t>
  </si>
  <si>
    <t xml:space="preserve">Gas</t>
  </si>
  <si>
    <t xml:space="preserve">Net</t>
  </si>
  <si>
    <t xml:space="preserve">Mid</t>
  </si>
  <si>
    <t xml:space="preserve">Bid</t>
  </si>
  <si>
    <t xml:space="preserve">Offer</t>
  </si>
  <si>
    <t xml:space="preserve">Spread</t>
  </si>
  <si>
    <t xml:space="preserve">Bal '01</t>
  </si>
  <si>
    <t xml:space="preserve">Cal '02</t>
  </si>
  <si>
    <t xml:space="preserve">HE 7</t>
  </si>
  <si>
    <t xml:space="preserve">Cal '03</t>
  </si>
  <si>
    <t xml:space="preserve">HE 8</t>
  </si>
  <si>
    <t xml:space="preserve">Cal '04</t>
  </si>
  <si>
    <t xml:space="preserve">HE 9</t>
  </si>
  <si>
    <t xml:space="preserve">Cal '05</t>
  </si>
  <si>
    <t xml:space="preserve">HE 10</t>
  </si>
  <si>
    <t xml:space="preserve">Cal '06</t>
  </si>
  <si>
    <t xml:space="preserve">HE 11</t>
  </si>
  <si>
    <t xml:space="preserve">Cal '07</t>
  </si>
  <si>
    <t xml:space="preserve">HE 12</t>
  </si>
  <si>
    <t xml:space="preserve">Cal '08</t>
  </si>
  <si>
    <t xml:space="preserve">HE 13</t>
  </si>
  <si>
    <t xml:space="preserve">Cal '09</t>
  </si>
  <si>
    <t xml:space="preserve">HE 14</t>
  </si>
  <si>
    <t xml:space="preserve">Cal '10</t>
  </si>
  <si>
    <t xml:space="preserve">HE 15</t>
  </si>
  <si>
    <t xml:space="preserve">Cal '11</t>
  </si>
  <si>
    <t xml:space="preserve">HE 16</t>
  </si>
  <si>
    <t xml:space="preserve">Cal '12</t>
  </si>
  <si>
    <t xml:space="preserve">HE 17</t>
  </si>
  <si>
    <t xml:space="preserve">Cal '13</t>
  </si>
  <si>
    <t xml:space="preserve">HE 18</t>
  </si>
  <si>
    <t xml:space="preserve">Cal '14</t>
  </si>
  <si>
    <t xml:space="preserve">HE 19</t>
  </si>
  <si>
    <t xml:space="preserve">Cal '15</t>
  </si>
  <si>
    <t xml:space="preserve">HE 20</t>
  </si>
  <si>
    <t xml:space="preserve">HE 21</t>
  </si>
  <si>
    <t xml:space="preserve">PJM</t>
  </si>
  <si>
    <t xml:space="preserve">SOCO</t>
  </si>
  <si>
    <t xml:space="preserve">TVA</t>
  </si>
  <si>
    <t xml:space="preserve">ENT</t>
  </si>
  <si>
    <t xml:space="preserve">NEPOOL</t>
  </si>
  <si>
    <t xml:space="preserve">TOTAL</t>
  </si>
  <si>
    <t xml:space="preserve">Cal '02 - '06</t>
  </si>
  <si>
    <t xml:space="preserve">HE 22</t>
  </si>
  <si>
    <t xml:space="preserve">Cal '04 - '05</t>
  </si>
  <si>
    <t xml:space="preserve">Cal '04 - '06</t>
  </si>
  <si>
    <t xml:space="preserve">Cal '06 - '10</t>
  </si>
  <si>
    <t xml:space="preserve">Cal '11 - '15</t>
  </si>
  <si>
    <t xml:space="preserve">Cal '02 - '10</t>
  </si>
  <si>
    <t xml:space="preserve">Cal '02 - '15</t>
  </si>
  <si>
    <t xml:space="preserve">Cal '06 - '15</t>
  </si>
  <si>
    <t xml:space="preserve"> </t>
  </si>
  <si>
    <t xml:space="preserve">CIN</t>
  </si>
  <si>
    <t xml:space="preserve">CE</t>
  </si>
  <si>
    <t xml:space="preserve">   NYMEX</t>
  </si>
  <si>
    <t xml:space="preserve">TOTAL HUB POSITION</t>
  </si>
  <si>
    <t xml:space="preserve">CINERGY/COMED PEAK POSITION</t>
  </si>
  <si>
    <t xml:space="preserve">NYMEX</t>
  </si>
  <si>
    <t xml:space="preserve">Current</t>
  </si>
  <si>
    <t xml:space="preserve">Prior Pos.</t>
  </si>
  <si>
    <t xml:space="preserve">Day's</t>
  </si>
  <si>
    <t xml:space="preserve">Current Pos.</t>
  </si>
  <si>
    <t xml:space="preserve">Aggregated</t>
  </si>
  <si>
    <t xml:space="preserve">Curve </t>
  </si>
  <si>
    <t xml:space="preserve">New </t>
  </si>
  <si>
    <t xml:space="preserve">As of:</t>
  </si>
  <si>
    <t xml:space="preserve">On Peak</t>
  </si>
  <si>
    <t xml:space="preserve">BID</t>
  </si>
  <si>
    <t xml:space="preserve">OFFER</t>
  </si>
  <si>
    <t xml:space="preserve">Off Peak</t>
  </si>
  <si>
    <t xml:space="preserve">Date</t>
  </si>
  <si>
    <t xml:space="preserve">PVMWh</t>
  </si>
  <si>
    <t xml:space="preserve">MW</t>
  </si>
  <si>
    <t xml:space="preserve">Trade</t>
  </si>
  <si>
    <t xml:space="preserve">Position</t>
  </si>
  <si>
    <t xml:space="preserve">Position MWs</t>
  </si>
  <si>
    <t xml:space="preserve">Shift ($)</t>
  </si>
  <si>
    <t xml:space="preserve">Deals ($)</t>
  </si>
  <si>
    <t xml:space="preserve">P&amp;L ($)</t>
  </si>
  <si>
    <t xml:space="preserve">Cinergy</t>
  </si>
  <si>
    <t xml:space="preserve">Shoulders</t>
  </si>
  <si>
    <t xml:space="preserve">M's</t>
  </si>
  <si>
    <t xml:space="preserve">NQ's</t>
  </si>
  <si>
    <t xml:space="preserve">ComEd</t>
  </si>
  <si>
    <t xml:space="preserve">Basis</t>
  </si>
  <si>
    <t xml:space="preserve">eol</t>
  </si>
  <si>
    <t xml:space="preserve">New Deals</t>
  </si>
  <si>
    <t xml:space="preserve">Coal</t>
  </si>
  <si>
    <t xml:space="preserve">'01</t>
  </si>
  <si>
    <t xml:space="preserve">'02</t>
  </si>
  <si>
    <t xml:space="preserve">'03</t>
  </si>
  <si>
    <t xml:space="preserve">Total</t>
  </si>
  <si>
    <t xml:space="preserve">Changes</t>
  </si>
  <si>
    <t xml:space="preserve">Jan</t>
  </si>
  <si>
    <t xml:space="preserve">Feb</t>
  </si>
  <si>
    <t xml:space="preserve">Cin</t>
  </si>
  <si>
    <t xml:space="preserve">Other</t>
  </si>
  <si>
    <t xml:space="preserve">ComEd Basis</t>
  </si>
  <si>
    <t xml:space="preserve">Mar</t>
  </si>
  <si>
    <t xml:space="preserve">1st wk</t>
  </si>
  <si>
    <t xml:space="preserve">7/2 - 7/6</t>
  </si>
  <si>
    <t xml:space="preserve">Apr</t>
  </si>
  <si>
    <t xml:space="preserve">N - Q</t>
  </si>
  <si>
    <t xml:space="preserve">2nd wk</t>
  </si>
  <si>
    <t xml:space="preserve">7/9 - 7/13</t>
  </si>
  <si>
    <t xml:space="preserve">FG</t>
  </si>
  <si>
    <t xml:space="preserve">May</t>
  </si>
  <si>
    <t xml:space="preserve">X</t>
  </si>
  <si>
    <t xml:space="preserve">3rd wk</t>
  </si>
  <si>
    <t xml:space="preserve">7/16 - 7/20</t>
  </si>
  <si>
    <t xml:space="preserve">HJ</t>
  </si>
  <si>
    <t xml:space="preserve">Jun</t>
  </si>
  <si>
    <t xml:space="preserve">F</t>
  </si>
  <si>
    <t xml:space="preserve">4th wk</t>
  </si>
  <si>
    <t xml:space="preserve">7/23 - 7/27</t>
  </si>
  <si>
    <t xml:space="preserve">K</t>
  </si>
  <si>
    <t xml:space="preserve">Jul</t>
  </si>
  <si>
    <t xml:space="preserve">Last 2 day</t>
  </si>
  <si>
    <t xml:space="preserve">7/30 - 7/31</t>
  </si>
  <si>
    <t xml:space="preserve">M</t>
  </si>
  <si>
    <t xml:space="preserve">Aug</t>
  </si>
  <si>
    <t xml:space="preserve">NQ</t>
  </si>
  <si>
    <t xml:space="preserve">Sep</t>
  </si>
  <si>
    <t xml:space="preserve">Month Tot.</t>
  </si>
  <si>
    <t xml:space="preserve">U</t>
  </si>
  <si>
    <t xml:space="preserve">Oct</t>
  </si>
  <si>
    <t xml:space="preserve">Q4</t>
  </si>
  <si>
    <t xml:space="preserve">Nov</t>
  </si>
  <si>
    <t xml:space="preserve">F2 - J2</t>
  </si>
  <si>
    <t xml:space="preserve">Net Total</t>
  </si>
  <si>
    <t xml:space="preserve">Dec</t>
  </si>
  <si>
    <t xml:space="preserve">J - K</t>
  </si>
  <si>
    <t xml:space="preserve">Q1</t>
  </si>
  <si>
    <t xml:space="preserve">Q2</t>
  </si>
  <si>
    <t xml:space="preserve">Q3</t>
  </si>
  <si>
    <t xml:space="preserve">`</t>
  </si>
  <si>
    <t xml:space="preserve">Futures</t>
  </si>
  <si>
    <t xml:space="preserve">3.0 Tcf Calls</t>
  </si>
  <si>
    <t xml:space="preserve">Benson</t>
  </si>
  <si>
    <t xml:space="preserve">Rogers</t>
  </si>
  <si>
    <t xml:space="preserve">7 x 8</t>
  </si>
  <si>
    <t xml:space="preserve">2 x 16</t>
  </si>
  <si>
    <t xml:space="preserve">5x8 2x24</t>
  </si>
  <si>
    <t xml:space="preserve">D. Davis</t>
  </si>
  <si>
    <t xml:space="preserve"> Jun</t>
  </si>
  <si>
    <t xml:space="preserve">Ballato</t>
  </si>
  <si>
    <t xml:space="preserve">Prior</t>
  </si>
  <si>
    <t xml:space="preserve">New</t>
  </si>
  <si>
    <t xml:space="preserve">Calendar</t>
  </si>
  <si>
    <t xml:space="preserve">F - G</t>
  </si>
  <si>
    <t xml:space="preserve">H - J</t>
  </si>
  <si>
    <t xml:space="preserve">02</t>
  </si>
  <si>
    <t xml:space="preserve">03</t>
  </si>
  <si>
    <t xml:space="preserve">04</t>
  </si>
  <si>
    <t xml:space="preserve">05</t>
  </si>
  <si>
    <t xml:space="preserve">06</t>
  </si>
  <si>
    <t xml:space="preserve">07</t>
  </si>
  <si>
    <t xml:space="preserve">08</t>
  </si>
  <si>
    <t xml:space="preserve">09</t>
  </si>
  <si>
    <t xml:space="preserve">10</t>
  </si>
  <si>
    <t xml:space="preserve">Hub  Cash</t>
  </si>
  <si>
    <t xml:space="preserve">NatGas</t>
  </si>
  <si>
    <t xml:space="preserve">MAPP</t>
  </si>
  <si>
    <t xml:space="preserve">MAIN</t>
  </si>
  <si>
    <t xml:space="preserve">ECAR</t>
  </si>
  <si>
    <t xml:space="preserve">OTHER</t>
  </si>
  <si>
    <t xml:space="preserve">Chic</t>
  </si>
  <si>
    <t xml:space="preserve">Curve Shift</t>
  </si>
  <si>
    <t xml:space="preserve">J - Z  '02</t>
  </si>
  <si>
    <t xml:space="preserve">Total P&amp;L</t>
  </si>
  <si>
    <t xml:space="preserve">Trading Hours</t>
  </si>
  <si>
    <t xml:space="preserve">Disc. Factor</t>
  </si>
  <si>
    <t xml:space="preserve">Today</t>
  </si>
  <si>
    <t xml:space="preserve">Term</t>
  </si>
  <si>
    <t xml:space="preserve">Heat Rate</t>
  </si>
  <si>
    <t xml:space="preserve">NatGas Eq.</t>
  </si>
  <si>
    <t xml:space="preserve">Net Pos.</t>
  </si>
  <si>
    <t xml:space="preserve">chng</t>
  </si>
  <si>
    <t xml:space="preserve">Packages</t>
  </si>
  <si>
    <t xml:space="preserve">Cal's</t>
  </si>
  <si>
    <t xml:space="preserve">H</t>
  </si>
  <si>
    <t xml:space="preserve">N</t>
  </si>
  <si>
    <t xml:space="preserve">H/J spr.</t>
  </si>
  <si>
    <t xml:space="preserve">Q</t>
  </si>
  <si>
    <t xml:space="preserve">N/Q</t>
  </si>
  <si>
    <t xml:space="preserve">V</t>
  </si>
  <si>
    <t xml:space="preserve">Z</t>
  </si>
  <si>
    <t xml:space="preserve">Cal '01</t>
  </si>
  <si>
    <t xml:space="preserve">Q4 avg</t>
  </si>
  <si>
    <t xml:space="preserve">G</t>
  </si>
  <si>
    <t xml:space="preserve">J</t>
  </si>
  <si>
    <t xml:space="preserve">Last</t>
  </si>
  <si>
    <t xml:space="preserve">Chng</t>
  </si>
  <si>
    <t xml:space="preserve">Q4 TVA</t>
  </si>
  <si>
    <t xml:space="preserve">strip</t>
  </si>
  <si>
    <t xml:space="preserve">curve shft</t>
  </si>
  <si>
    <t xml:space="preserve">Tot. Gas</t>
  </si>
  <si>
    <t xml:space="preserve">legs</t>
  </si>
  <si>
    <t xml:space="preserve">new deals</t>
  </si>
  <si>
    <t xml:space="preserve">Cal '02 TVA</t>
  </si>
  <si>
    <t xml:space="preserve">Nov1 - Mar2</t>
  </si>
  <si>
    <t xml:space="preserve">Apr2 - Oct2</t>
  </si>
  <si>
    <t xml:space="preserve">     Total</t>
  </si>
  <si>
    <t xml:space="preserve">F2</t>
  </si>
  <si>
    <t xml:space="preserve">G2</t>
  </si>
  <si>
    <t xml:space="preserve">H2</t>
  </si>
  <si>
    <t xml:space="preserve">J2</t>
  </si>
  <si>
    <t xml:space="preserve">Buys</t>
  </si>
  <si>
    <t xml:space="preserve">Sells</t>
  </si>
  <si>
    <t xml:space="preserve">K2</t>
  </si>
  <si>
    <t xml:space="preserve">M2</t>
  </si>
  <si>
    <t xml:space="preserve">N2</t>
  </si>
  <si>
    <t xml:space="preserve">Q4 '01</t>
  </si>
  <si>
    <t xml:space="preserve">U2</t>
  </si>
  <si>
    <t xml:space="preserve">V2</t>
  </si>
  <si>
    <t xml:space="preserve">Q NYH 1%</t>
  </si>
  <si>
    <t xml:space="preserve">X2</t>
  </si>
  <si>
    <t xml:space="preserve">U NYH 1%</t>
  </si>
  <si>
    <t xml:space="preserve">Z2</t>
  </si>
  <si>
    <t xml:space="preserve">Q4 NYH 1%</t>
  </si>
  <si>
    <t xml:space="preserve">J - V</t>
  </si>
  <si>
    <t xml:space="preserve">Q4 Gulf 3%</t>
  </si>
  <si>
    <t xml:space="preserve">X1 - H2</t>
  </si>
  <si>
    <t xml:space="preserve">F3</t>
  </si>
  <si>
    <t xml:space="preserve">G3</t>
  </si>
  <si>
    <t xml:space="preserve">H3</t>
  </si>
  <si>
    <t xml:space="preserve">J3</t>
  </si>
  <si>
    <t xml:space="preserve">K3</t>
  </si>
  <si>
    <t xml:space="preserve">M3</t>
  </si>
  <si>
    <t xml:space="preserve">N3</t>
  </si>
  <si>
    <t xml:space="preserve">U3</t>
  </si>
  <si>
    <t xml:space="preserve">V3</t>
  </si>
  <si>
    <t xml:space="preserve">X3</t>
  </si>
  <si>
    <t xml:space="preserve">Z3</t>
  </si>
  <si>
    <t xml:space="preserve">Y'day</t>
  </si>
  <si>
    <t xml:space="preserve">PJM / ENT</t>
  </si>
  <si>
    <t xml:space="preserve">Roll - Fwd</t>
  </si>
  <si>
    <t xml:space="preserve">Ent</t>
  </si>
  <si>
    <t xml:space="preserve">J2 - V2</t>
  </si>
  <si>
    <t xml:space="preserve">TOTAL PEAK AND OFF-PEAK P&amp;L</t>
  </si>
  <si>
    <t xml:space="preserve">25P</t>
  </si>
  <si>
    <t xml:space="preserve">35C</t>
  </si>
  <si>
    <t xml:space="preserve">50C</t>
  </si>
  <si>
    <t xml:space="preserve">Trading Date:</t>
  </si>
  <si>
    <t xml:space="preserve">FUTURES</t>
  </si>
  <si>
    <t xml:space="preserve">COMED</t>
  </si>
  <si>
    <t xml:space="preserve">CINERGY</t>
  </si>
  <si>
    <t xml:space="preserve">F/G</t>
  </si>
  <si>
    <t xml:space="preserve">H/J</t>
  </si>
  <si>
    <t xml:space="preserve">INTO CINERGY PEAK POSITION</t>
  </si>
  <si>
    <t xml:space="preserve">Broker Fees:</t>
  </si>
  <si>
    <t xml:space="preserve">Current </t>
  </si>
  <si>
    <t xml:space="preserve">Bid-Ask</t>
  </si>
  <si>
    <t xml:space="preserve">Mid Change</t>
  </si>
  <si>
    <t xml:space="preserve">Current Mid</t>
  </si>
  <si>
    <t xml:space="preserve">Price Tree</t>
  </si>
  <si>
    <t xml:space="preserve">Implied</t>
  </si>
  <si>
    <t xml:space="preserve">Leg</t>
  </si>
  <si>
    <t xml:space="preserve">Average</t>
  </si>
  <si>
    <t xml:space="preserve">Absolute</t>
  </si>
  <si>
    <t xml:space="preserve">Trading</t>
  </si>
  <si>
    <t xml:space="preserve">Discount Factor</t>
  </si>
  <si>
    <t xml:space="preserve">Change in </t>
  </si>
  <si>
    <t xml:space="preserve">Absolute </t>
  </si>
  <si>
    <t xml:space="preserve">Peak</t>
  </si>
  <si>
    <t xml:space="preserve">Off-Peak</t>
  </si>
  <si>
    <t xml:space="preserve">Price</t>
  </si>
  <si>
    <t xml:space="preserve">Ask</t>
  </si>
  <si>
    <t xml:space="preserve">(Row-Column)</t>
  </si>
  <si>
    <t xml:space="preserve">Volume</t>
  </si>
  <si>
    <t xml:space="preserve">Volume (MW)</t>
  </si>
  <si>
    <t xml:space="preserve">Hours</t>
  </si>
  <si>
    <t xml:space="preserve">New Deal P&amp;L</t>
  </si>
  <si>
    <t xml:space="preserve">Volume (MWh)</t>
  </si>
  <si>
    <t xml:space="preserve">Equiv.</t>
  </si>
  <si>
    <t xml:space="preserve">Trading Days</t>
  </si>
  <si>
    <t xml:space="preserve">Days</t>
  </si>
  <si>
    <t xml:space="preserve">Cur. Price</t>
  </si>
  <si>
    <t xml:space="preserve">Cinergy (MW)</t>
  </si>
  <si>
    <t xml:space="preserve">COMED (MW)</t>
  </si>
  <si>
    <t xml:space="preserve">NET (MW)</t>
  </si>
  <si>
    <t xml:space="preserve">Day's Change</t>
  </si>
  <si>
    <t xml:space="preserve">Calc Q4 1999</t>
  </si>
  <si>
    <t xml:space="preserve">Mrkt Q4 1999</t>
  </si>
  <si>
    <t xml:space="preserve">Calc Cal 00</t>
  </si>
  <si>
    <t xml:space="preserve">Mrkt Cal 00</t>
  </si>
  <si>
    <t xml:space="preserve">9/0 spread</t>
  </si>
  <si>
    <t xml:space="preserve">NQ99</t>
  </si>
  <si>
    <t xml:space="preserve">N/Q 99</t>
  </si>
  <si>
    <t xml:space="preserve">   </t>
  </si>
  <si>
    <t xml:space="preserve">Total (Abs MWh):</t>
  </si>
  <si>
    <t xml:space="preserve">INTO COMED PEAK POSITION</t>
  </si>
  <si>
    <t xml:space="preserve">orior oos.</t>
  </si>
  <si>
    <t xml:space="preserve">oVMWh</t>
  </si>
  <si>
    <t xml:space="preserve">Overide</t>
  </si>
  <si>
    <t xml:space="preserve">COMBINED HUB PEAK POSITION</t>
  </si>
  <si>
    <t xml:space="preserve">Comed</t>
  </si>
  <si>
    <t xml:space="preserve">Spread Pos.</t>
  </si>
  <si>
    <t xml:space="preserve">purchases</t>
  </si>
  <si>
    <t xml:space="preserve">sales</t>
  </si>
  <si>
    <t xml:space="preserve">less Cinergy</t>
  </si>
  <si>
    <t xml:space="preserve">Lots</t>
  </si>
  <si>
    <t xml:space="preserve">price</t>
  </si>
  <si>
    <t xml:space="preserve">-</t>
  </si>
  <si>
    <t xml:space="preserve">TOTAL PEAK POSITION (PVMWh)</t>
  </si>
  <si>
    <t xml:space="preserve">Total Book</t>
  </si>
  <si>
    <t xml:space="preserve">MAIN &amp; </t>
  </si>
  <si>
    <t xml:space="preserve">WHOLE</t>
  </si>
  <si>
    <t xml:space="preserve">MAIN &amp;</t>
  </si>
  <si>
    <t xml:space="preserve">BOOK</t>
  </si>
  <si>
    <t xml:space="preserve">Jul/Aug</t>
  </si>
  <si>
    <t xml:space="preserve">TOTAL OFF-PEAK POSITION (PVMWh)</t>
  </si>
  <si>
    <t xml:space="preserve">TOTAL POSITION (PVMWh)</t>
  </si>
  <si>
    <t xml:space="preserve">Generation Gas Accrual P&amp;L</t>
  </si>
  <si>
    <t xml:space="preserve">Generation Power Accrual P&amp;L</t>
  </si>
  <si>
    <t xml:space="preserve">Hedge Gas Accrual P&amp;L</t>
  </si>
  <si>
    <t xml:space="preserve">LT Shorts Power Accrual P&amp;L</t>
  </si>
  <si>
    <t xml:space="preserve">Generation Gas MTM P&amp;L</t>
  </si>
  <si>
    <t xml:space="preserve">Hedge Power Accrual P&amp;L</t>
  </si>
  <si>
    <t xml:space="preserve">Start Month</t>
  </si>
  <si>
    <t xml:space="preserve">(1=Prompt, 2=Prompt+1)</t>
  </si>
  <si>
    <t xml:space="preserve">Hedge Gas MTM P&amp;L</t>
  </si>
  <si>
    <t xml:space="preserve">POWER ACCRUAL POSITION</t>
  </si>
  <si>
    <t xml:space="preserve">GAS POSITION</t>
  </si>
  <si>
    <t xml:space="preserve">1=NYMEX OPEN,2=NYMEX CLOSE</t>
  </si>
  <si>
    <t xml:space="preserve">Generation</t>
  </si>
  <si>
    <t xml:space="preserve">Hedge</t>
  </si>
  <si>
    <t xml:space="preserve">LT Shorts</t>
  </si>
  <si>
    <t xml:space="preserve">Hedge </t>
  </si>
  <si>
    <t xml:space="preserve">Accrual</t>
  </si>
  <si>
    <t xml:space="preserve">Marked-to-Market</t>
  </si>
  <si>
    <t xml:space="preserve">Gen Accrual</t>
  </si>
  <si>
    <t xml:space="preserve">Hedge Accrual</t>
  </si>
  <si>
    <t xml:space="preserve">Total Accrual</t>
  </si>
  <si>
    <t xml:space="preserve">Gen MTM</t>
  </si>
  <si>
    <t xml:space="preserve">Hedge MTM</t>
  </si>
  <si>
    <t xml:space="preserve">Total MTM</t>
  </si>
  <si>
    <t xml:space="preserve">Prior Curve</t>
  </si>
  <si>
    <t xml:space="preserve">Current Curve</t>
  </si>
  <si>
    <t xml:space="preserve">Accrual P&amp;L</t>
  </si>
  <si>
    <t xml:space="preserve">MTM P&amp;L</t>
  </si>
  <si>
    <t xml:space="preserve">MWh</t>
  </si>
  <si>
    <t xml:space="preserve">P&amp;L</t>
  </si>
  <si>
    <t xml:space="preserve">Wheatland Gas</t>
  </si>
  <si>
    <t xml:space="preserve">Lincoln Center Gas</t>
  </si>
  <si>
    <t xml:space="preserve">Hedge Gas</t>
  </si>
  <si>
    <t xml:space="preserve">Wheatland Power</t>
  </si>
  <si>
    <t xml:space="preserve">Lincoln Center Power</t>
  </si>
  <si>
    <t xml:space="preserve">LT MW Shorts</t>
  </si>
  <si>
    <t xml:space="preserve">MW Hedge</t>
  </si>
  <si>
    <t xml:space="preserve">Shorts</t>
  </si>
  <si>
    <t xml:space="preserve">CALENDAR GAS POSITIONS</t>
  </si>
  <si>
    <t xml:space="preserve">Accrural</t>
  </si>
  <si>
    <t xml:space="preserve">MTM</t>
  </si>
  <si>
    <t xml:space="preserve">NYMEX POSITION MANAGER</t>
  </si>
  <si>
    <t xml:space="preserve">NYMEX - Cinergy</t>
  </si>
  <si>
    <t xml:space="preserve">Strip</t>
  </si>
  <si>
    <t xml:space="preserve">CURRENT</t>
  </si>
  <si>
    <t xml:space="preserve">NYMEX Price</t>
  </si>
  <si>
    <t xml:space="preserve">APR</t>
  </si>
  <si>
    <t xml:space="preserve">AUG</t>
  </si>
  <si>
    <t xml:space="preserve">DEC</t>
  </si>
  <si>
    <t xml:space="preserve">FEB</t>
  </si>
  <si>
    <t xml:space="preserve">JAN</t>
  </si>
  <si>
    <t xml:space="preserve">JUL</t>
  </si>
  <si>
    <t xml:space="preserve">OTC/Future</t>
  </si>
  <si>
    <t xml:space="preserve">Avg</t>
  </si>
  <si>
    <t xml:space="preserve">Abs</t>
  </si>
  <si>
    <t xml:space="preserve">JUN</t>
  </si>
  <si>
    <t xml:space="preserve">Contracts</t>
  </si>
  <si>
    <t xml:space="preserve">Contract</t>
  </si>
  <si>
    <t xml:space="preserve">$</t>
  </si>
  <si>
    <t xml:space="preserve">Vol</t>
  </si>
  <si>
    <t xml:space="preserve">Est.</t>
  </si>
  <si>
    <t xml:space="preserve">Discount</t>
  </si>
  <si>
    <t xml:space="preserve">MAR</t>
  </si>
  <si>
    <t xml:space="preserve">MAY</t>
  </si>
  <si>
    <t xml:space="preserve">NOV</t>
  </si>
  <si>
    <t xml:space="preserve">OCT</t>
  </si>
  <si>
    <t xml:space="preserve">SEP</t>
  </si>
  <si>
    <t xml:space="preserve">NEW DEALS IN OTHER REGIONS </t>
  </si>
  <si>
    <t xml:space="preserve">Total New Deal:</t>
  </si>
  <si>
    <t xml:space="preserve">Peak(P)</t>
  </si>
  <si>
    <t xml:space="preserve">Average </t>
  </si>
  <si>
    <t xml:space="preserve">Region</t>
  </si>
  <si>
    <t xml:space="preserve">Off-Peak(OP)</t>
  </si>
  <si>
    <t xml:space="preserve">Volume (PVMWh)</t>
  </si>
  <si>
    <t xml:space="preserve">Deal ($)</t>
  </si>
  <si>
    <t xml:space="preserve">Disount Hours</t>
  </si>
  <si>
    <t xml:space="preserve">Applied Discount Hours</t>
  </si>
  <si>
    <t xml:space="preserve">Peak/Off-Peak</t>
  </si>
  <si>
    <t xml:space="preserve">Regions</t>
  </si>
  <si>
    <t xml:space="preserve">R1 NYEast</t>
  </si>
  <si>
    <t xml:space="preserve">P</t>
  </si>
  <si>
    <t xml:space="preserve">R1A PJM</t>
  </si>
  <si>
    <t xml:space="preserve">OP</t>
  </si>
  <si>
    <t xml:space="preserve">R1B NEPOOL</t>
  </si>
  <si>
    <t xml:space="preserve">B14 NYWest</t>
  </si>
  <si>
    <t xml:space="preserve">R3 SERC</t>
  </si>
  <si>
    <t xml:space="preserve">R3A SERC-Fla</t>
  </si>
  <si>
    <t xml:space="preserve">R3B TVA</t>
  </si>
  <si>
    <t xml:space="preserve">R5 Entergy</t>
  </si>
  <si>
    <t xml:space="preserve">B18 Associated</t>
  </si>
  <si>
    <t xml:space="preserve">R6 ERCOT</t>
  </si>
  <si>
    <t xml:space="preserve">Nymex Curves for Power</t>
  </si>
  <si>
    <t xml:space="preserve">TELERATE FEEDS FOR POWER</t>
  </si>
  <si>
    <t xml:space="preserve">Prior Day Nymex Curves for Gas</t>
  </si>
  <si>
    <t xml:space="preserve">Current Day Nymex Curves for Gas</t>
  </si>
  <si>
    <t xml:space="preserve">Database</t>
  </si>
  <si>
    <t xml:space="preserve">EGSPROD32</t>
  </si>
  <si>
    <t xml:space="preserve">NYMEX/ACCESS</t>
  </si>
  <si>
    <t xml:space="preserve">ACCESS</t>
  </si>
  <si>
    <t xml:space="preserve">Login</t>
  </si>
  <si>
    <t xml:space="preserve">MODEL_PC</t>
  </si>
  <si>
    <t xml:space="preserve">LAST</t>
  </si>
  <si>
    <t xml:space="preserve">CHANGE</t>
  </si>
  <si>
    <t xml:space="preserve">CLOSE</t>
  </si>
  <si>
    <t xml:space="preserve">RefDt</t>
  </si>
  <si>
    <t xml:space="preserve">Peak Posn</t>
  </si>
  <si>
    <t xml:space="preserve">Password</t>
  </si>
  <si>
    <t xml:space="preserve">Prior NYMEX</t>
  </si>
  <si>
    <t xml:space="preserve">Prior Vol</t>
  </si>
  <si>
    <t xml:space="preserve">Current NYMEX</t>
  </si>
  <si>
    <t xml:space="preserve">Current Vol</t>
  </si>
  <si>
    <t xml:space="preserve">Effective Date</t>
  </si>
  <si>
    <t xml:space="preserve">Prompt Month</t>
  </si>
  <si>
    <t xml:space="preserve">Curve Code</t>
  </si>
  <si>
    <t xml:space="preserve">PWCN</t>
  </si>
  <si>
    <t xml:space="preserve">NG</t>
  </si>
  <si>
    <t xml:space="preserve">Curve Type</t>
  </si>
  <si>
    <t xml:space="preserve">PR</t>
  </si>
  <si>
    <t xml:space="preserve">VO</t>
  </si>
  <si>
    <t xml:space="preserve">Gas Day's Change</t>
  </si>
  <si>
    <t xml:space="preserve">Nymex Live Data Feeds</t>
  </si>
  <si>
    <t xml:space="preserve">Book Code 1</t>
  </si>
  <si>
    <t xml:space="preserve">INTEREST RATE CURVE</t>
  </si>
  <si>
    <t xml:space="preserve">INTNS</t>
  </si>
  <si>
    <t xml:space="preserve">AA</t>
  </si>
  <si>
    <t xml:space="preserve">R</t>
  </si>
  <si>
    <t xml:space="preserve">Year</t>
  </si>
  <si>
    <t xml:space="preserve">Month</t>
  </si>
  <si>
    <t xml:space="preserve">Region:</t>
  </si>
  <si>
    <t xml:space="preserve">R4</t>
  </si>
  <si>
    <t xml:space="preserve">Term:</t>
  </si>
  <si>
    <t xml:space="preserve">Portfolio:</t>
  </si>
  <si>
    <t xml:space="preserve">MIDWEST</t>
  </si>
  <si>
    <t xml:space="preserve">Deal Type:</t>
  </si>
  <si>
    <t xml:space="preserve">Future</t>
  </si>
  <si>
    <t xml:space="preserve">Portfolio</t>
  </si>
  <si>
    <t xml:space="preserve">Name</t>
  </si>
  <si>
    <t xml:space="preserve">Deal Type</t>
  </si>
  <si>
    <t xml:space="preserve">Ref Dt</t>
  </si>
  <si>
    <t xml:space="preserve">OffPeak</t>
  </si>
  <si>
    <t xml:space="preserve">Sunday</t>
  </si>
  <si>
    <t xml:space="preserve">mtmDt</t>
  </si>
  <si>
    <t xml:space="preserve">Product ID</t>
  </si>
  <si>
    <t xml:space="preserve">Bid price</t>
  </si>
  <si>
    <t xml:space="preserve">Offer Price</t>
  </si>
  <si>
    <t xml:space="preserve">Actual time stamp</t>
  </si>
  <si>
    <t xml:space="preserve">Description</t>
  </si>
  <si>
    <t xml:space="preserve">Enter number of products</t>
  </si>
  <si>
    <t xml:space="preserve">Min</t>
  </si>
  <si>
    <t xml:space="preserve">Max</t>
  </si>
  <si>
    <t xml:space="preserve">Power Row</t>
  </si>
  <si>
    <t xml:space="preserve">Gas Row</t>
  </si>
  <si>
    <t xml:space="preserve">Next Day HeatRate</t>
  </si>
  <si>
    <t xml:space="preserve">Bal Mo HeatRate</t>
  </si>
  <si>
    <t xml:space="preserve">Prompt Month HeatRate</t>
  </si>
  <si>
    <t xml:space="preserve">JUNE4-8</t>
  </si>
  <si>
    <t xml:space="preserve">29-31</t>
  </si>
  <si>
    <t xml:space="preserve">Q ComEd</t>
  </si>
  <si>
    <t xml:space="preserve">Q1 Hub Swap</t>
  </si>
  <si>
    <t xml:space="preserve">Last 2 days</t>
  </si>
  <si>
    <t xml:space="preserve">M 03</t>
  </si>
  <si>
    <t xml:space="preserve">NQ 03</t>
  </si>
  <si>
    <t xml:space="preserve">4th Quarter NYH 1%</t>
  </si>
  <si>
    <t xml:space="preserve">4th Quarter Gulf Coast 3%</t>
  </si>
  <si>
    <t xml:space="preserve">F - G '03</t>
  </si>
  <si>
    <t xml:space="preserve">H - J '03</t>
  </si>
  <si>
    <t xml:space="preserve">K '03</t>
  </si>
  <si>
    <t xml:space="preserve">U '03</t>
  </si>
  <si>
    <t xml:space="preserve">Q4 '03</t>
  </si>
  <si>
    <t xml:space="preserve">Chic Cash</t>
  </si>
  <si>
    <t xml:space="preserve">Hub Cash</t>
  </si>
  <si>
    <t xml:space="preserve">F - G '02 ComEd Spread</t>
  </si>
  <si>
    <t xml:space="preserve">H - J '02 ComEd Spread</t>
  </si>
  <si>
    <t xml:space="preserve">K '02 ComEd Spread</t>
  </si>
  <si>
    <t xml:space="preserve">M '02 ComEd Spread</t>
  </si>
  <si>
    <t xml:space="preserve">N - Q '02 ComEd Spread</t>
  </si>
  <si>
    <t xml:space="preserve">U '02 ComEd Spread</t>
  </si>
  <si>
    <t xml:space="preserve">Q4 '02 ComEd Spread</t>
  </si>
  <si>
    <t xml:space="preserve">F - G '03 ComEd Spread</t>
  </si>
  <si>
    <t xml:space="preserve">H - J '03 ComEd Spread</t>
  </si>
  <si>
    <t xml:space="preserve">K '03 ComEd Spread</t>
  </si>
  <si>
    <t xml:space="preserve">M '03 ComEd Spread</t>
  </si>
  <si>
    <t xml:space="preserve">N - Q '03 ComEd Spread</t>
  </si>
  <si>
    <t xml:space="preserve">U '03 ComEd Spread</t>
  </si>
  <si>
    <t xml:space="preserve">Q4 '03 ComEd Spread</t>
  </si>
  <si>
    <t xml:space="preserve">Cal 02 ComEd spread</t>
  </si>
  <si>
    <t xml:space="preserve">Cal 03 ComEd spread</t>
  </si>
  <si>
    <t xml:space="preserve">Oct Cin Off-Peak</t>
  </si>
  <si>
    <t xml:space="preserve">Nov Cin Off-Peak</t>
  </si>
  <si>
    <t xml:space="preserve">Dec Cin Off-Peak</t>
  </si>
  <si>
    <t xml:space="preserve">Q4 Cin Off-Peak</t>
  </si>
  <si>
    <t xml:space="preserve">Oct ComEd Peak</t>
  </si>
  <si>
    <t xml:space="preserve">Dec ComEd Peak</t>
  </si>
  <si>
    <t xml:space="preserve">Q4 ComEd Peak</t>
  </si>
  <si>
    <t xml:space="preserve">Nov ComEd Peak</t>
  </si>
  <si>
    <t xml:space="preserve">F - G TVA</t>
  </si>
  <si>
    <t xml:space="preserve">H - J TVA</t>
  </si>
  <si>
    <t xml:space="preserve">K TVA</t>
  </si>
  <si>
    <t xml:space="preserve">M TVA</t>
  </si>
  <si>
    <t xml:space="preserve">N - Q TVA</t>
  </si>
  <si>
    <t xml:space="preserve">U TVA</t>
  </si>
  <si>
    <t xml:space="preserve">V TVA</t>
  </si>
  <si>
    <t xml:space="preserve">X TVA</t>
  </si>
  <si>
    <t xml:space="preserve">Z TVA</t>
  </si>
  <si>
    <t xml:space="preserve">Q4 '01 TVA</t>
  </si>
</sst>
</file>

<file path=xl/styles.xml><?xml version="1.0" encoding="utf-8"?>
<styleSheet xmlns="http://schemas.openxmlformats.org/spreadsheetml/2006/main">
  <numFmts count="42">
    <numFmt numFmtId="164" formatCode="General"/>
    <numFmt numFmtId="165" formatCode="[$-409]#,##0.00_);[RED]\(#,##0.00\)"/>
    <numFmt numFmtId="166" formatCode="[$-409]#,##0_);[RED]\(#,##0\)"/>
    <numFmt numFmtId="167" formatCode="[$-409]d\-mmm\-yy"/>
    <numFmt numFmtId="168" formatCode="[$-409]mmm\-yy"/>
    <numFmt numFmtId="169" formatCode="0"/>
    <numFmt numFmtId="170" formatCode="_(\$* #,##0.00_);_(\$* \(#,##0.00\);_(\$* \-??_);_(@_)"/>
    <numFmt numFmtId="171" formatCode="_(* #,##0.00_);_(* \(#,##0.00\);_(* \-??_);_(@_)"/>
    <numFmt numFmtId="172" formatCode="#,##0.000_);[RED]\(#,##0.000\)"/>
    <numFmt numFmtId="173" formatCode="0.000"/>
    <numFmt numFmtId="174" formatCode="0.00_);[RED]\(0.00\)"/>
    <numFmt numFmtId="175" formatCode="_(* #,##0_);_(* \(#,##0\);_(* \-??_);_(@_)"/>
    <numFmt numFmtId="176" formatCode="#,##0.0_);[RED]\(#,##0.0\)"/>
    <numFmt numFmtId="177" formatCode="[$-409]m/d/yyyy"/>
    <numFmt numFmtId="178" formatCode="_(* #,##0_);_(* \(#,##0\);_(* \-_);_(@_)"/>
    <numFmt numFmtId="179" formatCode="0_);[RED]\(0\)"/>
    <numFmt numFmtId="180" formatCode="0.00"/>
    <numFmt numFmtId="181" formatCode="#,##0.0000000_);[RED]\(#,##0.0000000\)"/>
    <numFmt numFmtId="182" formatCode="#,##0.0000_);[RED]\(#,##0.0000\)"/>
    <numFmt numFmtId="183" formatCode="[$-409]h:mm\ AM/PM"/>
    <numFmt numFmtId="184" formatCode="0.0"/>
    <numFmt numFmtId="185" formatCode="0.000_);[RED]\(0.000\)"/>
    <numFmt numFmtId="186" formatCode="[$-409]#,##0.00_);\(#,##0.00\)"/>
    <numFmt numFmtId="187" formatCode="0.000000"/>
    <numFmt numFmtId="188" formatCode="0_);\(0\)"/>
    <numFmt numFmtId="189" formatCode="[$-409]#,##0_);\(#,##0\)"/>
    <numFmt numFmtId="190" formatCode="mmmm"/>
    <numFmt numFmtId="191" formatCode="_(\$* #,##0_);_(\$* \(#,##0\);_(\$* \-??_);_(@_)"/>
    <numFmt numFmtId="192" formatCode="_(* #,##0.0000_);_(* \(#,##0.0000\);_(* \-??_);_(@_)"/>
    <numFmt numFmtId="193" formatCode="m/d"/>
    <numFmt numFmtId="194" formatCode="mmmm\-yy"/>
    <numFmt numFmtId="195" formatCode="0_);[RED]\-0_)"/>
    <numFmt numFmtId="196" formatCode="dd\-mmm\-yy_)"/>
    <numFmt numFmtId="197" formatCode="m/d/yyyy\ h:mm:ss"/>
    <numFmt numFmtId="198" formatCode="_(* #,##0.000_);_(* \(#,##0.000\);_(* \-??_);_(@_)"/>
    <numFmt numFmtId="199" formatCode="dd\-mmm\-yyyy"/>
    <numFmt numFmtId="200" formatCode="0.0000"/>
    <numFmt numFmtId="201" formatCode="m/d/yy"/>
    <numFmt numFmtId="202" formatCode="m/d/yy\ h:mm\ AM/PM"/>
    <numFmt numFmtId="203" formatCode="[$-409]d\-mmm"/>
    <numFmt numFmtId="204" formatCode="_(\$* #,##0.000_);_(\$* \(#,##0.000\);_(\$* \-??_);_(@_)"/>
    <numFmt numFmtId="205" formatCode="_(\$* #,##0.0000_);_(\$* \(#,##0.0000\);_(\$* \-??_);_(@_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14"/>
      <name val="Arial"/>
      <family val="2"/>
    </font>
    <font>
      <b val="true"/>
      <sz val="10"/>
      <color rgb="FFFF0000"/>
      <name val="Arial"/>
      <family val="2"/>
    </font>
    <font>
      <b val="true"/>
      <u val="single"/>
      <sz val="16"/>
      <color rgb="FF33330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0"/>
    </font>
    <font>
      <sz val="14"/>
      <name val="Arial"/>
      <family val="2"/>
    </font>
    <font>
      <sz val="12"/>
      <name val="Arial"/>
      <family val="0"/>
    </font>
    <font>
      <sz val="12"/>
      <name val="Arial"/>
      <family val="2"/>
    </font>
    <font>
      <b val="true"/>
      <sz val="14"/>
      <color rgb="FF0000FF"/>
      <name val="Arial"/>
      <family val="2"/>
    </font>
    <font>
      <b val="true"/>
      <sz val="14"/>
      <color rgb="FF339933"/>
      <name val="Arial"/>
      <family val="2"/>
    </font>
    <font>
      <b val="true"/>
      <sz val="9.5"/>
      <name val="Arial"/>
      <family val="2"/>
    </font>
    <font>
      <b val="true"/>
      <sz val="10"/>
      <color rgb="FFFFFFFF"/>
      <name val="Arial"/>
      <family val="2"/>
    </font>
    <font>
      <b val="true"/>
      <sz val="9"/>
      <name val="Arial"/>
      <family val="2"/>
    </font>
    <font>
      <sz val="11"/>
      <name val="Arial"/>
      <family val="2"/>
    </font>
    <font>
      <b val="true"/>
      <sz val="12"/>
      <name val="Arial"/>
      <family val="0"/>
    </font>
    <font>
      <b val="true"/>
      <sz val="12"/>
      <color rgb="FFFF0000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color rgb="FF00000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b val="true"/>
      <sz val="16"/>
      <name val="Arial"/>
      <family val="2"/>
    </font>
    <font>
      <b val="true"/>
      <u val="single"/>
      <sz val="14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u val="double"/>
      <sz val="10"/>
      <name val="Arial"/>
      <family val="2"/>
    </font>
    <font>
      <b val="true"/>
      <u val="double"/>
      <sz val="10"/>
      <name val="Arial"/>
      <family val="2"/>
    </font>
    <font>
      <b val="true"/>
      <u val="single"/>
      <sz val="14"/>
      <color rgb="FFFF0000"/>
      <name val="Arial"/>
      <family val="2"/>
    </font>
    <font>
      <b val="true"/>
      <sz val="18"/>
      <name val="Arial"/>
      <family val="0"/>
    </font>
    <font>
      <b val="true"/>
      <sz val="14"/>
      <color rgb="FFFF0000"/>
      <name val="Arial"/>
      <family val="2"/>
    </font>
    <font>
      <sz val="10"/>
      <color rgb="FF000000"/>
      <name val="Arial"/>
      <family val="2"/>
    </font>
    <font>
      <b val="true"/>
      <u val="single"/>
      <sz val="12"/>
      <color rgb="FF000000"/>
      <name val="Arial"/>
      <family val="2"/>
    </font>
    <font>
      <sz val="10"/>
      <color rgb="FF000000"/>
      <name val="Courier New"/>
      <family val="3"/>
    </font>
    <font>
      <sz val="9"/>
      <color rgb="FF00FF00"/>
      <name val="Courier New"/>
      <family val="0"/>
    </font>
    <font>
      <sz val="12"/>
      <color rgb="FF00FF00"/>
      <name val="Courier New"/>
      <family val="0"/>
    </font>
    <font>
      <b val="true"/>
      <sz val="10"/>
      <color rgb="FF000000"/>
      <name val="MS Sans Serif"/>
      <family val="0"/>
    </font>
    <font>
      <sz val="10"/>
      <color rgb="FF0000FF"/>
      <name val="Courier New"/>
      <family val="0"/>
    </font>
    <font>
      <u val="single"/>
      <sz val="12"/>
      <color rgb="FF000000"/>
      <name val="Arial"/>
      <family val="2"/>
    </font>
    <font>
      <sz val="10"/>
      <color rgb="FF000000"/>
      <name val="MS Sans Serif"/>
      <family val="0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00"/>
        <bgColor rgb="FFFFFF00"/>
      </patternFill>
    </fill>
    <fill>
      <patternFill patternType="solid">
        <fgColor rgb="FF69FFFF"/>
        <bgColor rgb="FFA0E0E0"/>
      </patternFill>
    </fill>
    <fill>
      <patternFill patternType="solid">
        <fgColor rgb="FFC0C0C0"/>
        <bgColor rgb="FFA0E0E0"/>
      </patternFill>
    </fill>
    <fill>
      <patternFill patternType="solid">
        <fgColor rgb="FFFFFFC0"/>
        <bgColor rgb="FFFFFF99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0"/>
      </patternFill>
    </fill>
    <fill>
      <patternFill patternType="solid">
        <fgColor rgb="FFA0E0E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E3E3E3"/>
        <bgColor rgb="FFCCFFCC"/>
      </patternFill>
    </fill>
    <fill>
      <patternFill patternType="solid">
        <fgColor rgb="FF33CCCC"/>
        <bgColor rgb="FF00CCFF"/>
      </patternFill>
    </fill>
    <fill>
      <patternFill patternType="solid">
        <fgColor rgb="FF7F0000"/>
        <bgColor rgb="FF800000"/>
      </patternFill>
    </fill>
    <fill>
      <patternFill patternType="solid">
        <fgColor rgb="FF00CCFF"/>
        <bgColor rgb="FF33CCCC"/>
      </patternFill>
    </fill>
    <fill>
      <patternFill patternType="solid">
        <fgColor rgb="FF000000"/>
        <bgColor rgb="FF003300"/>
      </patternFill>
    </fill>
  </fills>
  <borders count="52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</cellStyleXfs>
  <cellXfs count="10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4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5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7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2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4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6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5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9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4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6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9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4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5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6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5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8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7" fillId="8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9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7" fillId="8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7" fillId="8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4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5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7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8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4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4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6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6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9" fillId="5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5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9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4" fillId="7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6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9" fillId="5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9" fillId="5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5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2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9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8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11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11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11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4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11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11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11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11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11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11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2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6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6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6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0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23" fillId="5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4" fillId="5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27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7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3" fillId="6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3" fillId="0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0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7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7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3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3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23" fillId="0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23" fillId="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38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0" fillId="6" borderId="39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6" borderId="4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3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5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9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4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4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7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39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0" borderId="2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8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8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2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36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4" fillId="6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5" fontId="7" fillId="6" borderId="2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4" fillId="6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23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9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23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2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3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19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4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6" borderId="4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3" fillId="2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2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12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12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1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23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5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4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23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6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4" fillId="6" borderId="1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3" fillId="12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12" borderId="3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12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12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12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12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3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3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5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5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4" fillId="6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0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0" borderId="1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7" borderId="1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23" fillId="0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1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4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6" borderId="3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13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1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3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3" fillId="6" borderId="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6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7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4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4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11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7" fillId="11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9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3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9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9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9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88" fontId="31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6" borderId="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4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13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6" fillId="5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6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6" fillId="5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5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13" fillId="6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6" borderId="16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5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3" fillId="5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5" borderId="5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3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91" fontId="2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13" fillId="8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3" fillId="8" borderId="1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7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3" fillId="8" borderId="2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7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1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8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1" fontId="3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8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0" fillId="8" borderId="5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1" fontId="0" fillId="8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0" fillId="8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4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8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4" fillId="8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4" fillId="8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4" fillId="8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4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8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1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1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1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5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5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5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9" fillId="5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2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0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5" fillId="9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0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9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4" fillId="6" borderId="4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2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7" fillId="0" borderId="2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7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0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3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6" borderId="3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6" borderId="4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39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39" fillId="5" borderId="5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7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6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7" fontId="16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16" fillId="5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6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6" fillId="0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16" fillId="5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6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16" fillId="5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6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41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41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1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43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4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3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40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0" borderId="0" xfId="2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48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46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6" fontId="48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5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5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3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3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20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INT" xfId="20"/>
    <cellStyle name="Normal_Interest" xfId="21"/>
  </cellStyles>
  <dxfs count="1">
    <dxf>
      <font>
        <name val="Arial"/>
        <family val="0"/>
        <color rgb="00FFFFFF"/>
      </font>
      <fill>
        <patternFill>
          <bgColor rgb="FF69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F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69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0E0E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CheckBox" autoLine="false" print="true" fmlaLink="TradeSum!$C$4" lockText="1" noThreeD="1"/>
</file>

<file path=xl/ctrlProps/ctrlProps5.xml><?xml version="1.0" encoding="utf-8"?>
<formControlPr xmlns="http://schemas.microsoft.com/office/spreadsheetml/2009/9/main" objectType="CheckBox" checked="Checked" autoLine="false" print="true" fmlaLink="TradeSum!$R$9" lockText="1" noThreeD="1"/>
</file>

<file path=xl/ctrlProps/ctrlProps6.xml><?xml version="1.0" encoding="utf-8"?>
<formControlPr xmlns="http://schemas.microsoft.com/office/spreadsheetml/2009/9/main" objectType="CheckBox" autoLine="false" print="true" fmlaLink="TradeSum!$C$4" lockText="1" noThreeD="1"/>
</file>

<file path=xl/ctrlProps/ctrlProps7.xml><?xml version="1.0" encoding="utf-8"?>
<formControlPr xmlns="http://schemas.microsoft.com/office/spreadsheetml/2009/9/main" objectType="CheckBox" checked="Checked" autoLine="false" print="true" fmlaLink="TradeSum!$R$53" lockText="1" noThreeD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5</xdr:row>
          <xdr:rowOff>0</xdr:rowOff>
        </xdr:from>
        <xdr:to>
          <xdr:col>4</xdr:col>
          <xdr:colOff>102240</xdr:colOff>
          <xdr:row>7</xdr:row>
          <xdr:rowOff>38160</xdr:rowOff>
        </xdr:to>
        <xdr:sp>
          <xdr:nvSpPr>
            <xdr:cNvPr id="1001" name="Button 8" descr="END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END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1</xdr:row>
          <xdr:rowOff>0</xdr:rowOff>
        </xdr:from>
        <xdr:to>
          <xdr:col>4</xdr:col>
          <xdr:colOff>102240</xdr:colOff>
          <xdr:row>2</xdr:row>
          <xdr:rowOff>95040</xdr:rowOff>
        </xdr:to>
        <xdr:sp>
          <xdr:nvSpPr>
            <xdr:cNvPr id="1002" name="Button 1" descr="PRINT SUM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SUM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8</xdr:row>
          <xdr:rowOff>37800</xdr:rowOff>
        </xdr:from>
        <xdr:to>
          <xdr:col>18</xdr:col>
          <xdr:colOff>-663480</xdr:colOff>
          <xdr:row>9</xdr:row>
          <xdr:rowOff>-19440</xdr:rowOff>
        </xdr:to>
        <xdr:sp>
          <xdr:nvSpPr>
            <xdr:cNvPr id="1003" name="Check Box 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8</xdr:row>
          <xdr:rowOff>37800</xdr:rowOff>
        </xdr:from>
        <xdr:to>
          <xdr:col>18</xdr:col>
          <xdr:colOff>-593280</xdr:colOff>
          <xdr:row>9</xdr:row>
          <xdr:rowOff>-38880</xdr:rowOff>
        </xdr:to>
        <xdr:sp>
          <xdr:nvSpPr>
            <xdr:cNvPr id="1004" name="Check Box 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52</xdr:row>
          <xdr:rowOff>38160</xdr:rowOff>
        </xdr:from>
        <xdr:to>
          <xdr:col>18</xdr:col>
          <xdr:colOff>-663480</xdr:colOff>
          <xdr:row>53</xdr:row>
          <xdr:rowOff>-29160</xdr:rowOff>
        </xdr:to>
        <xdr:sp>
          <xdr:nvSpPr>
            <xdr:cNvPr id="1005" name="Check Box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52</xdr:row>
          <xdr:rowOff>38160</xdr:rowOff>
        </xdr:from>
        <xdr:to>
          <xdr:col>18</xdr:col>
          <xdr:colOff>-593280</xdr:colOff>
          <xdr:row>53</xdr:row>
          <xdr:rowOff>-47880</xdr:rowOff>
        </xdr:to>
        <xdr:sp>
          <xdr:nvSpPr>
            <xdr:cNvPr id="1006" name="Check Box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3</xdr:row>
          <xdr:rowOff>0</xdr:rowOff>
        </xdr:from>
        <xdr:to>
          <xdr:col>4</xdr:col>
          <xdr:colOff>102240</xdr:colOff>
          <xdr:row>4</xdr:row>
          <xdr:rowOff>132840</xdr:rowOff>
        </xdr:to>
        <xdr:sp>
          <xdr:nvSpPr>
            <xdr:cNvPr id="1007" name="Button 7" descr="ROLL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SHEET</a:t>
              </a:r>
            </a:p>
          </xdr:txBody>
        </xdr:sp>
        <xdr:clientData/>
      </xdr:twoCellAnchor>
    </mc:Choice>
  </mc:AlternateContent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29880</xdr:colOff>
          <xdr:row>3</xdr:row>
          <xdr:rowOff>9360</xdr:rowOff>
        </xdr:from>
        <xdr:to>
          <xdr:col>10</xdr:col>
          <xdr:colOff>51480</xdr:colOff>
          <xdr:row>4</xdr:row>
          <xdr:rowOff>9720</xdr:rowOff>
        </xdr:to>
        <xdr:sp>
          <xdr:nvSpPr>
            <xdr:cNvPr id="0" name="Option Button 1" descr="Li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Live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29880</xdr:colOff>
          <xdr:row>4</xdr:row>
          <xdr:rowOff>9720</xdr:rowOff>
        </xdr:from>
        <xdr:to>
          <xdr:col>10</xdr:col>
          <xdr:colOff>51480</xdr:colOff>
          <xdr:row>5</xdr:row>
          <xdr:rowOff>0</xdr:rowOff>
        </xdr:to>
        <xdr:sp>
          <xdr:nvSpPr>
            <xdr:cNvPr id="0" name="Option Button 2" descr="Clo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Close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1</xdr:col>
          <xdr:colOff>720</xdr:colOff>
          <xdr:row>8</xdr:row>
          <xdr:rowOff>-9360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0</xdr:rowOff>
        </xdr:from>
        <xdr:to>
          <xdr:col>3</xdr:col>
          <xdr:colOff>1080</xdr:colOff>
          <xdr:row>8</xdr:row>
          <xdr:rowOff>-9360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720</xdr:colOff>
          <xdr:row>10</xdr:row>
          <xdr:rowOff>-9360</xdr:rowOff>
        </xdr:to>
        <xdr:sp>
          <xdr:nvSpPr>
            <xdr:cNvPr id="0" name="Drop Down 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0</xdr:rowOff>
        </xdr:from>
        <xdr:to>
          <xdr:col>1</xdr:col>
          <xdr:colOff>720</xdr:colOff>
          <xdr:row>11</xdr:row>
          <xdr:rowOff>-9360</xdr:rowOff>
        </xdr:to>
        <xdr:sp>
          <xdr:nvSpPr>
            <xdr:cNvPr id="0" name="Drop Down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1</xdr:col>
          <xdr:colOff>720</xdr:colOff>
          <xdr:row>12</xdr:row>
          <xdr:rowOff>-9360</xdr:rowOff>
        </xdr:to>
        <xdr:sp>
          <xdr:nvSpPr>
            <xdr:cNvPr id="0" name="Drop Down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1</xdr:col>
          <xdr:colOff>720</xdr:colOff>
          <xdr:row>13</xdr:row>
          <xdr:rowOff>-9720</xdr:rowOff>
        </xdr:to>
        <xdr:sp>
          <xdr:nvSpPr>
            <xdr:cNvPr id="0" name="Drop Down 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0</xdr:rowOff>
        </xdr:from>
        <xdr:to>
          <xdr:col>1</xdr:col>
          <xdr:colOff>720</xdr:colOff>
          <xdr:row>14</xdr:row>
          <xdr:rowOff>-9360</xdr:rowOff>
        </xdr:to>
        <xdr:sp>
          <xdr:nvSpPr>
            <xdr:cNvPr id="0" name="Drop Down 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0</xdr:rowOff>
        </xdr:from>
        <xdr:to>
          <xdr:col>1</xdr:col>
          <xdr:colOff>720</xdr:colOff>
          <xdr:row>15</xdr:row>
          <xdr:rowOff>-9360</xdr:rowOff>
        </xdr:to>
        <xdr:sp>
          <xdr:nvSpPr>
            <xdr:cNvPr id="0" name="Drop Down 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0</xdr:rowOff>
        </xdr:from>
        <xdr:to>
          <xdr:col>1</xdr:col>
          <xdr:colOff>720</xdr:colOff>
          <xdr:row>16</xdr:row>
          <xdr:rowOff>-9360</xdr:rowOff>
        </xdr:to>
        <xdr:sp>
          <xdr:nvSpPr>
            <xdr:cNvPr id="0" name="Drop Down 1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1</xdr:col>
          <xdr:colOff>720</xdr:colOff>
          <xdr:row>17</xdr:row>
          <xdr:rowOff>-9360</xdr:rowOff>
        </xdr:to>
        <xdr:sp>
          <xdr:nvSpPr>
            <xdr:cNvPr id="0" name="Drop Down 1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1</xdr:col>
          <xdr:colOff>720</xdr:colOff>
          <xdr:row>18</xdr:row>
          <xdr:rowOff>-9360</xdr:rowOff>
        </xdr:to>
        <xdr:sp>
          <xdr:nvSpPr>
            <xdr:cNvPr id="0" name="Drop Down 1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0</xdr:rowOff>
        </xdr:from>
        <xdr:to>
          <xdr:col>1</xdr:col>
          <xdr:colOff>720</xdr:colOff>
          <xdr:row>19</xdr:row>
          <xdr:rowOff>-9360</xdr:rowOff>
        </xdr:to>
        <xdr:sp>
          <xdr:nvSpPr>
            <xdr:cNvPr id="0" name="Drop Down 1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1</xdr:col>
          <xdr:colOff>720</xdr:colOff>
          <xdr:row>20</xdr:row>
          <xdr:rowOff>-9360</xdr:rowOff>
        </xdr:to>
        <xdr:sp>
          <xdr:nvSpPr>
            <xdr:cNvPr id="0" name="Drop Down 1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1</xdr:col>
          <xdr:colOff>720</xdr:colOff>
          <xdr:row>21</xdr:row>
          <xdr:rowOff>-9720</xdr:rowOff>
        </xdr:to>
        <xdr:sp>
          <xdr:nvSpPr>
            <xdr:cNvPr id="0" name="Drop Down 1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1</xdr:col>
          <xdr:colOff>720</xdr:colOff>
          <xdr:row>22</xdr:row>
          <xdr:rowOff>-9360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1</xdr:col>
          <xdr:colOff>720</xdr:colOff>
          <xdr:row>23</xdr:row>
          <xdr:rowOff>-9360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1</xdr:col>
          <xdr:colOff>720</xdr:colOff>
          <xdr:row>24</xdr:row>
          <xdr:rowOff>-9360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0</xdr:rowOff>
        </xdr:from>
        <xdr:to>
          <xdr:col>1</xdr:col>
          <xdr:colOff>720</xdr:colOff>
          <xdr:row>25</xdr:row>
          <xdr:rowOff>-9360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1</xdr:col>
          <xdr:colOff>720</xdr:colOff>
          <xdr:row>26</xdr:row>
          <xdr:rowOff>-9360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26</xdr:row>
          <xdr:rowOff>0</xdr:rowOff>
        </xdr:from>
        <xdr:to>
          <xdr:col>1</xdr:col>
          <xdr:colOff>720</xdr:colOff>
          <xdr:row>27</xdr:row>
          <xdr:rowOff>-9360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1</xdr:col>
          <xdr:colOff>720</xdr:colOff>
          <xdr:row>28</xdr:row>
          <xdr:rowOff>-9360</xdr:rowOff>
        </xdr:to>
        <xdr:sp>
          <xdr:nvSpPr>
            <xdr:cNvPr id="0" name="Drop Down 2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0</xdr:rowOff>
        </xdr:from>
        <xdr:to>
          <xdr:col>1</xdr:col>
          <xdr:colOff>720</xdr:colOff>
          <xdr:row>29</xdr:row>
          <xdr:rowOff>-9720</xdr:rowOff>
        </xdr:to>
        <xdr:sp>
          <xdr:nvSpPr>
            <xdr:cNvPr id="0" name="Drop Down 2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0</xdr:rowOff>
        </xdr:from>
        <xdr:to>
          <xdr:col>1</xdr:col>
          <xdr:colOff>720</xdr:colOff>
          <xdr:row>30</xdr:row>
          <xdr:rowOff>-9360</xdr:rowOff>
        </xdr:to>
        <xdr:sp>
          <xdr:nvSpPr>
            <xdr:cNvPr id="0" name="Drop Down 2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1</xdr:col>
          <xdr:colOff>720</xdr:colOff>
          <xdr:row>31</xdr:row>
          <xdr:rowOff>-9360</xdr:rowOff>
        </xdr:to>
        <xdr:sp>
          <xdr:nvSpPr>
            <xdr:cNvPr id="0" name="Drop Down 2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0</xdr:rowOff>
        </xdr:from>
        <xdr:to>
          <xdr:col>1</xdr:col>
          <xdr:colOff>720</xdr:colOff>
          <xdr:row>32</xdr:row>
          <xdr:rowOff>-9360</xdr:rowOff>
        </xdr:to>
        <xdr:sp>
          <xdr:nvSpPr>
            <xdr:cNvPr id="0" name="Drop Down 2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32</xdr:row>
          <xdr:rowOff>0</xdr:rowOff>
        </xdr:from>
        <xdr:to>
          <xdr:col>1</xdr:col>
          <xdr:colOff>720</xdr:colOff>
          <xdr:row>33</xdr:row>
          <xdr:rowOff>-9360</xdr:rowOff>
        </xdr:to>
        <xdr:sp>
          <xdr:nvSpPr>
            <xdr:cNvPr id="0" name="Drop Down 2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0</xdr:rowOff>
        </xdr:from>
        <xdr:to>
          <xdr:col>1</xdr:col>
          <xdr:colOff>720</xdr:colOff>
          <xdr:row>34</xdr:row>
          <xdr:rowOff>-9360</xdr:rowOff>
        </xdr:to>
        <xdr:sp>
          <xdr:nvSpPr>
            <xdr:cNvPr id="0" name="Drop Down 2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0</xdr:rowOff>
        </xdr:from>
        <xdr:to>
          <xdr:col>1</xdr:col>
          <xdr:colOff>720</xdr:colOff>
          <xdr:row>35</xdr:row>
          <xdr:rowOff>-9360</xdr:rowOff>
        </xdr:to>
        <xdr:sp>
          <xdr:nvSpPr>
            <xdr:cNvPr id="0" name="Drop Down 2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35</xdr:row>
          <xdr:rowOff>0</xdr:rowOff>
        </xdr:from>
        <xdr:to>
          <xdr:col>1</xdr:col>
          <xdr:colOff>720</xdr:colOff>
          <xdr:row>36</xdr:row>
          <xdr:rowOff>-9360</xdr:rowOff>
        </xdr:to>
        <xdr:sp>
          <xdr:nvSpPr>
            <xdr:cNvPr id="0" name="Drop Down 3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0</xdr:rowOff>
        </xdr:from>
        <xdr:to>
          <xdr:col>1</xdr:col>
          <xdr:colOff>720</xdr:colOff>
          <xdr:row>37</xdr:row>
          <xdr:rowOff>-9720</xdr:rowOff>
        </xdr:to>
        <xdr:sp>
          <xdr:nvSpPr>
            <xdr:cNvPr id="0" name="Drop Down 3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0</xdr:rowOff>
        </xdr:from>
        <xdr:to>
          <xdr:col>1</xdr:col>
          <xdr:colOff>720</xdr:colOff>
          <xdr:row>38</xdr:row>
          <xdr:rowOff>-9360</xdr:rowOff>
        </xdr:to>
        <xdr:sp>
          <xdr:nvSpPr>
            <xdr:cNvPr id="0" name="Drop Down 3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0</xdr:rowOff>
        </xdr:from>
        <xdr:to>
          <xdr:col>1</xdr:col>
          <xdr:colOff>720</xdr:colOff>
          <xdr:row>39</xdr:row>
          <xdr:rowOff>-9360</xdr:rowOff>
        </xdr:to>
        <xdr:sp>
          <xdr:nvSpPr>
            <xdr:cNvPr id="0" name="Drop Down 3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0</xdr:rowOff>
        </xdr:from>
        <xdr:to>
          <xdr:col>1</xdr:col>
          <xdr:colOff>720</xdr:colOff>
          <xdr:row>39</xdr:row>
          <xdr:rowOff>-9360</xdr:rowOff>
        </xdr:to>
        <xdr:sp>
          <xdr:nvSpPr>
            <xdr:cNvPr id="0" name="Drop Down 3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39</xdr:row>
          <xdr:rowOff>0</xdr:rowOff>
        </xdr:from>
        <xdr:to>
          <xdr:col>1</xdr:col>
          <xdr:colOff>720</xdr:colOff>
          <xdr:row>40</xdr:row>
          <xdr:rowOff>-9360</xdr:rowOff>
        </xdr:to>
        <xdr:sp>
          <xdr:nvSpPr>
            <xdr:cNvPr id="0" name="Drop Down 3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0</xdr:rowOff>
        </xdr:from>
        <xdr:to>
          <xdr:col>1</xdr:col>
          <xdr:colOff>720</xdr:colOff>
          <xdr:row>41</xdr:row>
          <xdr:rowOff>-9360</xdr:rowOff>
        </xdr:to>
        <xdr:sp>
          <xdr:nvSpPr>
            <xdr:cNvPr id="0" name="Drop Down 3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41</xdr:row>
          <xdr:rowOff>0</xdr:rowOff>
        </xdr:from>
        <xdr:to>
          <xdr:col>1</xdr:col>
          <xdr:colOff>720</xdr:colOff>
          <xdr:row>42</xdr:row>
          <xdr:rowOff>-9360</xdr:rowOff>
        </xdr:to>
        <xdr:sp>
          <xdr:nvSpPr>
            <xdr:cNvPr id="0" name="Drop Down 3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42</xdr:row>
          <xdr:rowOff>0</xdr:rowOff>
        </xdr:from>
        <xdr:to>
          <xdr:col>1</xdr:col>
          <xdr:colOff>720</xdr:colOff>
          <xdr:row>43</xdr:row>
          <xdr:rowOff>-9360</xdr:rowOff>
        </xdr:to>
        <xdr:sp>
          <xdr:nvSpPr>
            <xdr:cNvPr id="0" name="Drop Down 3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43</xdr:row>
          <xdr:rowOff>0</xdr:rowOff>
        </xdr:from>
        <xdr:to>
          <xdr:col>1</xdr:col>
          <xdr:colOff>720</xdr:colOff>
          <xdr:row>44</xdr:row>
          <xdr:rowOff>-9360</xdr:rowOff>
        </xdr:to>
        <xdr:sp>
          <xdr:nvSpPr>
            <xdr:cNvPr id="0" name="Drop Down 3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0</xdr:rowOff>
        </xdr:from>
        <xdr:to>
          <xdr:col>1</xdr:col>
          <xdr:colOff>720</xdr:colOff>
          <xdr:row>46</xdr:row>
          <xdr:rowOff>-19080</xdr:rowOff>
        </xdr:to>
        <xdr:sp>
          <xdr:nvSpPr>
            <xdr:cNvPr id="0" name="Drop Down 4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</xdr:row>
          <xdr:rowOff>0</xdr:rowOff>
        </xdr:from>
        <xdr:to>
          <xdr:col>3</xdr:col>
          <xdr:colOff>1080</xdr:colOff>
          <xdr:row>9</xdr:row>
          <xdr:rowOff>-9360</xdr:rowOff>
        </xdr:to>
        <xdr:sp>
          <xdr:nvSpPr>
            <xdr:cNvPr id="0" name="Drop Down 4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3</xdr:col>
          <xdr:colOff>1080</xdr:colOff>
          <xdr:row>10</xdr:row>
          <xdr:rowOff>-9360</xdr:rowOff>
        </xdr:to>
        <xdr:sp>
          <xdr:nvSpPr>
            <xdr:cNvPr id="0" name="Drop Down 4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</xdr:row>
          <xdr:rowOff>0</xdr:rowOff>
        </xdr:from>
        <xdr:to>
          <xdr:col>3</xdr:col>
          <xdr:colOff>1080</xdr:colOff>
          <xdr:row>11</xdr:row>
          <xdr:rowOff>-9360</xdr:rowOff>
        </xdr:to>
        <xdr:sp>
          <xdr:nvSpPr>
            <xdr:cNvPr id="0" name="Drop Down 4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</xdr:row>
          <xdr:rowOff>0</xdr:rowOff>
        </xdr:from>
        <xdr:to>
          <xdr:col>3</xdr:col>
          <xdr:colOff>1080</xdr:colOff>
          <xdr:row>12</xdr:row>
          <xdr:rowOff>-9360</xdr:rowOff>
        </xdr:to>
        <xdr:sp>
          <xdr:nvSpPr>
            <xdr:cNvPr id="0" name="Drop Down 4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</xdr:row>
          <xdr:rowOff>0</xdr:rowOff>
        </xdr:from>
        <xdr:to>
          <xdr:col>3</xdr:col>
          <xdr:colOff>1080</xdr:colOff>
          <xdr:row>13</xdr:row>
          <xdr:rowOff>-9720</xdr:rowOff>
        </xdr:to>
        <xdr:sp>
          <xdr:nvSpPr>
            <xdr:cNvPr id="0" name="Drop Down 4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3</xdr:col>
          <xdr:colOff>1080</xdr:colOff>
          <xdr:row>14</xdr:row>
          <xdr:rowOff>-9360</xdr:rowOff>
        </xdr:to>
        <xdr:sp>
          <xdr:nvSpPr>
            <xdr:cNvPr id="0" name="Drop Down 4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3</xdr:col>
          <xdr:colOff>1080</xdr:colOff>
          <xdr:row>15</xdr:row>
          <xdr:rowOff>-9360</xdr:rowOff>
        </xdr:to>
        <xdr:sp>
          <xdr:nvSpPr>
            <xdr:cNvPr id="0" name="Drop Down 4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3</xdr:col>
          <xdr:colOff>1080</xdr:colOff>
          <xdr:row>16</xdr:row>
          <xdr:rowOff>-9360</xdr:rowOff>
        </xdr:to>
        <xdr:sp>
          <xdr:nvSpPr>
            <xdr:cNvPr id="0" name="Drop Down 4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0</xdr:rowOff>
        </xdr:from>
        <xdr:to>
          <xdr:col>3</xdr:col>
          <xdr:colOff>1080</xdr:colOff>
          <xdr:row>17</xdr:row>
          <xdr:rowOff>-9360</xdr:rowOff>
        </xdr:to>
        <xdr:sp>
          <xdr:nvSpPr>
            <xdr:cNvPr id="0" name="Drop Down 5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3</xdr:col>
          <xdr:colOff>1080</xdr:colOff>
          <xdr:row>18</xdr:row>
          <xdr:rowOff>-9360</xdr:rowOff>
        </xdr:to>
        <xdr:sp>
          <xdr:nvSpPr>
            <xdr:cNvPr id="0" name="Drop Down 5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</xdr:row>
          <xdr:rowOff>0</xdr:rowOff>
        </xdr:from>
        <xdr:to>
          <xdr:col>3</xdr:col>
          <xdr:colOff>1080</xdr:colOff>
          <xdr:row>19</xdr:row>
          <xdr:rowOff>-9360</xdr:rowOff>
        </xdr:to>
        <xdr:sp>
          <xdr:nvSpPr>
            <xdr:cNvPr id="0" name="Drop Down 5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0</xdr:rowOff>
        </xdr:from>
        <xdr:to>
          <xdr:col>3</xdr:col>
          <xdr:colOff>1080</xdr:colOff>
          <xdr:row>20</xdr:row>
          <xdr:rowOff>-9360</xdr:rowOff>
        </xdr:to>
        <xdr:sp>
          <xdr:nvSpPr>
            <xdr:cNvPr id="0" name="Drop Down 5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0</xdr:rowOff>
        </xdr:from>
        <xdr:to>
          <xdr:col>3</xdr:col>
          <xdr:colOff>1080</xdr:colOff>
          <xdr:row>21</xdr:row>
          <xdr:rowOff>-9720</xdr:rowOff>
        </xdr:to>
        <xdr:sp>
          <xdr:nvSpPr>
            <xdr:cNvPr id="0" name="Drop Down 5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3</xdr:col>
          <xdr:colOff>1080</xdr:colOff>
          <xdr:row>22</xdr:row>
          <xdr:rowOff>-9360</xdr:rowOff>
        </xdr:to>
        <xdr:sp>
          <xdr:nvSpPr>
            <xdr:cNvPr id="0" name="Drop Down 5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0</xdr:rowOff>
        </xdr:from>
        <xdr:to>
          <xdr:col>3</xdr:col>
          <xdr:colOff>1080</xdr:colOff>
          <xdr:row>23</xdr:row>
          <xdr:rowOff>-9360</xdr:rowOff>
        </xdr:to>
        <xdr:sp>
          <xdr:nvSpPr>
            <xdr:cNvPr id="0" name="Drop Down 5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3</xdr:col>
          <xdr:colOff>1080</xdr:colOff>
          <xdr:row>24</xdr:row>
          <xdr:rowOff>-9360</xdr:rowOff>
        </xdr:to>
        <xdr:sp>
          <xdr:nvSpPr>
            <xdr:cNvPr id="0" name="Drop Down 5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0</xdr:rowOff>
        </xdr:from>
        <xdr:to>
          <xdr:col>3</xdr:col>
          <xdr:colOff>1080</xdr:colOff>
          <xdr:row>25</xdr:row>
          <xdr:rowOff>-9360</xdr:rowOff>
        </xdr:to>
        <xdr:sp>
          <xdr:nvSpPr>
            <xdr:cNvPr id="0" name="Drop Down 5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25</xdr:row>
          <xdr:rowOff>0</xdr:rowOff>
        </xdr:from>
        <xdr:to>
          <xdr:col>3</xdr:col>
          <xdr:colOff>1080</xdr:colOff>
          <xdr:row>26</xdr:row>
          <xdr:rowOff>-9360</xdr:rowOff>
        </xdr:to>
        <xdr:sp>
          <xdr:nvSpPr>
            <xdr:cNvPr id="0" name="Drop Down 5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0</xdr:rowOff>
        </xdr:from>
        <xdr:to>
          <xdr:col>3</xdr:col>
          <xdr:colOff>1080</xdr:colOff>
          <xdr:row>27</xdr:row>
          <xdr:rowOff>-9360</xdr:rowOff>
        </xdr:to>
        <xdr:sp>
          <xdr:nvSpPr>
            <xdr:cNvPr id="0" name="Drop Down 6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3</xdr:col>
          <xdr:colOff>1080</xdr:colOff>
          <xdr:row>28</xdr:row>
          <xdr:rowOff>-9360</xdr:rowOff>
        </xdr:to>
        <xdr:sp>
          <xdr:nvSpPr>
            <xdr:cNvPr id="0" name="Drop Down 6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3</xdr:col>
          <xdr:colOff>1080</xdr:colOff>
          <xdr:row>29</xdr:row>
          <xdr:rowOff>-9720</xdr:rowOff>
        </xdr:to>
        <xdr:sp>
          <xdr:nvSpPr>
            <xdr:cNvPr id="0" name="Drop Down 6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0</xdr:rowOff>
        </xdr:from>
        <xdr:to>
          <xdr:col>3</xdr:col>
          <xdr:colOff>1080</xdr:colOff>
          <xdr:row>30</xdr:row>
          <xdr:rowOff>-9360</xdr:rowOff>
        </xdr:to>
        <xdr:sp>
          <xdr:nvSpPr>
            <xdr:cNvPr id="0" name="Drop Down 6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3</xdr:col>
          <xdr:colOff>1080</xdr:colOff>
          <xdr:row>31</xdr:row>
          <xdr:rowOff>-9360</xdr:rowOff>
        </xdr:to>
        <xdr:sp>
          <xdr:nvSpPr>
            <xdr:cNvPr id="0" name="Drop Down 6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0</xdr:rowOff>
        </xdr:from>
        <xdr:to>
          <xdr:col>3</xdr:col>
          <xdr:colOff>1080</xdr:colOff>
          <xdr:row>32</xdr:row>
          <xdr:rowOff>-9360</xdr:rowOff>
        </xdr:to>
        <xdr:sp>
          <xdr:nvSpPr>
            <xdr:cNvPr id="0" name="Drop Down 6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</xdr:row>
          <xdr:rowOff>0</xdr:rowOff>
        </xdr:from>
        <xdr:to>
          <xdr:col>3</xdr:col>
          <xdr:colOff>1080</xdr:colOff>
          <xdr:row>33</xdr:row>
          <xdr:rowOff>-9360</xdr:rowOff>
        </xdr:to>
        <xdr:sp>
          <xdr:nvSpPr>
            <xdr:cNvPr id="0" name="Drop Down 6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33</xdr:row>
          <xdr:rowOff>0</xdr:rowOff>
        </xdr:from>
        <xdr:to>
          <xdr:col>3</xdr:col>
          <xdr:colOff>1080</xdr:colOff>
          <xdr:row>34</xdr:row>
          <xdr:rowOff>-9360</xdr:rowOff>
        </xdr:to>
        <xdr:sp>
          <xdr:nvSpPr>
            <xdr:cNvPr id="0" name="Drop Down 6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3</xdr:col>
          <xdr:colOff>1080</xdr:colOff>
          <xdr:row>36</xdr:row>
          <xdr:rowOff>-9360</xdr:rowOff>
        </xdr:to>
        <xdr:sp>
          <xdr:nvSpPr>
            <xdr:cNvPr id="0" name="Drop Down 6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36</xdr:row>
          <xdr:rowOff>0</xdr:rowOff>
        </xdr:from>
        <xdr:to>
          <xdr:col>3</xdr:col>
          <xdr:colOff>1080</xdr:colOff>
          <xdr:row>37</xdr:row>
          <xdr:rowOff>-9720</xdr:rowOff>
        </xdr:to>
        <xdr:sp>
          <xdr:nvSpPr>
            <xdr:cNvPr id="0" name="Drop Down 7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37</xdr:row>
          <xdr:rowOff>0</xdr:rowOff>
        </xdr:from>
        <xdr:to>
          <xdr:col>3</xdr:col>
          <xdr:colOff>1080</xdr:colOff>
          <xdr:row>38</xdr:row>
          <xdr:rowOff>-9360</xdr:rowOff>
        </xdr:to>
        <xdr:sp>
          <xdr:nvSpPr>
            <xdr:cNvPr id="0" name="Drop Down 7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38</xdr:row>
          <xdr:rowOff>0</xdr:rowOff>
        </xdr:from>
        <xdr:to>
          <xdr:col>3</xdr:col>
          <xdr:colOff>1080</xdr:colOff>
          <xdr:row>39</xdr:row>
          <xdr:rowOff>-9360</xdr:rowOff>
        </xdr:to>
        <xdr:sp>
          <xdr:nvSpPr>
            <xdr:cNvPr id="0" name="Drop Down 7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0</xdr:rowOff>
        </xdr:from>
        <xdr:to>
          <xdr:col>3</xdr:col>
          <xdr:colOff>1080</xdr:colOff>
          <xdr:row>40</xdr:row>
          <xdr:rowOff>-9360</xdr:rowOff>
        </xdr:to>
        <xdr:sp>
          <xdr:nvSpPr>
            <xdr:cNvPr id="0" name="Drop Down 7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40</xdr:row>
          <xdr:rowOff>0</xdr:rowOff>
        </xdr:from>
        <xdr:to>
          <xdr:col>3</xdr:col>
          <xdr:colOff>1080</xdr:colOff>
          <xdr:row>41</xdr:row>
          <xdr:rowOff>-9360</xdr:rowOff>
        </xdr:to>
        <xdr:sp>
          <xdr:nvSpPr>
            <xdr:cNvPr id="0" name="Drop Down 7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41</xdr:row>
          <xdr:rowOff>0</xdr:rowOff>
        </xdr:from>
        <xdr:to>
          <xdr:col>3</xdr:col>
          <xdr:colOff>1080</xdr:colOff>
          <xdr:row>42</xdr:row>
          <xdr:rowOff>-9360</xdr:rowOff>
        </xdr:to>
        <xdr:sp>
          <xdr:nvSpPr>
            <xdr:cNvPr id="0" name="Drop Down 7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42</xdr:row>
          <xdr:rowOff>0</xdr:rowOff>
        </xdr:from>
        <xdr:to>
          <xdr:col>3</xdr:col>
          <xdr:colOff>1080</xdr:colOff>
          <xdr:row>43</xdr:row>
          <xdr:rowOff>-9360</xdr:rowOff>
        </xdr:to>
        <xdr:sp>
          <xdr:nvSpPr>
            <xdr:cNvPr id="0" name="Drop Down 7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43</xdr:row>
          <xdr:rowOff>0</xdr:rowOff>
        </xdr:from>
        <xdr:to>
          <xdr:col>3</xdr:col>
          <xdr:colOff>1080</xdr:colOff>
          <xdr:row>44</xdr:row>
          <xdr:rowOff>-9360</xdr:rowOff>
        </xdr:to>
        <xdr:sp>
          <xdr:nvSpPr>
            <xdr:cNvPr id="0" name="Drop Down 7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44</xdr:row>
          <xdr:rowOff>0</xdr:rowOff>
        </xdr:from>
        <xdr:to>
          <xdr:col>3</xdr:col>
          <xdr:colOff>1080</xdr:colOff>
          <xdr:row>45</xdr:row>
          <xdr:rowOff>-9720</xdr:rowOff>
        </xdr:to>
        <xdr:sp>
          <xdr:nvSpPr>
            <xdr:cNvPr id="0" name="Drop Down 7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44</xdr:row>
          <xdr:rowOff>0</xdr:rowOff>
        </xdr:from>
        <xdr:to>
          <xdr:col>3</xdr:col>
          <xdr:colOff>1080</xdr:colOff>
          <xdr:row>45</xdr:row>
          <xdr:rowOff>-9720</xdr:rowOff>
        </xdr:to>
        <xdr:sp>
          <xdr:nvSpPr>
            <xdr:cNvPr id="0" name="Drop Down 7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45</xdr:row>
          <xdr:rowOff>0</xdr:rowOff>
        </xdr:from>
        <xdr:to>
          <xdr:col>3</xdr:col>
          <xdr:colOff>1080</xdr:colOff>
          <xdr:row>46</xdr:row>
          <xdr:rowOff>-19080</xdr:rowOff>
        </xdr:to>
        <xdr:sp>
          <xdr:nvSpPr>
            <xdr:cNvPr id="0" name="Drop Down 8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8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720</xdr:colOff>
          <xdr:row>10</xdr:row>
          <xdr:rowOff>-9360</xdr:rowOff>
        </xdr:to>
        <xdr:sp>
          <xdr:nvSpPr>
            <xdr:cNvPr id="0" name="Drop Down 8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8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720</xdr:colOff>
          <xdr:row>10</xdr:row>
          <xdr:rowOff>-9360</xdr:rowOff>
        </xdr:to>
        <xdr:sp>
          <xdr:nvSpPr>
            <xdr:cNvPr id="0" name="Drop Down 8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1</xdr:col>
          <xdr:colOff>720</xdr:colOff>
          <xdr:row>12</xdr:row>
          <xdr:rowOff>-9360</xdr:rowOff>
        </xdr:to>
        <xdr:sp>
          <xdr:nvSpPr>
            <xdr:cNvPr id="0" name="Drop Down 8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1</xdr:col>
          <xdr:colOff>720</xdr:colOff>
          <xdr:row>13</xdr:row>
          <xdr:rowOff>-9720</xdr:rowOff>
        </xdr:to>
        <xdr:sp>
          <xdr:nvSpPr>
            <xdr:cNvPr id="0" name="Drop Down 8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0</xdr:rowOff>
        </xdr:from>
        <xdr:to>
          <xdr:col>1</xdr:col>
          <xdr:colOff>720</xdr:colOff>
          <xdr:row>14</xdr:row>
          <xdr:rowOff>-9360</xdr:rowOff>
        </xdr:to>
        <xdr:sp>
          <xdr:nvSpPr>
            <xdr:cNvPr id="0" name="Drop Down 8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0</xdr:rowOff>
        </xdr:from>
        <xdr:to>
          <xdr:col>1</xdr:col>
          <xdr:colOff>720</xdr:colOff>
          <xdr:row>15</xdr:row>
          <xdr:rowOff>-9360</xdr:rowOff>
        </xdr:to>
        <xdr:sp>
          <xdr:nvSpPr>
            <xdr:cNvPr id="0" name="Drop Down 8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1</xdr:col>
          <xdr:colOff>720</xdr:colOff>
          <xdr:row>17</xdr:row>
          <xdr:rowOff>-9360</xdr:rowOff>
        </xdr:to>
        <xdr:sp>
          <xdr:nvSpPr>
            <xdr:cNvPr id="0" name="Drop Down 9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0</xdr:rowOff>
        </xdr:from>
        <xdr:to>
          <xdr:col>1</xdr:col>
          <xdr:colOff>720</xdr:colOff>
          <xdr:row>16</xdr:row>
          <xdr:rowOff>-9360</xdr:rowOff>
        </xdr:to>
        <xdr:sp>
          <xdr:nvSpPr>
            <xdr:cNvPr id="0" name="Drop Down 9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1</xdr:col>
          <xdr:colOff>720</xdr:colOff>
          <xdr:row>18</xdr:row>
          <xdr:rowOff>-9360</xdr:rowOff>
        </xdr:to>
        <xdr:sp>
          <xdr:nvSpPr>
            <xdr:cNvPr id="0" name="Drop Down 9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0</xdr:rowOff>
        </xdr:from>
        <xdr:to>
          <xdr:col>1</xdr:col>
          <xdr:colOff>720</xdr:colOff>
          <xdr:row>19</xdr:row>
          <xdr:rowOff>-9360</xdr:rowOff>
        </xdr:to>
        <xdr:sp>
          <xdr:nvSpPr>
            <xdr:cNvPr id="0" name="Drop Down 9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1</xdr:col>
          <xdr:colOff>720</xdr:colOff>
          <xdr:row>20</xdr:row>
          <xdr:rowOff>-9360</xdr:rowOff>
        </xdr:to>
        <xdr:sp>
          <xdr:nvSpPr>
            <xdr:cNvPr id="0" name="Drop Down 9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1</xdr:col>
          <xdr:colOff>720</xdr:colOff>
          <xdr:row>21</xdr:row>
          <xdr:rowOff>-9720</xdr:rowOff>
        </xdr:to>
        <xdr:sp>
          <xdr:nvSpPr>
            <xdr:cNvPr id="0" name="Drop Down 9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1</xdr:col>
          <xdr:colOff>720</xdr:colOff>
          <xdr:row>22</xdr:row>
          <xdr:rowOff>-9360</xdr:rowOff>
        </xdr:to>
        <xdr:sp>
          <xdr:nvSpPr>
            <xdr:cNvPr id="0" name="Drop Down 9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1</xdr:col>
          <xdr:colOff>720</xdr:colOff>
          <xdr:row>23</xdr:row>
          <xdr:rowOff>-9360</xdr:rowOff>
        </xdr:to>
        <xdr:sp>
          <xdr:nvSpPr>
            <xdr:cNvPr id="0" name="Drop Down 9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1</xdr:col>
          <xdr:colOff>720</xdr:colOff>
          <xdr:row>24</xdr:row>
          <xdr:rowOff>-9360</xdr:rowOff>
        </xdr:to>
        <xdr:sp>
          <xdr:nvSpPr>
            <xdr:cNvPr id="0" name="Drop Down 9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0</xdr:rowOff>
        </xdr:from>
        <xdr:to>
          <xdr:col>1</xdr:col>
          <xdr:colOff>720</xdr:colOff>
          <xdr:row>25</xdr:row>
          <xdr:rowOff>-9360</xdr:rowOff>
        </xdr:to>
        <xdr:sp>
          <xdr:nvSpPr>
            <xdr:cNvPr id="0" name="Drop Down 9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1</xdr:col>
          <xdr:colOff>720</xdr:colOff>
          <xdr:row>26</xdr:row>
          <xdr:rowOff>-9360</xdr:rowOff>
        </xdr:to>
        <xdr:sp>
          <xdr:nvSpPr>
            <xdr:cNvPr id="0" name="Drop Down 10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26</xdr:row>
          <xdr:rowOff>0</xdr:rowOff>
        </xdr:from>
        <xdr:to>
          <xdr:col>1</xdr:col>
          <xdr:colOff>720</xdr:colOff>
          <xdr:row>27</xdr:row>
          <xdr:rowOff>-9360</xdr:rowOff>
        </xdr:to>
        <xdr:sp>
          <xdr:nvSpPr>
            <xdr:cNvPr id="0" name="Drop Down 10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1</xdr:col>
          <xdr:colOff>720</xdr:colOff>
          <xdr:row>28</xdr:row>
          <xdr:rowOff>-9360</xdr:rowOff>
        </xdr:to>
        <xdr:sp>
          <xdr:nvSpPr>
            <xdr:cNvPr id="0" name="Drop Down 10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0</xdr:rowOff>
        </xdr:from>
        <xdr:to>
          <xdr:col>1</xdr:col>
          <xdr:colOff>720</xdr:colOff>
          <xdr:row>29</xdr:row>
          <xdr:rowOff>-9720</xdr:rowOff>
        </xdr:to>
        <xdr:sp>
          <xdr:nvSpPr>
            <xdr:cNvPr id="0" name="Drop Down 10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0</xdr:rowOff>
        </xdr:from>
        <xdr:to>
          <xdr:col>1</xdr:col>
          <xdr:colOff>720</xdr:colOff>
          <xdr:row>30</xdr:row>
          <xdr:rowOff>-9360</xdr:rowOff>
        </xdr:to>
        <xdr:sp>
          <xdr:nvSpPr>
            <xdr:cNvPr id="0" name="Drop Down 10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1</xdr:col>
          <xdr:colOff>720</xdr:colOff>
          <xdr:row>31</xdr:row>
          <xdr:rowOff>-9360</xdr:rowOff>
        </xdr:to>
        <xdr:sp>
          <xdr:nvSpPr>
            <xdr:cNvPr id="0" name="Drop Down 10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32</xdr:row>
          <xdr:rowOff>0</xdr:rowOff>
        </xdr:from>
        <xdr:to>
          <xdr:col>1</xdr:col>
          <xdr:colOff>720</xdr:colOff>
          <xdr:row>33</xdr:row>
          <xdr:rowOff>-9360</xdr:rowOff>
        </xdr:to>
        <xdr:sp>
          <xdr:nvSpPr>
            <xdr:cNvPr id="0" name="Drop Down 10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0</xdr:rowOff>
        </xdr:from>
        <xdr:to>
          <xdr:col>1</xdr:col>
          <xdr:colOff>720</xdr:colOff>
          <xdr:row>32</xdr:row>
          <xdr:rowOff>-9360</xdr:rowOff>
        </xdr:to>
        <xdr:sp>
          <xdr:nvSpPr>
            <xdr:cNvPr id="0" name="Drop Down 10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0</xdr:rowOff>
        </xdr:from>
        <xdr:to>
          <xdr:col>1</xdr:col>
          <xdr:colOff>720</xdr:colOff>
          <xdr:row>34</xdr:row>
          <xdr:rowOff>-9360</xdr:rowOff>
        </xdr:to>
        <xdr:sp>
          <xdr:nvSpPr>
            <xdr:cNvPr id="0" name="Drop Down 10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0</xdr:rowOff>
        </xdr:from>
        <xdr:to>
          <xdr:col>1</xdr:col>
          <xdr:colOff>720</xdr:colOff>
          <xdr:row>35</xdr:row>
          <xdr:rowOff>-9360</xdr:rowOff>
        </xdr:to>
        <xdr:sp>
          <xdr:nvSpPr>
            <xdr:cNvPr id="0" name="Drop Down 10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35</xdr:row>
          <xdr:rowOff>0</xdr:rowOff>
        </xdr:from>
        <xdr:to>
          <xdr:col>1</xdr:col>
          <xdr:colOff>720</xdr:colOff>
          <xdr:row>36</xdr:row>
          <xdr:rowOff>-9360</xdr:rowOff>
        </xdr:to>
        <xdr:sp>
          <xdr:nvSpPr>
            <xdr:cNvPr id="0" name="Drop Down 11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0</xdr:rowOff>
        </xdr:from>
        <xdr:to>
          <xdr:col>1</xdr:col>
          <xdr:colOff>720</xdr:colOff>
          <xdr:row>37</xdr:row>
          <xdr:rowOff>-9720</xdr:rowOff>
        </xdr:to>
        <xdr:sp>
          <xdr:nvSpPr>
            <xdr:cNvPr id="0" name="Drop Down 11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0</xdr:rowOff>
        </xdr:from>
        <xdr:to>
          <xdr:col>1</xdr:col>
          <xdr:colOff>720</xdr:colOff>
          <xdr:row>38</xdr:row>
          <xdr:rowOff>-9360</xdr:rowOff>
        </xdr:to>
        <xdr:sp>
          <xdr:nvSpPr>
            <xdr:cNvPr id="0" name="Drop Down 11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0</xdr:rowOff>
        </xdr:from>
        <xdr:to>
          <xdr:col>1</xdr:col>
          <xdr:colOff>720</xdr:colOff>
          <xdr:row>39</xdr:row>
          <xdr:rowOff>-9360</xdr:rowOff>
        </xdr:to>
        <xdr:sp>
          <xdr:nvSpPr>
            <xdr:cNvPr id="0" name="Drop Down 11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39</xdr:row>
          <xdr:rowOff>0</xdr:rowOff>
        </xdr:from>
        <xdr:to>
          <xdr:col>1</xdr:col>
          <xdr:colOff>720</xdr:colOff>
          <xdr:row>40</xdr:row>
          <xdr:rowOff>-9360</xdr:rowOff>
        </xdr:to>
        <xdr:sp>
          <xdr:nvSpPr>
            <xdr:cNvPr id="0" name="Drop Down 11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0</xdr:rowOff>
        </xdr:from>
        <xdr:to>
          <xdr:col>1</xdr:col>
          <xdr:colOff>720</xdr:colOff>
          <xdr:row>41</xdr:row>
          <xdr:rowOff>-9360</xdr:rowOff>
        </xdr:to>
        <xdr:sp>
          <xdr:nvSpPr>
            <xdr:cNvPr id="0" name="Drop Down 11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41</xdr:row>
          <xdr:rowOff>0</xdr:rowOff>
        </xdr:from>
        <xdr:to>
          <xdr:col>1</xdr:col>
          <xdr:colOff>720</xdr:colOff>
          <xdr:row>42</xdr:row>
          <xdr:rowOff>-9360</xdr:rowOff>
        </xdr:to>
        <xdr:sp>
          <xdr:nvSpPr>
            <xdr:cNvPr id="0" name="Drop Down 1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42</xdr:row>
          <xdr:rowOff>0</xdr:rowOff>
        </xdr:from>
        <xdr:to>
          <xdr:col>1</xdr:col>
          <xdr:colOff>720</xdr:colOff>
          <xdr:row>43</xdr:row>
          <xdr:rowOff>-9360</xdr:rowOff>
        </xdr:to>
        <xdr:sp>
          <xdr:nvSpPr>
            <xdr:cNvPr id="0" name="Drop Down 1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43</xdr:row>
          <xdr:rowOff>0</xdr:rowOff>
        </xdr:from>
        <xdr:to>
          <xdr:col>1</xdr:col>
          <xdr:colOff>720</xdr:colOff>
          <xdr:row>44</xdr:row>
          <xdr:rowOff>-9360</xdr:rowOff>
        </xdr:to>
        <xdr:sp>
          <xdr:nvSpPr>
            <xdr:cNvPr id="0" name="Drop Down 1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0</xdr:rowOff>
        </xdr:from>
        <xdr:to>
          <xdr:col>1</xdr:col>
          <xdr:colOff>720</xdr:colOff>
          <xdr:row>45</xdr:row>
          <xdr:rowOff>-9720</xdr:rowOff>
        </xdr:to>
        <xdr:sp>
          <xdr:nvSpPr>
            <xdr:cNvPr id="0" name="Drop Down 1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0</xdr:rowOff>
        </xdr:from>
        <xdr:to>
          <xdr:col>1</xdr:col>
          <xdr:colOff>720</xdr:colOff>
          <xdr:row>46</xdr:row>
          <xdr:rowOff>-19080</xdr:rowOff>
        </xdr:to>
        <xdr:sp>
          <xdr:nvSpPr>
            <xdr:cNvPr id="0" name="Drop Down 1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1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34</xdr:row>
          <xdr:rowOff>0</xdr:rowOff>
        </xdr:from>
        <xdr:to>
          <xdr:col>3</xdr:col>
          <xdr:colOff>1080</xdr:colOff>
          <xdr:row>35</xdr:row>
          <xdr:rowOff>-9360</xdr:rowOff>
        </xdr:to>
        <xdr:sp>
          <xdr:nvSpPr>
            <xdr:cNvPr id="0" name="Drop Down 12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362520</xdr:colOff>
          <xdr:row>0</xdr:row>
          <xdr:rowOff>142920</xdr:rowOff>
        </xdr:from>
        <xdr:to>
          <xdr:col>3</xdr:col>
          <xdr:colOff>529200</xdr:colOff>
          <xdr:row>2</xdr:row>
          <xdr:rowOff>124200</xdr:rowOff>
        </xdr:to>
        <xdr:sp>
          <xdr:nvSpPr>
            <xdr:cNvPr id="1001" name="Button 1" descr="Pul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Pull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289080</xdr:colOff>
          <xdr:row>0</xdr:row>
          <xdr:rowOff>9360</xdr:rowOff>
        </xdr:from>
        <xdr:to>
          <xdr:col>16</xdr:col>
          <xdr:colOff>349920</xdr:colOff>
          <xdr:row>1</xdr:row>
          <xdr:rowOff>123840</xdr:rowOff>
        </xdr:to>
        <xdr:sp>
          <xdr:nvSpPr>
            <xdr:cNvPr id="1002" name="Button 2" descr="Get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358920</xdr:colOff>
          <xdr:row>1</xdr:row>
          <xdr:rowOff>142920</xdr:rowOff>
        </xdr:from>
        <xdr:to>
          <xdr:col>32</xdr:col>
          <xdr:colOff>120240</xdr:colOff>
          <xdr:row>3</xdr:row>
          <xdr:rowOff>162000</xdr:rowOff>
        </xdr:to>
        <xdr:sp>
          <xdr:nvSpPr>
            <xdr:cNvPr id="1003" name="Button 5" descr="Get New NYMEX Cur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New NYMEX Curve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583560</xdr:colOff>
          <xdr:row>1</xdr:row>
          <xdr:rowOff>86040</xdr:rowOff>
        </xdr:from>
        <xdr:to>
          <xdr:col>2</xdr:col>
          <xdr:colOff>765720</xdr:colOff>
          <xdr:row>3</xdr:row>
          <xdr:rowOff>57240</xdr:rowOff>
        </xdr:to>
        <xdr:sp>
          <xdr:nvSpPr>
            <xdr:cNvPr id="1001" name="Button 1" descr="GET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POSITION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MW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2/Curve/NEW_SYS/SE/SESU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PEAK Basis Change"/>
      <sheetName val="Cinergy"/>
      <sheetName val="OFF PEAK Basis Change"/>
      <sheetName val="CinergyFinancial"/>
      <sheetName val="COMED"/>
      <sheetName val="OPPD_NPPD"/>
      <sheetName val="ComedFinancial"/>
      <sheetName val="Manitoba"/>
      <sheetName val="NSP"/>
      <sheetName val="AEP"/>
      <sheetName val="Tfinancial"/>
      <sheetName val="Tregion"/>
      <sheetName val="Ameren"/>
      <sheetName val="Illinois"/>
      <sheetName val="Michigan"/>
      <sheetName val="OtherPosn"/>
      <sheetName val="Tbasis"/>
      <sheetName val="Cd"/>
    </sheetNames>
    <sheetDataSet>
      <sheetData sheetId="0">
        <row r="4">
          <cell r="B4">
            <v>37141</v>
          </cell>
        </row>
        <row r="5">
          <cell r="B5">
            <v>37140</v>
          </cell>
        </row>
      </sheetData>
      <sheetData sheetId="1"/>
      <sheetData sheetId="2">
        <row r="3">
          <cell r="D3">
            <v>37142</v>
          </cell>
        </row>
        <row r="3">
          <cell r="O3">
            <v>0</v>
          </cell>
        </row>
        <row r="3">
          <cell r="T3">
            <v>0</v>
          </cell>
        </row>
        <row r="4">
          <cell r="D4">
            <v>37143</v>
          </cell>
        </row>
        <row r="4">
          <cell r="O4">
            <v>0</v>
          </cell>
        </row>
        <row r="4">
          <cell r="T4">
            <v>0</v>
          </cell>
        </row>
        <row r="5">
          <cell r="D5">
            <v>37144</v>
          </cell>
        </row>
        <row r="5">
          <cell r="O5">
            <v>-23099.123046875</v>
          </cell>
        </row>
        <row r="5">
          <cell r="T5">
            <v>0</v>
          </cell>
        </row>
        <row r="6">
          <cell r="D6">
            <v>37145</v>
          </cell>
        </row>
        <row r="6">
          <cell r="O6">
            <v>-23100.814453125</v>
          </cell>
        </row>
        <row r="6">
          <cell r="T6">
            <v>0</v>
          </cell>
        </row>
        <row r="7">
          <cell r="D7">
            <v>37146</v>
          </cell>
        </row>
        <row r="7">
          <cell r="O7">
            <v>-23102.958984375</v>
          </cell>
        </row>
        <row r="7">
          <cell r="T7">
            <v>0</v>
          </cell>
        </row>
        <row r="8">
          <cell r="D8">
            <v>37147</v>
          </cell>
        </row>
        <row r="8">
          <cell r="O8">
            <v>-23105.8359375</v>
          </cell>
        </row>
        <row r="8">
          <cell r="T8">
            <v>0</v>
          </cell>
        </row>
        <row r="9">
          <cell r="D9">
            <v>37148</v>
          </cell>
        </row>
        <row r="9">
          <cell r="O9">
            <v>-23109.23828125</v>
          </cell>
        </row>
        <row r="9">
          <cell r="T9">
            <v>0</v>
          </cell>
        </row>
        <row r="10">
          <cell r="D10">
            <v>37149</v>
          </cell>
        </row>
        <row r="10">
          <cell r="O10">
            <v>0</v>
          </cell>
        </row>
        <row r="10">
          <cell r="T10">
            <v>0</v>
          </cell>
        </row>
        <row r="11">
          <cell r="D11">
            <v>37150</v>
          </cell>
        </row>
        <row r="11">
          <cell r="O11">
            <v>0</v>
          </cell>
        </row>
        <row r="11">
          <cell r="T11">
            <v>0</v>
          </cell>
        </row>
        <row r="12">
          <cell r="D12">
            <v>37151</v>
          </cell>
        </row>
        <row r="12">
          <cell r="O12">
            <v>-23918.509765625</v>
          </cell>
        </row>
        <row r="12">
          <cell r="T12">
            <v>0</v>
          </cell>
        </row>
        <row r="13">
          <cell r="D13">
            <v>37152</v>
          </cell>
        </row>
        <row r="13">
          <cell r="O13">
            <v>-23934.15625</v>
          </cell>
        </row>
        <row r="13">
          <cell r="T13">
            <v>0</v>
          </cell>
        </row>
        <row r="14">
          <cell r="D14">
            <v>37153</v>
          </cell>
        </row>
        <row r="14">
          <cell r="O14">
            <v>-23939.31640625</v>
          </cell>
        </row>
        <row r="14">
          <cell r="T14">
            <v>0</v>
          </cell>
        </row>
        <row r="15">
          <cell r="D15">
            <v>37154</v>
          </cell>
        </row>
        <row r="15">
          <cell r="O15">
            <v>-23944.421875</v>
          </cell>
        </row>
        <row r="15">
          <cell r="T15">
            <v>0</v>
          </cell>
        </row>
        <row r="16">
          <cell r="D16">
            <v>37155</v>
          </cell>
        </row>
        <row r="16">
          <cell r="O16">
            <v>-23949.390625</v>
          </cell>
        </row>
        <row r="16">
          <cell r="T16">
            <v>0</v>
          </cell>
        </row>
        <row r="17">
          <cell r="D17">
            <v>37156</v>
          </cell>
        </row>
        <row r="17">
          <cell r="O17">
            <v>0</v>
          </cell>
        </row>
        <row r="17">
          <cell r="T17">
            <v>0</v>
          </cell>
        </row>
        <row r="18">
          <cell r="D18">
            <v>37157</v>
          </cell>
        </row>
        <row r="18">
          <cell r="O18">
            <v>0</v>
          </cell>
        </row>
        <row r="18">
          <cell r="T18">
            <v>0</v>
          </cell>
        </row>
        <row r="19">
          <cell r="D19">
            <v>37158</v>
          </cell>
        </row>
        <row r="19">
          <cell r="O19">
            <v>-23954.4609375</v>
          </cell>
        </row>
        <row r="19">
          <cell r="T19">
            <v>0</v>
          </cell>
        </row>
        <row r="20">
          <cell r="D20">
            <v>37159</v>
          </cell>
        </row>
        <row r="20">
          <cell r="O20">
            <v>-23969.080078125</v>
          </cell>
        </row>
        <row r="20">
          <cell r="T20">
            <v>0</v>
          </cell>
        </row>
        <row r="21">
          <cell r="D21">
            <v>37160</v>
          </cell>
        </row>
        <row r="21">
          <cell r="O21">
            <v>-23973.83984375</v>
          </cell>
        </row>
        <row r="21">
          <cell r="T21">
            <v>0</v>
          </cell>
        </row>
        <row r="22">
          <cell r="D22">
            <v>37161</v>
          </cell>
        </row>
        <row r="22">
          <cell r="O22">
            <v>-23978.546875</v>
          </cell>
        </row>
        <row r="22">
          <cell r="T22">
            <v>0</v>
          </cell>
        </row>
        <row r="23">
          <cell r="D23">
            <v>37162</v>
          </cell>
        </row>
        <row r="23">
          <cell r="O23">
            <v>-23983.19921875</v>
          </cell>
        </row>
        <row r="23">
          <cell r="T23">
            <v>0</v>
          </cell>
        </row>
        <row r="24">
          <cell r="D24">
            <v>37163</v>
          </cell>
        </row>
        <row r="24">
          <cell r="O24">
            <v>0</v>
          </cell>
        </row>
        <row r="24">
          <cell r="T24">
            <v>0</v>
          </cell>
        </row>
        <row r="25">
          <cell r="D25">
            <v>37164</v>
          </cell>
        </row>
        <row r="25">
          <cell r="O25">
            <v>0</v>
          </cell>
        </row>
        <row r="25">
          <cell r="T25">
            <v>0</v>
          </cell>
        </row>
        <row r="26">
          <cell r="D26">
            <v>37165</v>
          </cell>
        </row>
        <row r="26">
          <cell r="O26">
            <v>-32965.80078125</v>
          </cell>
        </row>
        <row r="26">
          <cell r="T26">
            <v>0</v>
          </cell>
        </row>
        <row r="27">
          <cell r="D27">
            <v>37166</v>
          </cell>
        </row>
        <row r="27">
          <cell r="O27">
            <v>-32966.91796875</v>
          </cell>
        </row>
        <row r="27">
          <cell r="T27">
            <v>0</v>
          </cell>
        </row>
        <row r="28">
          <cell r="D28">
            <v>37167</v>
          </cell>
        </row>
        <row r="28">
          <cell r="O28">
            <v>-32968.11328125</v>
          </cell>
        </row>
        <row r="28">
          <cell r="T28">
            <v>0</v>
          </cell>
        </row>
        <row r="29">
          <cell r="D29">
            <v>37168</v>
          </cell>
        </row>
        <row r="29">
          <cell r="O29">
            <v>-32969.390625</v>
          </cell>
        </row>
        <row r="29">
          <cell r="T29">
            <v>0</v>
          </cell>
        </row>
        <row r="30">
          <cell r="D30">
            <v>37169</v>
          </cell>
        </row>
        <row r="30">
          <cell r="O30">
            <v>-32970.7421875</v>
          </cell>
        </row>
        <row r="30">
          <cell r="T30">
            <v>0</v>
          </cell>
        </row>
        <row r="31">
          <cell r="D31">
            <v>37170</v>
          </cell>
        </row>
        <row r="31">
          <cell r="O31">
            <v>0</v>
          </cell>
        </row>
        <row r="31">
          <cell r="T31">
            <v>0</v>
          </cell>
        </row>
        <row r="32">
          <cell r="D32">
            <v>37171</v>
          </cell>
        </row>
        <row r="32">
          <cell r="O32">
            <v>0</v>
          </cell>
        </row>
        <row r="32">
          <cell r="T32">
            <v>0</v>
          </cell>
        </row>
        <row r="33">
          <cell r="D33">
            <v>37172</v>
          </cell>
        </row>
        <row r="33">
          <cell r="O33">
            <v>0</v>
          </cell>
        </row>
        <row r="33">
          <cell r="T33">
            <v>0</v>
          </cell>
        </row>
        <row r="34">
          <cell r="D34">
            <v>37195</v>
          </cell>
          <cell r="E34">
            <v>26.0499992370605</v>
          </cell>
          <cell r="F34">
            <v>-0.099999237060544</v>
          </cell>
          <cell r="G34">
            <v>25.95</v>
          </cell>
        </row>
        <row r="34">
          <cell r="O34">
            <v>-593942.734375</v>
          </cell>
        </row>
        <row r="34">
          <cell r="T34">
            <v>59393.8202951534</v>
          </cell>
        </row>
        <row r="35">
          <cell r="D35">
            <v>37196</v>
          </cell>
          <cell r="E35">
            <v>26.1499996185303</v>
          </cell>
          <cell r="F35">
            <v>0.0500003814697294</v>
          </cell>
          <cell r="G35">
            <v>26.2</v>
          </cell>
        </row>
        <row r="35">
          <cell r="O35">
            <v>-954139.4375</v>
          </cell>
        </row>
        <row r="35">
          <cell r="T35">
            <v>-47707.335850313</v>
          </cell>
        </row>
        <row r="36">
          <cell r="D36">
            <v>37226</v>
          </cell>
          <cell r="E36">
            <v>27.6499996185303</v>
          </cell>
          <cell r="F36">
            <v>-0.149999618530273</v>
          </cell>
          <cell r="G36">
            <v>27.5</v>
          </cell>
        </row>
        <row r="36">
          <cell r="O36">
            <v>-855360.0625</v>
          </cell>
        </row>
        <row r="36">
          <cell r="T36">
            <v>128303.683081031</v>
          </cell>
        </row>
        <row r="37">
          <cell r="D37">
            <v>37257</v>
          </cell>
          <cell r="E37">
            <v>29.6666679382324</v>
          </cell>
          <cell r="F37">
            <v>-0.250000181652251</v>
          </cell>
          <cell r="G37">
            <v>29.4166677565802</v>
          </cell>
        </row>
        <row r="37">
          <cell r="O37">
            <v>130040.0703125</v>
          </cell>
        </row>
        <row r="37">
          <cell r="T37">
            <v>-32510.0412001964</v>
          </cell>
        </row>
        <row r="38">
          <cell r="D38">
            <v>37288</v>
          </cell>
          <cell r="E38">
            <v>29.3166656494141</v>
          </cell>
          <cell r="F38">
            <v>-0.250000181652251</v>
          </cell>
          <cell r="G38">
            <v>29.0666654677618</v>
          </cell>
        </row>
        <row r="38">
          <cell r="O38">
            <v>116952.0859375</v>
          </cell>
        </row>
        <row r="38">
          <cell r="T38">
            <v>-29238.0427289846</v>
          </cell>
        </row>
        <row r="39">
          <cell r="D39">
            <v>37316</v>
          </cell>
          <cell r="E39">
            <v>27.7697677612305</v>
          </cell>
          <cell r="F39">
            <v>-0.25000070971112</v>
          </cell>
          <cell r="G39">
            <v>27.5197670515194</v>
          </cell>
        </row>
        <row r="39">
          <cell r="O39">
            <v>24575.98828125</v>
          </cell>
        </row>
        <row r="39">
          <cell r="T39">
            <v>-6144.01451216467</v>
          </cell>
        </row>
        <row r="40">
          <cell r="D40">
            <v>37347</v>
          </cell>
          <cell r="E40">
            <v>28.2197685241699</v>
          </cell>
          <cell r="F40">
            <v>-0.25000070971112</v>
          </cell>
          <cell r="G40">
            <v>27.9697678144588</v>
          </cell>
        </row>
        <row r="40">
          <cell r="O40">
            <v>24357.748046875</v>
          </cell>
        </row>
        <row r="40">
          <cell r="T40">
            <v>-6089.4542986834</v>
          </cell>
        </row>
        <row r="41">
          <cell r="D41">
            <v>37377</v>
          </cell>
          <cell r="E41">
            <v>31.25</v>
          </cell>
          <cell r="F41">
            <v>0</v>
          </cell>
          <cell r="G41">
            <v>31.25</v>
          </cell>
        </row>
        <row r="41">
          <cell r="O41">
            <v>-166816.125</v>
          </cell>
        </row>
        <row r="41">
          <cell r="T41">
            <v>0</v>
          </cell>
        </row>
        <row r="42">
          <cell r="D42">
            <v>37408</v>
          </cell>
          <cell r="E42">
            <v>41.375</v>
          </cell>
          <cell r="F42">
            <v>-0.375</v>
          </cell>
          <cell r="G42">
            <v>41</v>
          </cell>
        </row>
        <row r="42">
          <cell r="O42">
            <v>-418908.625</v>
          </cell>
        </row>
        <row r="42">
          <cell r="T42">
            <v>157090.734375</v>
          </cell>
        </row>
        <row r="43">
          <cell r="D43">
            <v>37438</v>
          </cell>
          <cell r="E43">
            <v>55.375</v>
          </cell>
          <cell r="F43">
            <v>-0.5</v>
          </cell>
          <cell r="G43">
            <v>54.875</v>
          </cell>
        </row>
        <row r="43">
          <cell r="O43">
            <v>-164653.953125</v>
          </cell>
        </row>
        <row r="43">
          <cell r="T43">
            <v>82326.9765625</v>
          </cell>
        </row>
        <row r="44">
          <cell r="D44">
            <v>37469</v>
          </cell>
          <cell r="E44">
            <v>55.375</v>
          </cell>
          <cell r="F44">
            <v>-0.5</v>
          </cell>
          <cell r="G44">
            <v>54.875</v>
          </cell>
        </row>
        <row r="44">
          <cell r="O44">
            <v>-174802.015625</v>
          </cell>
        </row>
        <row r="44">
          <cell r="T44">
            <v>87401.0078125</v>
          </cell>
        </row>
        <row r="45">
          <cell r="D45">
            <v>37500</v>
          </cell>
          <cell r="E45">
            <v>28.25</v>
          </cell>
          <cell r="F45">
            <v>0</v>
          </cell>
          <cell r="G45">
            <v>28.25</v>
          </cell>
        </row>
        <row r="45">
          <cell r="O45">
            <v>-245783.4375</v>
          </cell>
        </row>
        <row r="45">
          <cell r="T45">
            <v>0</v>
          </cell>
        </row>
        <row r="46">
          <cell r="D46">
            <v>37530</v>
          </cell>
          <cell r="E46">
            <v>28.8062496185303</v>
          </cell>
          <cell r="F46">
            <v>-3.27825546264648E-007</v>
          </cell>
          <cell r="G46">
            <v>28.8062492907047</v>
          </cell>
        </row>
        <row r="46">
          <cell r="O46">
            <v>227736.65625</v>
          </cell>
        </row>
        <row r="46">
          <cell r="T46">
            <v>-0.0746578937396407</v>
          </cell>
        </row>
        <row r="47">
          <cell r="D47">
            <v>37561</v>
          </cell>
          <cell r="E47">
            <v>29.0062522888184</v>
          </cell>
          <cell r="F47">
            <v>-3.27825546264648E-007</v>
          </cell>
          <cell r="G47">
            <v>29.0062519609928</v>
          </cell>
        </row>
        <row r="47">
          <cell r="O47">
            <v>197330.859375</v>
          </cell>
        </row>
        <row r="47">
          <cell r="T47">
            <v>-0.0646900967694819</v>
          </cell>
        </row>
        <row r="48">
          <cell r="D48">
            <v>37591</v>
          </cell>
          <cell r="E48">
            <v>29.2062492370605</v>
          </cell>
          <cell r="F48">
            <v>-3.27825546264648E-007</v>
          </cell>
          <cell r="G48">
            <v>29.206248909235</v>
          </cell>
        </row>
        <row r="48">
          <cell r="O48">
            <v>206411.78125</v>
          </cell>
        </row>
        <row r="48">
          <cell r="T48">
            <v>-0.0676670549437404</v>
          </cell>
        </row>
        <row r="49">
          <cell r="D49">
            <v>37622</v>
          </cell>
          <cell r="E49">
            <v>30.285717010498</v>
          </cell>
          <cell r="F49">
            <v>1.81652250574871E-007</v>
          </cell>
          <cell r="G49">
            <v>30.2857171921503</v>
          </cell>
        </row>
        <row r="49">
          <cell r="O49">
            <v>-399578.375</v>
          </cell>
        </row>
        <row r="49">
          <cell r="T49">
            <v>-0.0725843110997997</v>
          </cell>
        </row>
        <row r="50">
          <cell r="D50">
            <v>37653</v>
          </cell>
          <cell r="E50">
            <v>29.6857109069824</v>
          </cell>
          <cell r="F50">
            <v>1.81652250574871E-007</v>
          </cell>
          <cell r="G50">
            <v>29.6857110886347</v>
          </cell>
        </row>
        <row r="50">
          <cell r="O50">
            <v>-361950.875</v>
          </cell>
        </row>
        <row r="50">
          <cell r="T50">
            <v>-0.0657491910412937</v>
          </cell>
        </row>
        <row r="51">
          <cell r="D51">
            <v>37681</v>
          </cell>
          <cell r="E51">
            <v>28.6476783752441</v>
          </cell>
          <cell r="F51">
            <v>-0.250000443569448</v>
          </cell>
          <cell r="G51">
            <v>28.3976779316747</v>
          </cell>
        </row>
        <row r="51">
          <cell r="O51">
            <v>-410062.84375</v>
          </cell>
        </row>
        <row r="51">
          <cell r="T51">
            <v>102515.892828849</v>
          </cell>
        </row>
        <row r="52">
          <cell r="D52">
            <v>37712</v>
          </cell>
          <cell r="E52">
            <v>28.8476715087891</v>
          </cell>
          <cell r="F52">
            <v>-0.250000443569448</v>
          </cell>
          <cell r="G52">
            <v>28.5976710652196</v>
          </cell>
        </row>
        <row r="52">
          <cell r="O52">
            <v>-427889.71875</v>
          </cell>
        </row>
        <row r="52">
          <cell r="T52">
            <v>106972.619486306</v>
          </cell>
        </row>
        <row r="53">
          <cell r="D53">
            <v>37742</v>
          </cell>
          <cell r="E53">
            <v>30.5</v>
          </cell>
          <cell r="F53">
            <v>0</v>
          </cell>
          <cell r="G53">
            <v>30.5</v>
          </cell>
        </row>
        <row r="53">
          <cell r="O53">
            <v>-324609.15625</v>
          </cell>
        </row>
        <row r="53">
          <cell r="T53">
            <v>0</v>
          </cell>
        </row>
        <row r="54">
          <cell r="D54">
            <v>37773</v>
          </cell>
          <cell r="E54">
            <v>40.375</v>
          </cell>
          <cell r="F54">
            <v>-0.5</v>
          </cell>
          <cell r="G54">
            <v>39.875</v>
          </cell>
        </row>
        <row r="54">
          <cell r="O54">
            <v>-62318.49609375</v>
          </cell>
        </row>
        <row r="54">
          <cell r="T54">
            <v>31159.248046875</v>
          </cell>
        </row>
        <row r="55">
          <cell r="D55">
            <v>37803</v>
          </cell>
          <cell r="E55">
            <v>50.125</v>
          </cell>
          <cell r="F55">
            <v>-0.5</v>
          </cell>
          <cell r="G55">
            <v>49.625</v>
          </cell>
        </row>
        <row r="55">
          <cell r="O55">
            <v>-2715.5859375</v>
          </cell>
        </row>
        <row r="55">
          <cell r="T55">
            <v>1357.79296875</v>
          </cell>
        </row>
        <row r="56">
          <cell r="D56">
            <v>37834</v>
          </cell>
          <cell r="E56">
            <v>50.125</v>
          </cell>
          <cell r="F56">
            <v>-0.5</v>
          </cell>
          <cell r="G56">
            <v>49.625</v>
          </cell>
        </row>
        <row r="56">
          <cell r="O56">
            <v>-10535.326171875</v>
          </cell>
        </row>
        <row r="56">
          <cell r="T56">
            <v>5267.6630859375</v>
          </cell>
        </row>
        <row r="57">
          <cell r="D57">
            <v>37865</v>
          </cell>
          <cell r="E57">
            <v>28.25</v>
          </cell>
          <cell r="F57">
            <v>0</v>
          </cell>
          <cell r="G57">
            <v>28.25</v>
          </cell>
        </row>
        <row r="57">
          <cell r="O57">
            <v>-123025.4140625</v>
          </cell>
        </row>
        <row r="57">
          <cell r="T57">
            <v>0</v>
          </cell>
        </row>
        <row r="58">
          <cell r="D58">
            <v>37895</v>
          </cell>
          <cell r="E58">
            <v>29.5215644836426</v>
          </cell>
          <cell r="F58">
            <v>-0.365001320838928</v>
          </cell>
          <cell r="G58">
            <v>29.1565631628037</v>
          </cell>
        </row>
        <row r="58">
          <cell r="O58">
            <v>-318573.625</v>
          </cell>
        </row>
        <row r="58">
          <cell r="T58">
            <v>116279.793909445</v>
          </cell>
        </row>
        <row r="59">
          <cell r="D59">
            <v>37926</v>
          </cell>
          <cell r="E59">
            <v>29.6215629577637</v>
          </cell>
          <cell r="F59">
            <v>-0.365001320838928</v>
          </cell>
          <cell r="G59">
            <v>29.2565616369247</v>
          </cell>
        </row>
        <row r="59">
          <cell r="O59">
            <v>-262008.234375</v>
          </cell>
        </row>
        <row r="59">
          <cell r="T59">
            <v>95633.3516175505</v>
          </cell>
        </row>
        <row r="60">
          <cell r="D60">
            <v>37956</v>
          </cell>
          <cell r="E60">
            <v>29.7215614318848</v>
          </cell>
          <cell r="F60">
            <v>-0.365001320838928</v>
          </cell>
          <cell r="G60">
            <v>29.3565601110458</v>
          </cell>
        </row>
        <row r="60">
          <cell r="O60">
            <v>-301977.75</v>
          </cell>
        </row>
        <row r="60">
          <cell r="T60">
            <v>110222.277613968</v>
          </cell>
        </row>
        <row r="61">
          <cell r="D61">
            <v>37987</v>
          </cell>
          <cell r="E61">
            <v>31.2607154846191</v>
          </cell>
          <cell r="F61">
            <v>1.81652250574871E-007</v>
          </cell>
          <cell r="G61">
            <v>31.2607156662714</v>
          </cell>
        </row>
        <row r="61">
          <cell r="O61">
            <v>-45300.3671875</v>
          </cell>
        </row>
        <row r="61">
          <cell r="T61">
            <v>-0.0082289136514774</v>
          </cell>
        </row>
        <row r="62">
          <cell r="D62">
            <v>38018</v>
          </cell>
          <cell r="E62">
            <v>30.6607093811035</v>
          </cell>
          <cell r="F62">
            <v>1.81652250574871E-007</v>
          </cell>
          <cell r="G62">
            <v>30.6607095627558</v>
          </cell>
        </row>
        <row r="62">
          <cell r="O62">
            <v>-42953.421875</v>
          </cell>
        </row>
        <row r="62">
          <cell r="T62">
            <v>-0.00780258575348564</v>
          </cell>
        </row>
        <row r="63">
          <cell r="D63">
            <v>38047</v>
          </cell>
          <cell r="E63">
            <v>29.3726711273193</v>
          </cell>
          <cell r="F63">
            <v>-0.250000443569448</v>
          </cell>
          <cell r="G63">
            <v>29.1226706837499</v>
          </cell>
        </row>
        <row r="63">
          <cell r="O63">
            <v>-49164.66015625</v>
          </cell>
        </row>
        <row r="63">
          <cell r="T63">
            <v>12291.1868470037</v>
          </cell>
        </row>
        <row r="64">
          <cell r="D64">
            <v>38078</v>
          </cell>
          <cell r="E64">
            <v>29.5726718902588</v>
          </cell>
          <cell r="F64">
            <v>-0.250000443569448</v>
          </cell>
          <cell r="G64">
            <v>29.3226714466893</v>
          </cell>
        </row>
        <row r="64">
          <cell r="O64">
            <v>-46812.14453125</v>
          </cell>
        </row>
        <row r="64">
          <cell r="T64">
            <v>11703.0568972496</v>
          </cell>
        </row>
        <row r="65">
          <cell r="D65">
            <v>38108</v>
          </cell>
          <cell r="E65">
            <v>30.7250061035156</v>
          </cell>
          <cell r="F65">
            <v>0</v>
          </cell>
          <cell r="G65">
            <v>30.7250061035156</v>
          </cell>
        </row>
        <row r="65">
          <cell r="O65">
            <v>-42353.9609375</v>
          </cell>
        </row>
        <row r="65">
          <cell r="T65">
            <v>0</v>
          </cell>
        </row>
        <row r="66">
          <cell r="D66">
            <v>38139</v>
          </cell>
          <cell r="E66">
            <v>39.0500068664551</v>
          </cell>
          <cell r="F66">
            <v>-0.5</v>
          </cell>
          <cell r="G66">
            <v>38.5500068664551</v>
          </cell>
        </row>
        <row r="66">
          <cell r="O66">
            <v>-216411.84375</v>
          </cell>
        </row>
        <row r="66">
          <cell r="T66">
            <v>108205.921875</v>
          </cell>
        </row>
        <row r="67">
          <cell r="D67">
            <v>38169</v>
          </cell>
          <cell r="E67">
            <v>49.875</v>
          </cell>
          <cell r="F67">
            <v>-0.5</v>
          </cell>
          <cell r="G67">
            <v>49.375</v>
          </cell>
        </row>
        <row r="67">
          <cell r="O67">
            <v>-14684.265625</v>
          </cell>
        </row>
        <row r="67">
          <cell r="T67">
            <v>7342.1328125</v>
          </cell>
        </row>
        <row r="68">
          <cell r="D68">
            <v>38200</v>
          </cell>
          <cell r="E68">
            <v>49.875</v>
          </cell>
          <cell r="F68">
            <v>-0.5</v>
          </cell>
          <cell r="G68">
            <v>49.375</v>
          </cell>
        </row>
        <row r="68">
          <cell r="O68">
            <v>-15308.9306640625</v>
          </cell>
        </row>
        <row r="68">
          <cell r="T68">
            <v>7654.46533203125</v>
          </cell>
        </row>
        <row r="69">
          <cell r="D69">
            <v>38231</v>
          </cell>
          <cell r="E69">
            <v>28.6750011444092</v>
          </cell>
          <cell r="F69">
            <v>0</v>
          </cell>
          <cell r="G69">
            <v>28.6750011444092</v>
          </cell>
        </row>
        <row r="69">
          <cell r="O69">
            <v>-43632.984375</v>
          </cell>
        </row>
        <row r="69">
          <cell r="T69">
            <v>0</v>
          </cell>
        </row>
        <row r="70">
          <cell r="D70">
            <v>38261</v>
          </cell>
          <cell r="E70">
            <v>29.9965648651123</v>
          </cell>
          <cell r="F70">
            <v>-0.365001320838928</v>
          </cell>
          <cell r="G70">
            <v>29.6315635442734</v>
          </cell>
        </row>
        <row r="70">
          <cell r="O70">
            <v>-43419.30078125</v>
          </cell>
        </row>
        <row r="70">
          <cell r="T70">
            <v>15848.102135059</v>
          </cell>
        </row>
        <row r="71">
          <cell r="D71">
            <v>38292</v>
          </cell>
          <cell r="E71">
            <v>30.0965633392334</v>
          </cell>
          <cell r="F71">
            <v>-0.365001320838928</v>
          </cell>
          <cell r="G71">
            <v>29.7315620183945</v>
          </cell>
        </row>
        <row r="71">
          <cell r="O71">
            <v>-43211.83984375</v>
          </cell>
        </row>
        <row r="71">
          <cell r="T71">
            <v>15772.378618849</v>
          </cell>
        </row>
        <row r="72">
          <cell r="D72">
            <v>38322</v>
          </cell>
          <cell r="E72">
            <v>30.1965618133545</v>
          </cell>
          <cell r="F72">
            <v>-0.365001320838928</v>
          </cell>
          <cell r="G72">
            <v>29.8315604925156</v>
          </cell>
        </row>
        <row r="72">
          <cell r="O72">
            <v>-47091.96484375</v>
          </cell>
        </row>
        <row r="72">
          <cell r="T72">
            <v>17188.6293688691</v>
          </cell>
        </row>
        <row r="73">
          <cell r="D73">
            <v>38353</v>
          </cell>
        </row>
        <row r="73">
          <cell r="F73">
            <v>1.81652250574871E-007</v>
          </cell>
          <cell r="G73">
            <v>31.4107190994989</v>
          </cell>
        </row>
        <row r="73">
          <cell r="T73">
            <v>0.0181330967348249</v>
          </cell>
        </row>
        <row r="74">
          <cell r="D74">
            <v>38384</v>
          </cell>
        </row>
        <row r="74">
          <cell r="F74">
            <v>1.81652250574871E-007</v>
          </cell>
          <cell r="G74">
            <v>31.3307096390497</v>
          </cell>
        </row>
        <row r="74">
          <cell r="T74">
            <v>0.0171913830846806</v>
          </cell>
        </row>
        <row r="75">
          <cell r="D75">
            <v>38412</v>
          </cell>
        </row>
        <row r="75">
          <cell r="F75">
            <v>-0.250000443569448</v>
          </cell>
          <cell r="G75">
            <v>29.7926726673925</v>
          </cell>
        </row>
        <row r="75">
          <cell r="T75">
            <v>-27072.8683472038</v>
          </cell>
        </row>
        <row r="76">
          <cell r="D76">
            <v>38443</v>
          </cell>
        </row>
        <row r="76">
          <cell r="F76">
            <v>-0.250000443569448</v>
          </cell>
          <cell r="G76">
            <v>29.9926734303319</v>
          </cell>
        </row>
        <row r="76">
          <cell r="T76">
            <v>-24598.8151294289</v>
          </cell>
        </row>
        <row r="77">
          <cell r="D77">
            <v>38473</v>
          </cell>
        </row>
        <row r="77">
          <cell r="F77">
            <v>0</v>
          </cell>
          <cell r="G77">
            <v>31.394998550415</v>
          </cell>
        </row>
        <row r="77">
          <cell r="T77">
            <v>0</v>
          </cell>
        </row>
        <row r="78">
          <cell r="D78">
            <v>38504</v>
          </cell>
        </row>
        <row r="78">
          <cell r="F78">
            <v>-0.5</v>
          </cell>
          <cell r="G78">
            <v>38.8699989318848</v>
          </cell>
        </row>
        <row r="78">
          <cell r="T78">
            <v>-43740.5</v>
          </cell>
        </row>
        <row r="79">
          <cell r="D79">
            <v>38534</v>
          </cell>
        </row>
        <row r="79">
          <cell r="F79">
            <v>-0.5</v>
          </cell>
          <cell r="G79">
            <v>49.125</v>
          </cell>
        </row>
        <row r="79">
          <cell r="T79">
            <v>-85718.640625</v>
          </cell>
        </row>
        <row r="80">
          <cell r="D80">
            <v>38565</v>
          </cell>
        </row>
        <row r="80">
          <cell r="F80">
            <v>-0.5</v>
          </cell>
          <cell r="G80">
            <v>49.125</v>
          </cell>
        </row>
        <row r="80">
          <cell r="T80">
            <v>-98079.5859375</v>
          </cell>
        </row>
        <row r="81">
          <cell r="D81">
            <v>38596</v>
          </cell>
        </row>
        <row r="81">
          <cell r="F81">
            <v>0</v>
          </cell>
          <cell r="G81">
            <v>29.0249996185303</v>
          </cell>
        </row>
        <row r="81">
          <cell r="T81">
            <v>0</v>
          </cell>
        </row>
        <row r="82">
          <cell r="D82">
            <v>38626</v>
          </cell>
        </row>
        <row r="82">
          <cell r="F82">
            <v>-0.365001320838928</v>
          </cell>
          <cell r="G82">
            <v>30.5515617132187</v>
          </cell>
        </row>
        <row r="82">
          <cell r="T82">
            <v>-34857.6403979817</v>
          </cell>
        </row>
        <row r="83">
          <cell r="D83">
            <v>38657</v>
          </cell>
        </row>
        <row r="83">
          <cell r="F83">
            <v>-0.365001320838928</v>
          </cell>
          <cell r="G83">
            <v>30.6515640020371</v>
          </cell>
        </row>
        <row r="83">
          <cell r="T83">
            <v>-34689.2949450361</v>
          </cell>
        </row>
        <row r="84">
          <cell r="D84">
            <v>38687</v>
          </cell>
        </row>
        <row r="84">
          <cell r="F84">
            <v>-0.365001320838928</v>
          </cell>
          <cell r="G84">
            <v>30.7515624761581</v>
          </cell>
        </row>
        <row r="84">
          <cell r="T84">
            <v>-34515.1151741026</v>
          </cell>
        </row>
        <row r="85">
          <cell r="D85">
            <v>38718</v>
          </cell>
        </row>
        <row r="85">
          <cell r="F85">
            <v>1.81652250574871E-007</v>
          </cell>
          <cell r="G85">
            <v>31.5707132248651</v>
          </cell>
        </row>
        <row r="85">
          <cell r="T85">
            <v>0.00244150576619557</v>
          </cell>
        </row>
        <row r="86">
          <cell r="D86">
            <v>38749</v>
          </cell>
        </row>
        <row r="86">
          <cell r="F86">
            <v>1.81652250574871E-007</v>
          </cell>
          <cell r="G86">
            <v>31.0107156662714</v>
          </cell>
        </row>
        <row r="86">
          <cell r="T86">
            <v>0.0023145664993937</v>
          </cell>
        </row>
        <row r="87">
          <cell r="D87">
            <v>38777</v>
          </cell>
        </row>
        <row r="87">
          <cell r="F87">
            <v>-0.250000443569448</v>
          </cell>
          <cell r="G87">
            <v>29.4726748799169</v>
          </cell>
        </row>
        <row r="87">
          <cell r="T87">
            <v>-3644.52941561488</v>
          </cell>
        </row>
        <row r="88">
          <cell r="D88">
            <v>38808</v>
          </cell>
        </row>
        <row r="88">
          <cell r="F88">
            <v>-0.250000443569448</v>
          </cell>
          <cell r="G88">
            <v>29.6726756428563</v>
          </cell>
        </row>
        <row r="88">
          <cell r="T88">
            <v>-3153.37986254006</v>
          </cell>
        </row>
        <row r="89">
          <cell r="D89">
            <v>38838</v>
          </cell>
        </row>
        <row r="89">
          <cell r="F89">
            <v>0</v>
          </cell>
          <cell r="G89">
            <v>31.5750026702881</v>
          </cell>
        </row>
        <row r="89">
          <cell r="T89">
            <v>0</v>
          </cell>
        </row>
        <row r="90">
          <cell r="D90">
            <v>38869</v>
          </cell>
        </row>
        <row r="90">
          <cell r="F90">
            <v>-0.5</v>
          </cell>
          <cell r="G90">
            <v>38.9600105285645</v>
          </cell>
        </row>
        <row r="90">
          <cell r="T90">
            <v>-6866.7568359375</v>
          </cell>
        </row>
        <row r="91">
          <cell r="D91">
            <v>38899</v>
          </cell>
        </row>
        <row r="91">
          <cell r="F91">
            <v>-0.5</v>
          </cell>
          <cell r="G91">
            <v>50.875</v>
          </cell>
        </row>
        <row r="91">
          <cell r="T91">
            <v>-6209.818359375</v>
          </cell>
        </row>
        <row r="92">
          <cell r="D92">
            <v>38930</v>
          </cell>
        </row>
        <row r="92">
          <cell r="F92">
            <v>-0.5</v>
          </cell>
          <cell r="G92">
            <v>50.875</v>
          </cell>
        </row>
        <row r="92">
          <cell r="T92">
            <v>-7104.49609375</v>
          </cell>
        </row>
        <row r="93">
          <cell r="D93">
            <v>38961</v>
          </cell>
        </row>
        <row r="93">
          <cell r="F93">
            <v>0</v>
          </cell>
          <cell r="G93">
            <v>28.6149997711182</v>
          </cell>
        </row>
        <row r="93">
          <cell r="T93">
            <v>0</v>
          </cell>
        </row>
        <row r="94">
          <cell r="D94">
            <v>38991</v>
          </cell>
        </row>
        <row r="94">
          <cell r="F94">
            <v>-0.365001320838928</v>
          </cell>
          <cell r="G94">
            <v>30.2315639257431</v>
          </cell>
        </row>
        <row r="94">
          <cell r="T94">
            <v>-4911.74613850995</v>
          </cell>
        </row>
        <row r="95">
          <cell r="D95">
            <v>39022</v>
          </cell>
        </row>
        <row r="95">
          <cell r="F95">
            <v>-0.365001320838928</v>
          </cell>
          <cell r="G95">
            <v>30.3315623998642</v>
          </cell>
        </row>
        <row r="95">
          <cell r="T95">
            <v>-4665.55310405069</v>
          </cell>
        </row>
        <row r="96">
          <cell r="D96">
            <v>39052</v>
          </cell>
        </row>
        <row r="96">
          <cell r="F96">
            <v>-0.365001320838928</v>
          </cell>
          <cell r="G96">
            <v>30.4315608739853</v>
          </cell>
        </row>
        <row r="96">
          <cell r="T96">
            <v>-4420.83183761267</v>
          </cell>
        </row>
        <row r="97">
          <cell r="D97">
            <v>39083</v>
          </cell>
        </row>
        <row r="97">
          <cell r="F97">
            <v>1.81652250574871E-007</v>
          </cell>
          <cell r="G97">
            <v>31.440706434704</v>
          </cell>
        </row>
        <row r="97">
          <cell r="T97">
            <v>0.00963127115465272</v>
          </cell>
        </row>
        <row r="98">
          <cell r="D98">
            <v>39114</v>
          </cell>
        </row>
        <row r="98">
          <cell r="F98">
            <v>1.81652250574871E-007</v>
          </cell>
          <cell r="G98">
            <v>30.8807107834589</v>
          </cell>
        </row>
        <row r="98">
          <cell r="T98">
            <v>0.00871521375616483</v>
          </cell>
        </row>
        <row r="99">
          <cell r="D99">
            <v>39142</v>
          </cell>
        </row>
        <row r="99">
          <cell r="F99">
            <v>-0.250000443569448</v>
          </cell>
          <cell r="G99">
            <v>29.3426757191503</v>
          </cell>
        </row>
        <row r="99">
          <cell r="T99">
            <v>-13126.0203594776</v>
          </cell>
        </row>
        <row r="100">
          <cell r="D100">
            <v>39173</v>
          </cell>
        </row>
        <row r="100">
          <cell r="F100">
            <v>-0.250000443569448</v>
          </cell>
          <cell r="G100">
            <v>29.5426764820897</v>
          </cell>
        </row>
        <row r="100">
          <cell r="T100">
            <v>-12466.8023929689</v>
          </cell>
        </row>
        <row r="101">
          <cell r="D101">
            <v>39203</v>
          </cell>
        </row>
        <row r="101">
          <cell r="F101">
            <v>0</v>
          </cell>
          <cell r="G101">
            <v>31.9450035095215</v>
          </cell>
        </row>
        <row r="101">
          <cell r="T101">
            <v>0</v>
          </cell>
        </row>
        <row r="102">
          <cell r="D102">
            <v>39234</v>
          </cell>
        </row>
        <row r="102">
          <cell r="F102">
            <v>-0.5</v>
          </cell>
          <cell r="G102">
            <v>39.3000030517578</v>
          </cell>
        </row>
        <row r="102">
          <cell r="T102">
            <v>-24679.416015625</v>
          </cell>
        </row>
        <row r="103">
          <cell r="D103">
            <v>39264</v>
          </cell>
        </row>
        <row r="103">
          <cell r="F103">
            <v>-0.5</v>
          </cell>
          <cell r="G103">
            <v>51.625</v>
          </cell>
        </row>
        <row r="103">
          <cell r="T103">
            <v>-24550.451171875</v>
          </cell>
        </row>
        <row r="104">
          <cell r="D104">
            <v>39295</v>
          </cell>
        </row>
        <row r="104">
          <cell r="F104">
            <v>-0.5</v>
          </cell>
          <cell r="G104">
            <v>51.625</v>
          </cell>
        </row>
        <row r="104">
          <cell r="T104">
            <v>-26747.490234375</v>
          </cell>
        </row>
        <row r="105">
          <cell r="D105">
            <v>39326</v>
          </cell>
        </row>
        <row r="105">
          <cell r="F105">
            <v>0</v>
          </cell>
          <cell r="G105">
            <v>28.3949966430664</v>
          </cell>
        </row>
        <row r="105">
          <cell r="T105">
            <v>0</v>
          </cell>
        </row>
        <row r="106">
          <cell r="D106">
            <v>39356</v>
          </cell>
        </row>
        <row r="106">
          <cell r="F106">
            <v>-0.365001320838928</v>
          </cell>
          <cell r="G106">
            <v>30.1015685796738</v>
          </cell>
        </row>
        <row r="106">
          <cell r="T106">
            <v>-19323.3852189607</v>
          </cell>
        </row>
        <row r="107">
          <cell r="D107">
            <v>39387</v>
          </cell>
        </row>
        <row r="107">
          <cell r="F107">
            <v>-0.365001320838928</v>
          </cell>
          <cell r="G107">
            <v>30.2015670537949</v>
          </cell>
        </row>
        <row r="107">
          <cell r="T107">
            <v>-17552.3802750269</v>
          </cell>
        </row>
        <row r="108">
          <cell r="D108">
            <v>39417</v>
          </cell>
        </row>
        <row r="108">
          <cell r="F108">
            <v>-0.365001320838928</v>
          </cell>
          <cell r="G108">
            <v>30.301565527916</v>
          </cell>
        </row>
        <row r="108">
          <cell r="T108">
            <v>-16627.3870839821</v>
          </cell>
        </row>
        <row r="109">
          <cell r="D109">
            <v>39448</v>
          </cell>
        </row>
        <row r="109">
          <cell r="F109">
            <v>1.81652250574871E-007</v>
          </cell>
          <cell r="G109">
            <v>31.4107190994989</v>
          </cell>
        </row>
        <row r="109">
          <cell r="T109">
            <v>0.00679034774579297</v>
          </cell>
        </row>
        <row r="110">
          <cell r="D110">
            <v>39479</v>
          </cell>
        </row>
        <row r="110">
          <cell r="F110">
            <v>1.81652250574871E-007</v>
          </cell>
          <cell r="G110">
            <v>30.9707109360468</v>
          </cell>
        </row>
        <row r="110">
          <cell r="T110">
            <v>0.00644908560992392</v>
          </cell>
        </row>
        <row r="111">
          <cell r="D111">
            <v>39508</v>
          </cell>
        </row>
        <row r="111">
          <cell r="F111">
            <v>-0.250000443569448</v>
          </cell>
          <cell r="G111">
            <v>29.4326758717382</v>
          </cell>
        </row>
        <row r="111">
          <cell r="T111">
            <v>-8827.69437369179</v>
          </cell>
        </row>
        <row r="112">
          <cell r="D112">
            <v>39539</v>
          </cell>
        </row>
        <row r="112">
          <cell r="F112">
            <v>-0.250000443569448</v>
          </cell>
          <cell r="G112">
            <v>29.6326766346776</v>
          </cell>
        </row>
        <row r="112">
          <cell r="T112">
            <v>-9199.54952565245</v>
          </cell>
        </row>
        <row r="113">
          <cell r="D113">
            <v>39569</v>
          </cell>
        </row>
        <row r="113">
          <cell r="F113">
            <v>0</v>
          </cell>
          <cell r="G113">
            <v>32.5349960327148</v>
          </cell>
        </row>
        <row r="113">
          <cell r="T113">
            <v>0</v>
          </cell>
        </row>
        <row r="114">
          <cell r="D114">
            <v>39600</v>
          </cell>
        </row>
        <row r="114">
          <cell r="F114">
            <v>-0.5</v>
          </cell>
          <cell r="G114">
            <v>39.5099983215332</v>
          </cell>
        </row>
        <row r="114">
          <cell r="T114">
            <v>-17374.8203125</v>
          </cell>
        </row>
        <row r="115">
          <cell r="D115">
            <v>39630</v>
          </cell>
        </row>
        <row r="115">
          <cell r="F115">
            <v>-0.5</v>
          </cell>
          <cell r="G115">
            <v>52.875</v>
          </cell>
        </row>
        <row r="115">
          <cell r="T115">
            <v>-18102.359375</v>
          </cell>
        </row>
        <row r="116">
          <cell r="D116">
            <v>39661</v>
          </cell>
        </row>
        <row r="116">
          <cell r="F116">
            <v>-0.5</v>
          </cell>
          <cell r="G116">
            <v>52.875</v>
          </cell>
        </row>
        <row r="116">
          <cell r="T116">
            <v>-17187.310546875</v>
          </cell>
        </row>
        <row r="117">
          <cell r="D117">
            <v>39692</v>
          </cell>
        </row>
        <row r="117">
          <cell r="F117">
            <v>0</v>
          </cell>
          <cell r="G117">
            <v>28.2750015258789</v>
          </cell>
        </row>
        <row r="117">
          <cell r="T117">
            <v>0</v>
          </cell>
        </row>
        <row r="118">
          <cell r="D118">
            <v>39722</v>
          </cell>
        </row>
        <row r="118">
          <cell r="F118">
            <v>-0.365001320838928</v>
          </cell>
          <cell r="G118">
            <v>30.1915687322617</v>
          </cell>
        </row>
        <row r="118">
          <cell r="T118">
            <v>-13602.7095369473</v>
          </cell>
        </row>
        <row r="119">
          <cell r="D119">
            <v>39753</v>
          </cell>
        </row>
        <row r="119">
          <cell r="F119">
            <v>-0.365001320838928</v>
          </cell>
          <cell r="G119">
            <v>30.2915672063828</v>
          </cell>
        </row>
        <row r="119">
          <cell r="T119">
            <v>-11181.0098945792</v>
          </cell>
        </row>
        <row r="120">
          <cell r="D120">
            <v>39783</v>
          </cell>
        </row>
        <row r="120">
          <cell r="F120">
            <v>-0.365001320838928</v>
          </cell>
          <cell r="G120">
            <v>30.3915656805038</v>
          </cell>
        </row>
        <row r="120">
          <cell r="T120">
            <v>-12879.5962952003</v>
          </cell>
        </row>
        <row r="121">
          <cell r="D121">
            <v>39814</v>
          </cell>
        </row>
        <row r="121">
          <cell r="F121">
            <v>1.81652250574871E-007</v>
          </cell>
          <cell r="G121">
            <v>31.720714750744</v>
          </cell>
        </row>
        <row r="121">
          <cell r="T121">
            <v>-0.00202894689592365</v>
          </cell>
        </row>
        <row r="122">
          <cell r="D122">
            <v>39845</v>
          </cell>
        </row>
        <row r="122">
          <cell r="F122">
            <v>1.81652250574871E-007</v>
          </cell>
          <cell r="G122">
            <v>31.2407094864618</v>
          </cell>
        </row>
        <row r="122">
          <cell r="T122">
            <v>-0.00192327548881067</v>
          </cell>
        </row>
        <row r="123">
          <cell r="D123">
            <v>39873</v>
          </cell>
        </row>
        <row r="123">
          <cell r="F123">
            <v>-0.250000443569448</v>
          </cell>
          <cell r="G123">
            <v>29.7026782368505</v>
          </cell>
        </row>
        <row r="123">
          <cell r="T123">
            <v>2896.48048094875</v>
          </cell>
        </row>
        <row r="124">
          <cell r="D124">
            <v>39904</v>
          </cell>
        </row>
        <row r="124">
          <cell r="F124">
            <v>-0.250000443569448</v>
          </cell>
          <cell r="G124">
            <v>29.9026789997899</v>
          </cell>
        </row>
        <row r="124">
          <cell r="T124">
            <v>2881.87327729718</v>
          </cell>
        </row>
        <row r="125">
          <cell r="D125">
            <v>39934</v>
          </cell>
        </row>
        <row r="125">
          <cell r="G125">
            <v>33.3049926757813</v>
          </cell>
        </row>
        <row r="125">
          <cell r="T125">
            <v>0</v>
          </cell>
        </row>
        <row r="126">
          <cell r="D126">
            <v>39965</v>
          </cell>
        </row>
        <row r="126">
          <cell r="G126">
            <v>40.9299926757813</v>
          </cell>
        </row>
        <row r="126">
          <cell r="T126">
            <v>5704.58203125</v>
          </cell>
        </row>
        <row r="127">
          <cell r="D127">
            <v>39995</v>
          </cell>
        </row>
        <row r="127">
          <cell r="G127">
            <v>54.3749961853027</v>
          </cell>
        </row>
        <row r="127">
          <cell r="T127">
            <v>5932.58642578125</v>
          </cell>
        </row>
        <row r="128">
          <cell r="D128">
            <v>40026</v>
          </cell>
        </row>
        <row r="128">
          <cell r="G128">
            <v>54.3749961853027</v>
          </cell>
        </row>
        <row r="128">
          <cell r="T128">
            <v>5388.21826171875</v>
          </cell>
        </row>
        <row r="129">
          <cell r="D129">
            <v>40057</v>
          </cell>
        </row>
        <row r="129">
          <cell r="G129">
            <v>28.3749980926514</v>
          </cell>
        </row>
        <row r="129">
          <cell r="T129">
            <v>0</v>
          </cell>
        </row>
        <row r="130">
          <cell r="D130">
            <v>40087</v>
          </cell>
        </row>
        <row r="130">
          <cell r="G130">
            <v>30.4615653753281</v>
          </cell>
        </row>
        <row r="130">
          <cell r="T130">
            <v>4078.03001117008</v>
          </cell>
        </row>
        <row r="131">
          <cell r="D131">
            <v>40118</v>
          </cell>
        </row>
        <row r="131">
          <cell r="G131">
            <v>30.5615638494492</v>
          </cell>
        </row>
        <row r="131">
          <cell r="T131">
            <v>3688.29628637829</v>
          </cell>
        </row>
        <row r="132">
          <cell r="D132">
            <v>40148</v>
          </cell>
        </row>
        <row r="132">
          <cell r="G132">
            <v>30.6615623235703</v>
          </cell>
        </row>
        <row r="132">
          <cell r="T132">
            <v>4035.58827067108</v>
          </cell>
        </row>
        <row r="133">
          <cell r="D133">
            <v>40179</v>
          </cell>
        </row>
        <row r="133">
          <cell r="G133">
            <v>31.970714750744</v>
          </cell>
        </row>
        <row r="133">
          <cell r="T133">
            <v>0.00181611556213267</v>
          </cell>
        </row>
        <row r="134">
          <cell r="D134">
            <v>40210</v>
          </cell>
        </row>
        <row r="134">
          <cell r="G134">
            <v>31.6107179550898</v>
          </cell>
        </row>
        <row r="134">
          <cell r="T134">
            <v>0.00180736538741406</v>
          </cell>
        </row>
        <row r="135">
          <cell r="D135">
            <v>40238</v>
          </cell>
        </row>
        <row r="135">
          <cell r="G135">
            <v>30.0726790760839</v>
          </cell>
        </row>
        <row r="135">
          <cell r="T135">
            <v>-2845.22379820844</v>
          </cell>
        </row>
        <row r="136">
          <cell r="D136">
            <v>40269</v>
          </cell>
        </row>
        <row r="136">
          <cell r="G136">
            <v>30.2726798390233</v>
          </cell>
        </row>
        <row r="136">
          <cell r="T136">
            <v>-2707.40885642126</v>
          </cell>
        </row>
        <row r="137">
          <cell r="D137">
            <v>40299</v>
          </cell>
        </row>
        <row r="137">
          <cell r="G137">
            <v>34.1750030517578</v>
          </cell>
        </row>
        <row r="137">
          <cell r="T137">
            <v>0</v>
          </cell>
        </row>
        <row r="138">
          <cell r="D138">
            <v>40330</v>
          </cell>
        </row>
        <row r="138">
          <cell r="G138">
            <v>42.9700050354004</v>
          </cell>
        </row>
        <row r="138">
          <cell r="T138">
            <v>-5357.6865234375</v>
          </cell>
        </row>
        <row r="139">
          <cell r="D139">
            <v>40360</v>
          </cell>
        </row>
        <row r="139">
          <cell r="G139">
            <v>56.375</v>
          </cell>
        </row>
        <row r="139">
          <cell r="T139">
            <v>-5086.572265625</v>
          </cell>
        </row>
        <row r="140">
          <cell r="D140">
            <v>40391</v>
          </cell>
        </row>
        <row r="140">
          <cell r="G140">
            <v>56.375</v>
          </cell>
        </row>
        <row r="140">
          <cell r="T140">
            <v>-5299.9833984375</v>
          </cell>
        </row>
        <row r="141">
          <cell r="D141">
            <v>40422</v>
          </cell>
        </row>
        <row r="141">
          <cell r="G141">
            <v>28.4549999237061</v>
          </cell>
        </row>
        <row r="141">
          <cell r="T141">
            <v>0</v>
          </cell>
        </row>
        <row r="142">
          <cell r="D142">
            <v>40452</v>
          </cell>
        </row>
        <row r="142">
          <cell r="G142">
            <v>30.8315662145615</v>
          </cell>
        </row>
        <row r="142">
          <cell r="T142">
            <v>-3653.82290967554</v>
          </cell>
        </row>
        <row r="143">
          <cell r="D143">
            <v>40483</v>
          </cell>
        </row>
        <row r="143">
          <cell r="G143">
            <v>30.9315646886826</v>
          </cell>
        </row>
        <row r="143">
          <cell r="T143">
            <v>-3634.57728827314</v>
          </cell>
        </row>
        <row r="144">
          <cell r="D144">
            <v>40513</v>
          </cell>
        </row>
        <row r="144">
          <cell r="G144">
            <v>31.0315631628037</v>
          </cell>
        </row>
        <row r="144">
          <cell r="T144">
            <v>-3959.01391642122</v>
          </cell>
        </row>
        <row r="145">
          <cell r="D145">
            <v>40544</v>
          </cell>
        </row>
        <row r="145">
          <cell r="G145">
            <v>32.5107232956659</v>
          </cell>
        </row>
        <row r="145">
          <cell r="T145">
            <v>0</v>
          </cell>
        </row>
        <row r="146">
          <cell r="D146">
            <v>40575</v>
          </cell>
        </row>
        <row r="146">
          <cell r="T146">
            <v>0</v>
          </cell>
        </row>
        <row r="147">
          <cell r="D147">
            <v>40603</v>
          </cell>
        </row>
        <row r="147">
          <cell r="T147">
            <v>0</v>
          </cell>
        </row>
        <row r="148">
          <cell r="D148">
            <v>40634</v>
          </cell>
        </row>
        <row r="148">
          <cell r="T148">
            <v>0</v>
          </cell>
        </row>
        <row r="149">
          <cell r="D149">
            <v>40664</v>
          </cell>
        </row>
        <row r="149">
          <cell r="T149">
            <v>0</v>
          </cell>
        </row>
        <row r="150">
          <cell r="D150">
            <v>40695</v>
          </cell>
        </row>
        <row r="150">
          <cell r="T150">
            <v>0</v>
          </cell>
        </row>
        <row r="151">
          <cell r="D151">
            <v>40725</v>
          </cell>
        </row>
        <row r="151">
          <cell r="T151">
            <v>0</v>
          </cell>
        </row>
        <row r="152">
          <cell r="D152">
            <v>40756</v>
          </cell>
        </row>
        <row r="152">
          <cell r="T152">
            <v>0</v>
          </cell>
        </row>
        <row r="153">
          <cell r="D153">
            <v>40787</v>
          </cell>
        </row>
        <row r="153">
          <cell r="T153">
            <v>0</v>
          </cell>
        </row>
        <row r="154">
          <cell r="D154">
            <v>40817</v>
          </cell>
        </row>
        <row r="154">
          <cell r="T154">
            <v>0</v>
          </cell>
        </row>
        <row r="155">
          <cell r="D155">
            <v>40848</v>
          </cell>
        </row>
        <row r="155">
          <cell r="T155">
            <v>0</v>
          </cell>
        </row>
        <row r="156">
          <cell r="D156">
            <v>40878</v>
          </cell>
        </row>
        <row r="156">
          <cell r="T156">
            <v>0</v>
          </cell>
        </row>
        <row r="157">
          <cell r="D157">
            <v>40909</v>
          </cell>
        </row>
        <row r="157">
          <cell r="T157">
            <v>0</v>
          </cell>
        </row>
        <row r="158">
          <cell r="D158">
            <v>40940</v>
          </cell>
        </row>
        <row r="158">
          <cell r="T158">
            <v>0</v>
          </cell>
        </row>
        <row r="159">
          <cell r="D159">
            <v>40969</v>
          </cell>
        </row>
        <row r="159">
          <cell r="T159">
            <v>0</v>
          </cell>
        </row>
        <row r="160">
          <cell r="D160">
            <v>41000</v>
          </cell>
        </row>
        <row r="160">
          <cell r="T160">
            <v>0</v>
          </cell>
        </row>
        <row r="161">
          <cell r="D161">
            <v>41030</v>
          </cell>
        </row>
        <row r="161">
          <cell r="T161">
            <v>0</v>
          </cell>
        </row>
        <row r="162">
          <cell r="D162">
            <v>41061</v>
          </cell>
        </row>
        <row r="162">
          <cell r="T162">
            <v>0</v>
          </cell>
        </row>
        <row r="163">
          <cell r="D163">
            <v>41091</v>
          </cell>
        </row>
        <row r="163">
          <cell r="T163">
            <v>0</v>
          </cell>
        </row>
        <row r="164">
          <cell r="D164">
            <v>41122</v>
          </cell>
        </row>
        <row r="164">
          <cell r="T164">
            <v>0</v>
          </cell>
        </row>
        <row r="165">
          <cell r="D165">
            <v>41153</v>
          </cell>
        </row>
        <row r="165">
          <cell r="T165">
            <v>0</v>
          </cell>
        </row>
        <row r="166">
          <cell r="D166">
            <v>41183</v>
          </cell>
        </row>
        <row r="166">
          <cell r="T166">
            <v>0</v>
          </cell>
        </row>
        <row r="167">
          <cell r="D167">
            <v>41214</v>
          </cell>
        </row>
        <row r="167">
          <cell r="T167">
            <v>0</v>
          </cell>
        </row>
        <row r="168">
          <cell r="T168">
            <v>0</v>
          </cell>
        </row>
        <row r="169">
          <cell r="T169">
            <v>0</v>
          </cell>
        </row>
        <row r="170">
          <cell r="T170">
            <v>0</v>
          </cell>
        </row>
        <row r="171">
          <cell r="T171">
            <v>0</v>
          </cell>
        </row>
        <row r="172">
          <cell r="T172">
            <v>0</v>
          </cell>
        </row>
        <row r="173">
          <cell r="T173">
            <v>0</v>
          </cell>
        </row>
        <row r="174">
          <cell r="T174">
            <v>0</v>
          </cell>
        </row>
        <row r="175">
          <cell r="T175">
            <v>0</v>
          </cell>
        </row>
        <row r="176">
          <cell r="T176">
            <v>0</v>
          </cell>
        </row>
        <row r="177">
          <cell r="T177">
            <v>0</v>
          </cell>
        </row>
        <row r="178">
          <cell r="T178">
            <v>0</v>
          </cell>
        </row>
        <row r="179">
          <cell r="T179">
            <v>0</v>
          </cell>
        </row>
        <row r="180">
          <cell r="T180">
            <v>0</v>
          </cell>
        </row>
        <row r="181">
          <cell r="T181">
            <v>0</v>
          </cell>
        </row>
        <row r="182">
          <cell r="T182">
            <v>0</v>
          </cell>
        </row>
        <row r="183">
          <cell r="T183">
            <v>0</v>
          </cell>
        </row>
        <row r="184">
          <cell r="T184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3"/>
      <sheetData sheetId="4"/>
      <sheetData sheetId="5">
        <row r="3">
          <cell r="D3">
            <v>37142</v>
          </cell>
        </row>
        <row r="3">
          <cell r="F3">
            <v>0</v>
          </cell>
        </row>
        <row r="3">
          <cell r="O3">
            <v>0</v>
          </cell>
          <cell r="P3">
            <v>0</v>
          </cell>
          <cell r="Q3">
            <v>-1593.04296875</v>
          </cell>
          <cell r="R3">
            <v>0</v>
          </cell>
        </row>
        <row r="3">
          <cell r="T3">
            <v>0</v>
          </cell>
        </row>
        <row r="4">
          <cell r="D4">
            <v>37143</v>
          </cell>
        </row>
        <row r="4">
          <cell r="F4">
            <v>0</v>
          </cell>
        </row>
        <row r="4">
          <cell r="O4">
            <v>0</v>
          </cell>
          <cell r="P4">
            <v>1.1000000389727E-011</v>
          </cell>
          <cell r="Q4">
            <v>0</v>
          </cell>
          <cell r="R4">
            <v>-1593.04296875</v>
          </cell>
        </row>
        <row r="4">
          <cell r="T4">
            <v>0</v>
          </cell>
        </row>
        <row r="5">
          <cell r="D5">
            <v>37144</v>
          </cell>
        </row>
        <row r="5">
          <cell r="F5">
            <v>0</v>
          </cell>
        </row>
        <row r="5">
          <cell r="O5">
            <v>15930.4296875</v>
          </cell>
          <cell r="P5">
            <v>-796.521484375</v>
          </cell>
          <cell r="Q5">
            <v>0</v>
          </cell>
          <cell r="R5">
            <v>0</v>
          </cell>
        </row>
        <row r="5">
          <cell r="T5">
            <v>0</v>
          </cell>
        </row>
        <row r="6">
          <cell r="D6">
            <v>37145</v>
          </cell>
        </row>
        <row r="6">
          <cell r="F6">
            <v>0</v>
          </cell>
        </row>
        <row r="6">
          <cell r="O6">
            <v>15930.4296875</v>
          </cell>
          <cell r="P6">
            <v>-796.521484375</v>
          </cell>
          <cell r="Q6">
            <v>0</v>
          </cell>
          <cell r="R6">
            <v>0</v>
          </cell>
        </row>
        <row r="6">
          <cell r="T6">
            <v>0</v>
          </cell>
        </row>
        <row r="7">
          <cell r="D7">
            <v>37146</v>
          </cell>
        </row>
        <row r="7">
          <cell r="F7">
            <v>0</v>
          </cell>
        </row>
        <row r="7">
          <cell r="O7">
            <v>15930.4296875</v>
          </cell>
          <cell r="P7">
            <v>-796.521484375</v>
          </cell>
          <cell r="Q7">
            <v>0</v>
          </cell>
          <cell r="R7">
            <v>0</v>
          </cell>
        </row>
        <row r="7">
          <cell r="T7">
            <v>0</v>
          </cell>
        </row>
        <row r="8">
          <cell r="D8">
            <v>37147</v>
          </cell>
        </row>
        <row r="8">
          <cell r="F8">
            <v>0</v>
          </cell>
        </row>
        <row r="8">
          <cell r="O8">
            <v>15930.4296875</v>
          </cell>
          <cell r="P8">
            <v>-796.521484375</v>
          </cell>
          <cell r="Q8">
            <v>0</v>
          </cell>
          <cell r="R8">
            <v>0</v>
          </cell>
        </row>
        <row r="8">
          <cell r="T8">
            <v>0</v>
          </cell>
        </row>
        <row r="9">
          <cell r="D9">
            <v>37148</v>
          </cell>
        </row>
        <row r="9">
          <cell r="F9">
            <v>0</v>
          </cell>
        </row>
        <row r="9">
          <cell r="O9">
            <v>15930.4296875</v>
          </cell>
          <cell r="P9">
            <v>-796.521484375</v>
          </cell>
          <cell r="Q9">
            <v>0</v>
          </cell>
          <cell r="R9">
            <v>0</v>
          </cell>
        </row>
        <row r="9">
          <cell r="T9">
            <v>0</v>
          </cell>
        </row>
        <row r="10">
          <cell r="D10">
            <v>37149</v>
          </cell>
        </row>
        <row r="10">
          <cell r="F10">
            <v>0</v>
          </cell>
        </row>
        <row r="10">
          <cell r="O10">
            <v>0</v>
          </cell>
          <cell r="P10">
            <v>-796.521484375</v>
          </cell>
          <cell r="Q10">
            <v>-2389.564453125</v>
          </cell>
          <cell r="R10">
            <v>0</v>
          </cell>
        </row>
        <row r="10">
          <cell r="T10">
            <v>0</v>
          </cell>
        </row>
        <row r="11">
          <cell r="D11">
            <v>37150</v>
          </cell>
        </row>
        <row r="11">
          <cell r="F11">
            <v>0</v>
          </cell>
        </row>
        <row r="11">
          <cell r="O11">
            <v>0</v>
          </cell>
          <cell r="P11">
            <v>-796.521484375</v>
          </cell>
          <cell r="Q11">
            <v>0</v>
          </cell>
          <cell r="R11">
            <v>-2389.564453125</v>
          </cell>
        </row>
        <row r="11">
          <cell r="T11">
            <v>0</v>
          </cell>
        </row>
        <row r="12">
          <cell r="D12">
            <v>37151</v>
          </cell>
        </row>
        <row r="12">
          <cell r="F12">
            <v>0</v>
          </cell>
        </row>
        <row r="12">
          <cell r="O12">
            <v>15930.4296875</v>
          </cell>
          <cell r="P12">
            <v>-796.521484375</v>
          </cell>
          <cell r="Q12">
            <v>0</v>
          </cell>
          <cell r="R12">
            <v>0</v>
          </cell>
        </row>
        <row r="12">
          <cell r="T12">
            <v>0</v>
          </cell>
        </row>
        <row r="13">
          <cell r="D13">
            <v>37152</v>
          </cell>
        </row>
        <row r="13">
          <cell r="F13">
            <v>0</v>
          </cell>
        </row>
        <row r="13">
          <cell r="O13">
            <v>15930.4296875</v>
          </cell>
          <cell r="P13">
            <v>-796.521484375</v>
          </cell>
          <cell r="Q13">
            <v>0</v>
          </cell>
          <cell r="R13">
            <v>0</v>
          </cell>
        </row>
        <row r="13">
          <cell r="T13">
            <v>0</v>
          </cell>
        </row>
        <row r="14">
          <cell r="D14">
            <v>37153</v>
          </cell>
        </row>
        <row r="14">
          <cell r="F14">
            <v>0</v>
          </cell>
        </row>
        <row r="14">
          <cell r="O14">
            <v>15930.4296875</v>
          </cell>
          <cell r="P14">
            <v>-796.521484375</v>
          </cell>
          <cell r="Q14">
            <v>0</v>
          </cell>
          <cell r="R14">
            <v>0</v>
          </cell>
        </row>
        <row r="14">
          <cell r="T14">
            <v>0</v>
          </cell>
        </row>
        <row r="15">
          <cell r="D15">
            <v>37154</v>
          </cell>
        </row>
        <row r="15">
          <cell r="F15">
            <v>0</v>
          </cell>
        </row>
        <row r="15">
          <cell r="O15">
            <v>15930.4296875</v>
          </cell>
          <cell r="P15">
            <v>-796.521484375</v>
          </cell>
          <cell r="Q15">
            <v>0</v>
          </cell>
          <cell r="R15">
            <v>0</v>
          </cell>
        </row>
        <row r="15">
          <cell r="T15">
            <v>0</v>
          </cell>
        </row>
        <row r="16">
          <cell r="D16">
            <v>37155</v>
          </cell>
        </row>
        <row r="16">
          <cell r="F16">
            <v>0</v>
          </cell>
        </row>
        <row r="16">
          <cell r="O16">
            <v>15930.4296875</v>
          </cell>
          <cell r="P16">
            <v>-796.521484375</v>
          </cell>
          <cell r="Q16">
            <v>0</v>
          </cell>
          <cell r="R16">
            <v>0</v>
          </cell>
        </row>
        <row r="16">
          <cell r="T16">
            <v>0</v>
          </cell>
        </row>
        <row r="17">
          <cell r="D17">
            <v>37156</v>
          </cell>
        </row>
        <row r="17">
          <cell r="F17">
            <v>0</v>
          </cell>
        </row>
        <row r="17">
          <cell r="O17">
            <v>0</v>
          </cell>
          <cell r="P17">
            <v>-796.521484375</v>
          </cell>
          <cell r="Q17">
            <v>-2389.564453125</v>
          </cell>
          <cell r="R17">
            <v>0</v>
          </cell>
        </row>
        <row r="17">
          <cell r="T17">
            <v>0</v>
          </cell>
        </row>
        <row r="18">
          <cell r="D18">
            <v>37157</v>
          </cell>
        </row>
        <row r="18">
          <cell r="F18">
            <v>0</v>
          </cell>
        </row>
        <row r="18">
          <cell r="O18">
            <v>0</v>
          </cell>
          <cell r="P18">
            <v>-796.521484375</v>
          </cell>
          <cell r="Q18">
            <v>0</v>
          </cell>
          <cell r="R18">
            <v>-2389.564453125</v>
          </cell>
        </row>
        <row r="18">
          <cell r="T18">
            <v>0</v>
          </cell>
        </row>
        <row r="19">
          <cell r="D19">
            <v>37158</v>
          </cell>
        </row>
        <row r="19">
          <cell r="F19">
            <v>0</v>
          </cell>
        </row>
        <row r="19">
          <cell r="O19">
            <v>15930.4296875</v>
          </cell>
          <cell r="P19">
            <v>-796.521484375</v>
          </cell>
          <cell r="Q19">
            <v>0</v>
          </cell>
          <cell r="R19">
            <v>0</v>
          </cell>
        </row>
        <row r="19">
          <cell r="T19">
            <v>0</v>
          </cell>
        </row>
        <row r="20">
          <cell r="D20">
            <v>37159</v>
          </cell>
        </row>
        <row r="20">
          <cell r="F20">
            <v>0</v>
          </cell>
        </row>
        <row r="20">
          <cell r="O20">
            <v>15930.4296875</v>
          </cell>
          <cell r="P20">
            <v>-796.521484375</v>
          </cell>
          <cell r="Q20">
            <v>0</v>
          </cell>
          <cell r="R20">
            <v>0</v>
          </cell>
        </row>
        <row r="20">
          <cell r="T20">
            <v>0</v>
          </cell>
        </row>
        <row r="21">
          <cell r="D21">
            <v>37160</v>
          </cell>
        </row>
        <row r="21">
          <cell r="F21">
            <v>0</v>
          </cell>
        </row>
        <row r="21">
          <cell r="O21">
            <v>15930.4296875</v>
          </cell>
          <cell r="P21">
            <v>-796.521484375</v>
          </cell>
          <cell r="Q21">
            <v>0</v>
          </cell>
          <cell r="R21">
            <v>0</v>
          </cell>
        </row>
        <row r="21">
          <cell r="T21">
            <v>0</v>
          </cell>
        </row>
        <row r="22">
          <cell r="D22">
            <v>37161</v>
          </cell>
        </row>
        <row r="22">
          <cell r="F22">
            <v>0</v>
          </cell>
        </row>
        <row r="22">
          <cell r="O22">
            <v>15930.4296875</v>
          </cell>
          <cell r="P22">
            <v>-796.521484375</v>
          </cell>
          <cell r="Q22">
            <v>0</v>
          </cell>
          <cell r="R22">
            <v>0</v>
          </cell>
        </row>
        <row r="22">
          <cell r="T22">
            <v>0</v>
          </cell>
        </row>
        <row r="23">
          <cell r="D23">
            <v>37162</v>
          </cell>
        </row>
        <row r="23">
          <cell r="F23">
            <v>0</v>
          </cell>
        </row>
        <row r="23">
          <cell r="O23">
            <v>15930.4296875</v>
          </cell>
          <cell r="P23">
            <v>-796.521484375</v>
          </cell>
          <cell r="Q23">
            <v>0</v>
          </cell>
          <cell r="R23">
            <v>0</v>
          </cell>
        </row>
        <row r="23">
          <cell r="T23">
            <v>0</v>
          </cell>
        </row>
        <row r="24">
          <cell r="D24">
            <v>37163</v>
          </cell>
        </row>
        <row r="24">
          <cell r="F24">
            <v>0</v>
          </cell>
        </row>
        <row r="24">
          <cell r="O24">
            <v>0</v>
          </cell>
          <cell r="P24">
            <v>-796.521484375</v>
          </cell>
          <cell r="Q24">
            <v>-1593.04296875</v>
          </cell>
          <cell r="R24">
            <v>0</v>
          </cell>
        </row>
        <row r="24">
          <cell r="T24">
            <v>0</v>
          </cell>
        </row>
        <row r="25">
          <cell r="D25">
            <v>37164</v>
          </cell>
        </row>
        <row r="25">
          <cell r="F25">
            <v>0</v>
          </cell>
        </row>
        <row r="25">
          <cell r="O25">
            <v>0</v>
          </cell>
          <cell r="P25">
            <v>-796.521484375</v>
          </cell>
          <cell r="Q25">
            <v>0</v>
          </cell>
          <cell r="R25">
            <v>-1593.04296875</v>
          </cell>
        </row>
        <row r="25">
          <cell r="T25">
            <v>0</v>
          </cell>
        </row>
        <row r="26">
          <cell r="D26">
            <v>37165</v>
          </cell>
        </row>
        <row r="26">
          <cell r="F26">
            <v>0</v>
          </cell>
        </row>
        <row r="26">
          <cell r="O26">
            <v>6035.44287109375</v>
          </cell>
          <cell r="P26">
            <v>-794.13720703125</v>
          </cell>
          <cell r="Q26">
            <v>0</v>
          </cell>
          <cell r="R26">
            <v>0</v>
          </cell>
        </row>
        <row r="26">
          <cell r="T26">
            <v>0</v>
          </cell>
        </row>
        <row r="27">
          <cell r="D27">
            <v>37166</v>
          </cell>
        </row>
        <row r="27">
          <cell r="F27">
            <v>0</v>
          </cell>
        </row>
        <row r="27">
          <cell r="O27">
            <v>6035.44287109375</v>
          </cell>
          <cell r="P27">
            <v>-794.13720703125</v>
          </cell>
          <cell r="Q27">
            <v>0</v>
          </cell>
          <cell r="R27">
            <v>0</v>
          </cell>
        </row>
        <row r="27">
          <cell r="T27">
            <v>0</v>
          </cell>
        </row>
        <row r="28">
          <cell r="D28">
            <v>37167</v>
          </cell>
        </row>
        <row r="28">
          <cell r="F28">
            <v>0</v>
          </cell>
        </row>
        <row r="28">
          <cell r="O28">
            <v>6035.44287109375</v>
          </cell>
          <cell r="P28">
            <v>-794.13720703125</v>
          </cell>
          <cell r="Q28">
            <v>0</v>
          </cell>
          <cell r="R28">
            <v>0</v>
          </cell>
        </row>
        <row r="28">
          <cell r="T28">
            <v>0</v>
          </cell>
        </row>
        <row r="29">
          <cell r="D29">
            <v>37168</v>
          </cell>
        </row>
        <row r="29">
          <cell r="F29">
            <v>0</v>
          </cell>
        </row>
        <row r="29">
          <cell r="O29">
            <v>6035.44287109375</v>
          </cell>
          <cell r="P29">
            <v>-794.13720703125</v>
          </cell>
          <cell r="Q29">
            <v>0</v>
          </cell>
          <cell r="R29">
            <v>0</v>
          </cell>
        </row>
        <row r="29">
          <cell r="T29">
            <v>0</v>
          </cell>
        </row>
        <row r="30">
          <cell r="D30">
            <v>37169</v>
          </cell>
        </row>
        <row r="30">
          <cell r="F30">
            <v>0</v>
          </cell>
        </row>
        <row r="30">
          <cell r="O30">
            <v>6035.44287109375</v>
          </cell>
          <cell r="P30">
            <v>-794.13720703125</v>
          </cell>
          <cell r="Q30">
            <v>0</v>
          </cell>
          <cell r="R30">
            <v>0</v>
          </cell>
        </row>
        <row r="30">
          <cell r="T30">
            <v>0</v>
          </cell>
        </row>
        <row r="31">
          <cell r="D31">
            <v>37170</v>
          </cell>
        </row>
        <row r="31">
          <cell r="F31">
            <v>0</v>
          </cell>
        </row>
        <row r="31">
          <cell r="O31">
            <v>0</v>
          </cell>
          <cell r="P31">
            <v>-794.13720703125</v>
          </cell>
          <cell r="Q31">
            <v>-1588.2744140625</v>
          </cell>
          <cell r="R31">
            <v>0</v>
          </cell>
        </row>
        <row r="31">
          <cell r="T31">
            <v>0</v>
          </cell>
        </row>
        <row r="32">
          <cell r="D32">
            <v>37171</v>
          </cell>
        </row>
        <row r="32">
          <cell r="F32">
            <v>0</v>
          </cell>
        </row>
        <row r="32">
          <cell r="O32">
            <v>0</v>
          </cell>
          <cell r="P32">
            <v>-794.13720703125</v>
          </cell>
          <cell r="Q32">
            <v>0</v>
          </cell>
          <cell r="R32">
            <v>-1588.2744140625</v>
          </cell>
        </row>
        <row r="32">
          <cell r="T32">
            <v>0</v>
          </cell>
        </row>
        <row r="33">
          <cell r="D33">
            <v>37172</v>
          </cell>
        </row>
        <row r="33">
          <cell r="F33">
            <v>0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3">
          <cell r="T33">
            <v>0</v>
          </cell>
        </row>
        <row r="34">
          <cell r="D34">
            <v>37195</v>
          </cell>
          <cell r="E34">
            <v>24.5499992370605</v>
          </cell>
          <cell r="F34">
            <v>-0.099999237060544</v>
          </cell>
        </row>
        <row r="34">
          <cell r="O34">
            <v>108637.974121094</v>
          </cell>
          <cell r="P34">
            <v>-19158.5590820313</v>
          </cell>
          <cell r="Q34">
            <v>-4764.8232421875</v>
          </cell>
          <cell r="R34">
            <v>-4764.8232421875</v>
          </cell>
        </row>
        <row r="34">
          <cell r="T34">
            <v>-10863.7145279125</v>
          </cell>
        </row>
        <row r="35">
          <cell r="D35">
            <v>37196</v>
          </cell>
          <cell r="E35">
            <v>25.0499954223633</v>
          </cell>
          <cell r="F35">
            <v>0.0500003814697294</v>
          </cell>
        </row>
        <row r="35">
          <cell r="O35">
            <v>143019.8125</v>
          </cell>
          <cell r="P35">
            <v>-24153.40234375</v>
          </cell>
          <cell r="Q35">
            <v>-6335.31884765625</v>
          </cell>
          <cell r="R35">
            <v>-7919.1484375</v>
          </cell>
        </row>
        <row r="35">
          <cell r="T35">
            <v>7151.04518272917</v>
          </cell>
        </row>
        <row r="36">
          <cell r="D36">
            <v>37226</v>
          </cell>
          <cell r="E36">
            <v>26.7500019073486</v>
          </cell>
          <cell r="F36">
            <v>-0.149999618530273</v>
          </cell>
        </row>
        <row r="36">
          <cell r="O36">
            <v>166609.9375</v>
          </cell>
          <cell r="P36">
            <v>-24873.048828125</v>
          </cell>
          <cell r="Q36">
            <v>-7896.20556640625</v>
          </cell>
          <cell r="R36">
            <v>-9475.4462890625</v>
          </cell>
        </row>
        <row r="36">
          <cell r="T36">
            <v>-24991.4270683527</v>
          </cell>
        </row>
        <row r="37">
          <cell r="D37">
            <v>37257</v>
          </cell>
          <cell r="E37">
            <v>28.3146686553955</v>
          </cell>
          <cell r="F37">
            <v>-0.250000181652251</v>
          </cell>
        </row>
        <row r="37">
          <cell r="O37">
            <v>-422618.8125</v>
          </cell>
          <cell r="P37">
            <v>11809.392578125</v>
          </cell>
          <cell r="Q37">
            <v>3149.17138671875</v>
          </cell>
          <cell r="R37">
            <v>3936.46435546875</v>
          </cell>
        </row>
        <row r="37">
          <cell r="T37">
            <v>105654.779894658</v>
          </cell>
        </row>
        <row r="38">
          <cell r="D38">
            <v>37288</v>
          </cell>
          <cell r="E38">
            <v>27.9666652679443</v>
          </cell>
          <cell r="F38">
            <v>-0.250000181652251</v>
          </cell>
        </row>
        <row r="38">
          <cell r="O38">
            <v>-383171.78125</v>
          </cell>
          <cell r="P38">
            <v>10992.6328125</v>
          </cell>
          <cell r="Q38">
            <v>3140.75219726563</v>
          </cell>
          <cell r="R38">
            <v>3140.75219726563</v>
          </cell>
        </row>
        <row r="38">
          <cell r="T38">
            <v>95793.0149165164</v>
          </cell>
        </row>
        <row r="39">
          <cell r="D39">
            <v>37316</v>
          </cell>
          <cell r="E39">
            <v>26.669771194458</v>
          </cell>
          <cell r="F39">
            <v>-0.25000070971112</v>
          </cell>
        </row>
        <row r="39">
          <cell r="O39">
            <v>-55894.4921875</v>
          </cell>
          <cell r="P39">
            <v>12133.958984375</v>
          </cell>
          <cell r="Q39">
            <v>3914.18017578125</v>
          </cell>
          <cell r="R39">
            <v>3914.18017578125</v>
          </cell>
        </row>
        <row r="39">
          <cell r="T39">
            <v>13973.6627158177</v>
          </cell>
        </row>
        <row r="40">
          <cell r="D40">
            <v>37347</v>
          </cell>
          <cell r="E40">
            <v>27.1197681427002</v>
          </cell>
          <cell r="F40">
            <v>-0.25000070971112</v>
          </cell>
        </row>
        <row r="40">
          <cell r="O40">
            <v>-58384.8203125</v>
          </cell>
          <cell r="P40">
            <v>11659.4013671875</v>
          </cell>
          <cell r="Q40">
            <v>3122.18286132813</v>
          </cell>
          <cell r="R40">
            <v>3122.18286132813</v>
          </cell>
        </row>
        <row r="40">
          <cell r="T40">
            <v>14596.2465144812</v>
          </cell>
        </row>
        <row r="41">
          <cell r="D41">
            <v>37377</v>
          </cell>
          <cell r="E41">
            <v>30.5999965667725</v>
          </cell>
        </row>
        <row r="41">
          <cell r="O41">
            <v>-143801.96875</v>
          </cell>
          <cell r="P41">
            <v>11672.23828125</v>
          </cell>
          <cell r="Q41">
            <v>3112.5966796875</v>
          </cell>
          <cell r="R41">
            <v>3890.74584960938</v>
          </cell>
        </row>
        <row r="41">
          <cell r="T41">
            <v>0</v>
          </cell>
        </row>
        <row r="42">
          <cell r="D42">
            <v>37408</v>
          </cell>
          <cell r="E42">
            <v>40.375</v>
          </cell>
        </row>
        <row r="42">
          <cell r="O42">
            <v>-62060.53515625</v>
          </cell>
          <cell r="P42">
            <v>11636.3505859375</v>
          </cell>
          <cell r="Q42">
            <v>3878.78344726563</v>
          </cell>
          <cell r="R42">
            <v>3878.78344726563</v>
          </cell>
        </row>
        <row r="42">
          <cell r="T42">
            <v>23272.7006835938</v>
          </cell>
        </row>
        <row r="43">
          <cell r="D43">
            <v>37438</v>
          </cell>
          <cell r="E43">
            <v>54.125</v>
          </cell>
        </row>
        <row r="43">
          <cell r="O43">
            <v>-289189.15625</v>
          </cell>
          <cell r="P43">
            <v>11598.49609375</v>
          </cell>
          <cell r="Q43">
            <v>3092.93212890625</v>
          </cell>
          <cell r="R43">
            <v>3866.16528320313</v>
          </cell>
        </row>
        <row r="43">
          <cell r="T43">
            <v>144594.578125</v>
          </cell>
        </row>
        <row r="44">
          <cell r="D44">
            <v>37469</v>
          </cell>
          <cell r="E44">
            <v>54.125</v>
          </cell>
        </row>
        <row r="44">
          <cell r="O44">
            <v>-288225.1875</v>
          </cell>
          <cell r="P44">
            <v>11945.1611328125</v>
          </cell>
          <cell r="Q44">
            <v>3853.27807617188</v>
          </cell>
          <cell r="R44">
            <v>3082.62231445313</v>
          </cell>
        </row>
        <row r="44">
          <cell r="T44">
            <v>144112.59375</v>
          </cell>
        </row>
        <row r="45">
          <cell r="D45">
            <v>37500</v>
          </cell>
          <cell r="E45">
            <v>27.2499942779541</v>
          </cell>
        </row>
        <row r="45">
          <cell r="O45">
            <v>92168.7890625</v>
          </cell>
          <cell r="P45">
            <v>11137.0625</v>
          </cell>
          <cell r="Q45">
            <v>3072.29296875</v>
          </cell>
          <cell r="R45">
            <v>4608.439453125</v>
          </cell>
        </row>
        <row r="45">
          <cell r="T45">
            <v>0</v>
          </cell>
        </row>
        <row r="46">
          <cell r="D46">
            <v>37530</v>
          </cell>
          <cell r="E46">
            <v>28.2562484741211</v>
          </cell>
        </row>
        <row r="46">
          <cell r="O46">
            <v>-176028.328125</v>
          </cell>
          <cell r="P46">
            <v>11910.6123046875</v>
          </cell>
          <cell r="Q46">
            <v>3061.3623046875</v>
          </cell>
          <cell r="R46">
            <v>3061.3623046875</v>
          </cell>
        </row>
        <row r="46">
          <cell r="T46">
            <v>0.0577065828256309</v>
          </cell>
        </row>
        <row r="47">
          <cell r="D47">
            <v>37561</v>
          </cell>
          <cell r="E47">
            <v>28.4562473297119</v>
          </cell>
        </row>
        <row r="47">
          <cell r="O47">
            <v>-152526.265625</v>
          </cell>
          <cell r="P47">
            <v>11058.154296875</v>
          </cell>
          <cell r="Q47">
            <v>3813.15649414063</v>
          </cell>
          <cell r="R47">
            <v>3813.15649414063</v>
          </cell>
        </row>
        <row r="47">
          <cell r="T47">
            <v>0.0500020063482225</v>
          </cell>
        </row>
        <row r="48">
          <cell r="D48">
            <v>37591</v>
          </cell>
          <cell r="E48">
            <v>28.6562480926514</v>
          </cell>
        </row>
        <row r="48">
          <cell r="O48">
            <v>-159545.34375</v>
          </cell>
          <cell r="P48">
            <v>11396.095703125</v>
          </cell>
          <cell r="Q48">
            <v>3038.95874023438</v>
          </cell>
          <cell r="R48">
            <v>4558.4384765625</v>
          </cell>
        </row>
        <row r="48">
          <cell r="T48">
            <v>0.0523030394688249</v>
          </cell>
        </row>
        <row r="49">
          <cell r="D49">
            <v>37622</v>
          </cell>
          <cell r="E49">
            <v>29.4337100982666</v>
          </cell>
        </row>
        <row r="49">
          <cell r="O49">
            <v>-249736.484375</v>
          </cell>
          <cell r="P49">
            <v>-378.388610839844</v>
          </cell>
          <cell r="Q49">
            <v>0</v>
          </cell>
          <cell r="R49">
            <v>0</v>
          </cell>
        </row>
        <row r="49">
          <cell r="T49">
            <v>-0.0453651944373748</v>
          </cell>
        </row>
        <row r="50">
          <cell r="D50">
            <v>37653</v>
          </cell>
          <cell r="E50">
            <v>28.8356952667236</v>
          </cell>
        </row>
        <row r="50">
          <cell r="O50">
            <v>-226219.296875</v>
          </cell>
          <cell r="P50">
            <v>0</v>
          </cell>
          <cell r="Q50">
            <v>0</v>
          </cell>
          <cell r="R50">
            <v>0</v>
          </cell>
        </row>
        <row r="50">
          <cell r="T50">
            <v>-0.0410932444008086</v>
          </cell>
        </row>
        <row r="51">
          <cell r="D51">
            <v>37681</v>
          </cell>
          <cell r="E51">
            <v>27.8476886749268</v>
          </cell>
        </row>
        <row r="51">
          <cell r="O51">
            <v>-189259.765625</v>
          </cell>
          <cell r="P51">
            <v>0</v>
          </cell>
          <cell r="Q51">
            <v>0</v>
          </cell>
          <cell r="R51">
            <v>0</v>
          </cell>
        </row>
        <row r="51">
          <cell r="T51">
            <v>47315.0253560997</v>
          </cell>
        </row>
        <row r="52">
          <cell r="D52">
            <v>37712</v>
          </cell>
          <cell r="E52">
            <v>28.0476818084717</v>
          </cell>
        </row>
        <row r="52">
          <cell r="O52">
            <v>-197487.5625</v>
          </cell>
          <cell r="P52">
            <v>0</v>
          </cell>
          <cell r="Q52">
            <v>0</v>
          </cell>
          <cell r="R52">
            <v>0</v>
          </cell>
        </row>
        <row r="52">
          <cell r="T52">
            <v>49371.9782244491</v>
          </cell>
        </row>
        <row r="53">
          <cell r="D53">
            <v>37742</v>
          </cell>
          <cell r="E53">
            <v>29.7499961853027</v>
          </cell>
        </row>
        <row r="53">
          <cell r="O53">
            <v>-187725.765625</v>
          </cell>
          <cell r="P53">
            <v>-372.471771240234</v>
          </cell>
          <cell r="Q53">
            <v>0</v>
          </cell>
          <cell r="R53">
            <v>0</v>
          </cell>
        </row>
        <row r="53">
          <cell r="T53">
            <v>0</v>
          </cell>
        </row>
        <row r="54">
          <cell r="D54">
            <v>37773</v>
          </cell>
          <cell r="E54">
            <v>39.375</v>
          </cell>
        </row>
        <row r="54">
          <cell r="O54">
            <v>-186955.484375</v>
          </cell>
          <cell r="P54">
            <v>0</v>
          </cell>
          <cell r="Q54">
            <v>0</v>
          </cell>
          <cell r="R54">
            <v>0</v>
          </cell>
        </row>
        <row r="54">
          <cell r="T54">
            <v>93477.7421875</v>
          </cell>
        </row>
        <row r="55">
          <cell r="D55">
            <v>37803</v>
          </cell>
          <cell r="E55">
            <v>49.375</v>
          </cell>
        </row>
        <row r="55">
          <cell r="O55">
            <v>-292519.34375</v>
          </cell>
          <cell r="P55">
            <v>-369.342620849609</v>
          </cell>
          <cell r="Q55">
            <v>0</v>
          </cell>
          <cell r="R55">
            <v>0</v>
          </cell>
        </row>
        <row r="55">
          <cell r="T55">
            <v>146259.671875</v>
          </cell>
        </row>
        <row r="56">
          <cell r="D56">
            <v>37834</v>
          </cell>
          <cell r="E56">
            <v>49.375</v>
          </cell>
          <cell r="F56">
            <v>-0.5</v>
          </cell>
        </row>
        <row r="56">
          <cell r="O56">
            <v>-277999.78125</v>
          </cell>
          <cell r="P56">
            <v>0</v>
          </cell>
          <cell r="Q56">
            <v>0</v>
          </cell>
          <cell r="R56">
            <v>0</v>
          </cell>
        </row>
        <row r="56">
          <cell r="T56">
            <v>138999.890625</v>
          </cell>
        </row>
        <row r="57">
          <cell r="D57">
            <v>37865</v>
          </cell>
          <cell r="E57">
            <v>27.149995803833</v>
          </cell>
          <cell r="F57">
            <v>0</v>
          </cell>
        </row>
        <row r="57">
          <cell r="O57">
            <v>-153781.765625</v>
          </cell>
          <cell r="P57">
            <v>-366.147064208984</v>
          </cell>
          <cell r="Q57">
            <v>0</v>
          </cell>
          <cell r="R57">
            <v>0</v>
          </cell>
        </row>
        <row r="57">
          <cell r="T57">
            <v>0</v>
          </cell>
        </row>
        <row r="58">
          <cell r="D58">
            <v>37895</v>
          </cell>
          <cell r="E58">
            <v>28.7715682983398</v>
          </cell>
          <cell r="F58">
            <v>-0.365001320838928</v>
          </cell>
        </row>
        <row r="58">
          <cell r="O58">
            <v>-167670.328125</v>
          </cell>
          <cell r="P58">
            <v>0</v>
          </cell>
          <cell r="Q58">
            <v>0</v>
          </cell>
          <cell r="R58">
            <v>0</v>
          </cell>
        </row>
        <row r="58">
          <cell r="T58">
            <v>61199.8912311215</v>
          </cell>
        </row>
        <row r="59">
          <cell r="D59">
            <v>37926</v>
          </cell>
          <cell r="E59">
            <v>28.8715629577637</v>
          </cell>
          <cell r="F59">
            <v>-0.365001320838928</v>
          </cell>
        </row>
        <row r="59">
          <cell r="O59">
            <v>-137899.078125</v>
          </cell>
          <cell r="P59">
            <v>-362.892303466797</v>
          </cell>
          <cell r="Q59">
            <v>0</v>
          </cell>
          <cell r="R59">
            <v>0</v>
          </cell>
        </row>
        <row r="59">
          <cell r="T59">
            <v>50333.3456580956</v>
          </cell>
        </row>
        <row r="60">
          <cell r="D60">
            <v>37956</v>
          </cell>
          <cell r="E60">
            <v>28.9715633392334</v>
          </cell>
          <cell r="F60">
            <v>-0.365001320838928</v>
          </cell>
        </row>
        <row r="60">
          <cell r="O60">
            <v>-158935.65625</v>
          </cell>
          <cell r="P60">
            <v>-361.217407226563</v>
          </cell>
          <cell r="Q60">
            <v>0</v>
          </cell>
          <cell r="R60">
            <v>0</v>
          </cell>
        </row>
        <row r="60">
          <cell r="T60">
            <v>58011.7244596519</v>
          </cell>
        </row>
        <row r="61">
          <cell r="D61">
            <v>37987</v>
          </cell>
          <cell r="E61">
            <v>30.4087142944336</v>
          </cell>
          <cell r="F61">
            <v>1.81652250574871E-007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1">
          <cell r="T61">
            <v>0</v>
          </cell>
        </row>
        <row r="62">
          <cell r="D62">
            <v>38018</v>
          </cell>
          <cell r="E62">
            <v>29.8107109069824</v>
          </cell>
          <cell r="F62">
            <v>1.81652250574871E-007</v>
          </cell>
          <cell r="G62">
            <v>29.8107110886347</v>
          </cell>
        </row>
        <row r="62"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2">
          <cell r="T62">
            <v>0</v>
          </cell>
        </row>
        <row r="63">
          <cell r="D63">
            <v>38047</v>
          </cell>
          <cell r="E63">
            <v>29.0226802825928</v>
          </cell>
          <cell r="F63">
            <v>-0.250000443569448</v>
          </cell>
          <cell r="G63">
            <v>28.7726798390233</v>
          </cell>
        </row>
        <row r="63"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3">
          <cell r="T63">
            <v>0</v>
          </cell>
        </row>
        <row r="64">
          <cell r="D64">
            <v>38078</v>
          </cell>
          <cell r="E64">
            <v>29.2226734161377</v>
          </cell>
          <cell r="F64">
            <v>-0.250000443569448</v>
          </cell>
          <cell r="G64">
            <v>28.9726729725682</v>
          </cell>
        </row>
        <row r="64"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4">
          <cell r="T64">
            <v>0</v>
          </cell>
        </row>
        <row r="65">
          <cell r="D65">
            <v>38108</v>
          </cell>
          <cell r="E65">
            <v>29.375</v>
          </cell>
          <cell r="F65">
            <v>0</v>
          </cell>
          <cell r="G65">
            <v>29.375</v>
          </cell>
        </row>
        <row r="65"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5">
          <cell r="T65">
            <v>0</v>
          </cell>
        </row>
        <row r="66">
          <cell r="D66">
            <v>38139</v>
          </cell>
          <cell r="E66">
            <v>37.4500045776367</v>
          </cell>
          <cell r="F66">
            <v>-0.5</v>
          </cell>
          <cell r="G66">
            <v>36.9500045776367</v>
          </cell>
        </row>
        <row r="66"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6">
          <cell r="T66">
            <v>0</v>
          </cell>
        </row>
        <row r="67">
          <cell r="D67">
            <v>38169</v>
          </cell>
          <cell r="E67">
            <v>48.0249977111816</v>
          </cell>
          <cell r="F67">
            <v>-0.5</v>
          </cell>
          <cell r="G67">
            <v>47.5249977111816</v>
          </cell>
        </row>
        <row r="67"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7">
          <cell r="T67">
            <v>0</v>
          </cell>
        </row>
        <row r="68">
          <cell r="D68">
            <v>38200</v>
          </cell>
          <cell r="E68">
            <v>48.0249977111816</v>
          </cell>
          <cell r="F68">
            <v>-0.5</v>
          </cell>
          <cell r="G68">
            <v>47.5249977111816</v>
          </cell>
        </row>
        <row r="68"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8">
          <cell r="T68">
            <v>0</v>
          </cell>
        </row>
        <row r="69">
          <cell r="D69">
            <v>38231</v>
          </cell>
          <cell r="E69">
            <v>27.8249988555908</v>
          </cell>
          <cell r="F69">
            <v>0</v>
          </cell>
          <cell r="G69">
            <v>27.8249988555908</v>
          </cell>
        </row>
        <row r="69"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69">
          <cell r="T69">
            <v>0</v>
          </cell>
        </row>
        <row r="70">
          <cell r="D70">
            <v>38261</v>
          </cell>
          <cell r="E70">
            <v>28.946569442749</v>
          </cell>
          <cell r="F70">
            <v>-0.365001320838928</v>
          </cell>
          <cell r="G70">
            <v>28.5815681219101</v>
          </cell>
        </row>
        <row r="70"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0">
          <cell r="T70">
            <v>0</v>
          </cell>
        </row>
        <row r="71">
          <cell r="D71">
            <v>38292</v>
          </cell>
          <cell r="E71">
            <v>29.1465644836426</v>
          </cell>
          <cell r="F71">
            <v>-0.365001320838928</v>
          </cell>
          <cell r="G71">
            <v>28.7815631628037</v>
          </cell>
        </row>
        <row r="71"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1">
          <cell r="T71">
            <v>0</v>
          </cell>
        </row>
        <row r="72">
          <cell r="D72">
            <v>38322</v>
          </cell>
          <cell r="E72">
            <v>29.9965648651123</v>
          </cell>
          <cell r="F72">
            <v>-0.365001320838928</v>
          </cell>
          <cell r="G72">
            <v>29.6315635442734</v>
          </cell>
        </row>
        <row r="72"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2">
          <cell r="T72">
            <v>0</v>
          </cell>
        </row>
        <row r="73">
          <cell r="G73">
            <v>30.7187177567255</v>
          </cell>
        </row>
        <row r="73">
          <cell r="O73">
            <v>-14260.447265625</v>
          </cell>
          <cell r="P73">
            <v>0</v>
          </cell>
          <cell r="Q73">
            <v>0</v>
          </cell>
          <cell r="R73">
            <v>0</v>
          </cell>
        </row>
        <row r="73">
          <cell r="T73">
            <v>-0.00259044234000504</v>
          </cell>
        </row>
        <row r="74">
          <cell r="G74">
            <v>30.6407129196894</v>
          </cell>
        </row>
        <row r="74">
          <cell r="O74">
            <v>-13519.8544921875</v>
          </cell>
          <cell r="P74">
            <v>0</v>
          </cell>
          <cell r="Q74">
            <v>0</v>
          </cell>
          <cell r="R74">
            <v>0</v>
          </cell>
        </row>
        <row r="74">
          <cell r="T74">
            <v>-0.00245591199595064</v>
          </cell>
        </row>
        <row r="75">
          <cell r="G75">
            <v>29.6026778553807</v>
          </cell>
        </row>
        <row r="75">
          <cell r="O75">
            <v>-15470.18359375</v>
          </cell>
          <cell r="P75">
            <v>0</v>
          </cell>
          <cell r="Q75">
            <v>0</v>
          </cell>
          <cell r="R75">
            <v>0</v>
          </cell>
        </row>
        <row r="75">
          <cell r="T75">
            <v>3867.55276053829</v>
          </cell>
        </row>
        <row r="76">
          <cell r="G76">
            <v>29.8026786183202</v>
          </cell>
        </row>
        <row r="76">
          <cell r="O76">
            <v>-14056.44140625</v>
          </cell>
          <cell r="P76">
            <v>0</v>
          </cell>
          <cell r="Q76">
            <v>0</v>
          </cell>
          <cell r="R76">
            <v>0</v>
          </cell>
        </row>
        <row r="76">
          <cell r="T76">
            <v>3514.11658657045</v>
          </cell>
        </row>
        <row r="77">
          <cell r="G77">
            <v>30.2050018310547</v>
          </cell>
        </row>
        <row r="77">
          <cell r="O77">
            <v>-13985.68359375</v>
          </cell>
          <cell r="P77">
            <v>0</v>
          </cell>
          <cell r="Q77">
            <v>0</v>
          </cell>
          <cell r="R77">
            <v>0</v>
          </cell>
        </row>
        <row r="77">
          <cell r="T77">
            <v>0</v>
          </cell>
        </row>
        <row r="78">
          <cell r="G78">
            <v>37.4300003051758</v>
          </cell>
        </row>
        <row r="78">
          <cell r="O78">
            <v>-14580.1669921875</v>
          </cell>
          <cell r="P78">
            <v>0</v>
          </cell>
          <cell r="Q78">
            <v>0</v>
          </cell>
          <cell r="R78">
            <v>0</v>
          </cell>
        </row>
        <row r="78">
          <cell r="T78">
            <v>7290.08349609375</v>
          </cell>
        </row>
        <row r="79">
          <cell r="G79">
            <v>47.435001373291</v>
          </cell>
        </row>
        <row r="79">
          <cell r="O79">
            <v>-13187.482421875</v>
          </cell>
          <cell r="P79">
            <v>0</v>
          </cell>
          <cell r="Q79">
            <v>0</v>
          </cell>
          <cell r="R79">
            <v>0</v>
          </cell>
        </row>
        <row r="79">
          <cell r="T79">
            <v>6593.7412109375</v>
          </cell>
        </row>
        <row r="80">
          <cell r="G80">
            <v>47.435001373291</v>
          </cell>
        </row>
        <row r="80">
          <cell r="O80">
            <v>-15089.1669921875</v>
          </cell>
          <cell r="P80">
            <v>0</v>
          </cell>
          <cell r="Q80">
            <v>0</v>
          </cell>
          <cell r="R80">
            <v>0</v>
          </cell>
        </row>
        <row r="80">
          <cell r="T80">
            <v>7544.58349609375</v>
          </cell>
        </row>
        <row r="81">
          <cell r="G81">
            <v>28.3349952697754</v>
          </cell>
        </row>
        <row r="81">
          <cell r="O81">
            <v>-13710.8564453125</v>
          </cell>
          <cell r="P81">
            <v>0</v>
          </cell>
          <cell r="Q81">
            <v>0</v>
          </cell>
          <cell r="R81">
            <v>0</v>
          </cell>
        </row>
        <row r="81">
          <cell r="T81">
            <v>0</v>
          </cell>
        </row>
        <row r="82">
          <cell r="G82">
            <v>29.6615718603134</v>
          </cell>
        </row>
        <row r="82">
          <cell r="O82">
            <v>-13642.8623046875</v>
          </cell>
          <cell r="P82">
            <v>0</v>
          </cell>
          <cell r="Q82">
            <v>0</v>
          </cell>
          <cell r="R82">
            <v>0</v>
          </cell>
        </row>
        <row r="82">
          <cell r="T82">
            <v>4979.66276123456</v>
          </cell>
        </row>
        <row r="83">
          <cell r="G83">
            <v>29.8615649938583</v>
          </cell>
        </row>
        <row r="83">
          <cell r="O83">
            <v>-13576.9736328125</v>
          </cell>
          <cell r="P83">
            <v>0</v>
          </cell>
          <cell r="Q83">
            <v>0</v>
          </cell>
          <cell r="R83">
            <v>0</v>
          </cell>
        </row>
        <row r="83">
          <cell r="T83">
            <v>4955.61330897186</v>
          </cell>
        </row>
        <row r="84">
          <cell r="G84">
            <v>30.7115691900253</v>
          </cell>
        </row>
        <row r="84">
          <cell r="O84">
            <v>-13508.802734375</v>
          </cell>
          <cell r="P84">
            <v>0</v>
          </cell>
          <cell r="Q84">
            <v>0</v>
          </cell>
          <cell r="R84">
            <v>0</v>
          </cell>
        </row>
        <row r="84">
          <cell r="T84">
            <v>4930.7308409994</v>
          </cell>
        </row>
        <row r="85">
          <cell r="G85">
            <v>31.0387117295038</v>
          </cell>
        </row>
        <row r="85">
          <cell r="O85">
            <v>-75823.015625</v>
          </cell>
          <cell r="P85">
            <v>-14891.1728515625</v>
          </cell>
          <cell r="Q85">
            <v>-3842.88354492188</v>
          </cell>
          <cell r="R85">
            <v>-5764.3251953125</v>
          </cell>
        </row>
        <row r="85">
          <cell r="T85">
            <v>-0.0137734214336548</v>
          </cell>
        </row>
        <row r="86">
          <cell r="G86">
            <v>30.48070925758</v>
          </cell>
        </row>
        <row r="86">
          <cell r="O86">
            <v>-71880.90625</v>
          </cell>
          <cell r="P86">
            <v>-13030.8525390625</v>
          </cell>
          <cell r="Q86">
            <v>-3723.1005859375</v>
          </cell>
          <cell r="R86">
            <v>-3723.1005859375</v>
          </cell>
        </row>
        <row r="86">
          <cell r="T86">
            <v>-0.0130573283936738</v>
          </cell>
        </row>
        <row r="87">
          <cell r="G87">
            <v>29.4426799153173</v>
          </cell>
        </row>
        <row r="87">
          <cell r="O87">
            <v>-83409.3125</v>
          </cell>
          <cell r="P87">
            <v>-14747.138671875</v>
          </cell>
          <cell r="Q87">
            <v>-3805.71313476563</v>
          </cell>
          <cell r="R87">
            <v>-3805.71313476563</v>
          </cell>
        </row>
        <row r="87">
          <cell r="T87">
            <v>20852.3651228227</v>
          </cell>
        </row>
        <row r="88">
          <cell r="G88">
            <v>29.6426806782567</v>
          </cell>
        </row>
        <row r="88">
          <cell r="O88">
            <v>-71919.0234375</v>
          </cell>
          <cell r="P88">
            <v>-13972.92578125</v>
          </cell>
          <cell r="Q88">
            <v>-4670.78125</v>
          </cell>
          <cell r="R88">
            <v>-4670.78125</v>
          </cell>
        </row>
        <row r="88">
          <cell r="T88">
            <v>17979.7877604565</v>
          </cell>
        </row>
        <row r="89">
          <cell r="G89">
            <v>30.5449905395508</v>
          </cell>
        </row>
        <row r="89">
          <cell r="O89">
            <v>-76208.5078125</v>
          </cell>
          <cell r="P89">
            <v>-12648.7060546875</v>
          </cell>
          <cell r="Q89">
            <v>-3264.18237304688</v>
          </cell>
          <cell r="R89">
            <v>-4080.22802734375</v>
          </cell>
        </row>
        <row r="89">
          <cell r="T89">
            <v>0</v>
          </cell>
        </row>
        <row r="90">
          <cell r="G90">
            <v>37.6800079345703</v>
          </cell>
        </row>
        <row r="90">
          <cell r="O90">
            <v>-74445.3828125</v>
          </cell>
          <cell r="P90">
            <v>-11614.85546875</v>
          </cell>
          <cell r="Q90">
            <v>-3097.294921875</v>
          </cell>
          <cell r="R90">
            <v>-3097.294921875</v>
          </cell>
        </row>
        <row r="90">
          <cell r="T90">
            <v>37222.69140625</v>
          </cell>
        </row>
        <row r="91">
          <cell r="G91">
            <v>49.3449974060059</v>
          </cell>
        </row>
        <row r="91">
          <cell r="O91">
            <v>-65334.41796875</v>
          </cell>
          <cell r="P91">
            <v>-11361.583984375</v>
          </cell>
          <cell r="Q91">
            <v>-3665.02685546875</v>
          </cell>
          <cell r="R91">
            <v>-4398.0322265625</v>
          </cell>
        </row>
        <row r="91">
          <cell r="T91">
            <v>32667.208984375</v>
          </cell>
        </row>
        <row r="92">
          <cell r="G92">
            <v>49.3449974060059</v>
          </cell>
        </row>
        <row r="92">
          <cell r="O92">
            <v>-74461.859375</v>
          </cell>
          <cell r="P92">
            <v>-11302.64453125</v>
          </cell>
          <cell r="Q92">
            <v>-2916.8115234375</v>
          </cell>
          <cell r="R92">
            <v>-2916.8115234375</v>
          </cell>
        </row>
        <row r="92">
          <cell r="T92">
            <v>37230.9296875</v>
          </cell>
        </row>
        <row r="93">
          <cell r="G93">
            <v>28.0849952697754</v>
          </cell>
        </row>
        <row r="93">
          <cell r="O93">
            <v>-68377.6171875</v>
          </cell>
          <cell r="P93">
            <v>-11994.2236328125</v>
          </cell>
          <cell r="Q93">
            <v>-3998.07446289063</v>
          </cell>
          <cell r="R93">
            <v>-3998.07446289063</v>
          </cell>
        </row>
        <row r="93">
          <cell r="T93">
            <v>0</v>
          </cell>
        </row>
        <row r="94">
          <cell r="G94">
            <v>29.5015701055527</v>
          </cell>
        </row>
        <row r="94">
          <cell r="O94">
            <v>-75105.4375</v>
          </cell>
          <cell r="P94">
            <v>-12559.4775390625</v>
          </cell>
          <cell r="Q94">
            <v>-3231.28979492188</v>
          </cell>
          <cell r="R94">
            <v>-4039.1123046875</v>
          </cell>
        </row>
        <row r="94">
          <cell r="T94">
            <v>27413.5838896856</v>
          </cell>
        </row>
        <row r="95">
          <cell r="G95">
            <v>29.7015575170517</v>
          </cell>
        </row>
        <row r="95">
          <cell r="O95">
            <v>-71597.15625</v>
          </cell>
          <cell r="P95">
            <v>-13522.0390625</v>
          </cell>
          <cell r="Q95">
            <v>-3605.87719726563</v>
          </cell>
          <cell r="R95">
            <v>-4507.3466796875</v>
          </cell>
        </row>
        <row r="95">
          <cell r="T95">
            <v>26133.0565995611</v>
          </cell>
        </row>
        <row r="96">
          <cell r="G96">
            <v>30.5515636205673</v>
          </cell>
        </row>
        <row r="96">
          <cell r="O96">
            <v>-67597.8515625</v>
          </cell>
          <cell r="P96">
            <v>-13713.052734375</v>
          </cell>
          <cell r="Q96">
            <v>-4423.56591796875</v>
          </cell>
          <cell r="R96">
            <v>-5308.27880859375</v>
          </cell>
        </row>
        <row r="96">
          <cell r="T96">
            <v>24673.3051061863</v>
          </cell>
        </row>
        <row r="97">
          <cell r="G97">
            <v>31.108711424328</v>
          </cell>
        </row>
        <row r="97">
          <cell r="O97">
            <v>-61521.86328125</v>
          </cell>
          <cell r="P97">
            <v>-14018.2548828125</v>
          </cell>
          <cell r="Q97">
            <v>-3617.6142578125</v>
          </cell>
          <cell r="R97">
            <v>-4522.01806640625</v>
          </cell>
        </row>
        <row r="97">
          <cell r="T97">
            <v>-0.0111755849245986</v>
          </cell>
        </row>
        <row r="98">
          <cell r="G98">
            <v>30.5507127671015</v>
          </cell>
        </row>
        <row r="98">
          <cell r="O98">
            <v>-55670.41015625</v>
          </cell>
          <cell r="P98">
            <v>-12266.5703125</v>
          </cell>
          <cell r="Q98">
            <v>-3504.734375</v>
          </cell>
          <cell r="R98">
            <v>-3504.734375</v>
          </cell>
        </row>
        <row r="98">
          <cell r="T98">
            <v>-0.010112655295309</v>
          </cell>
        </row>
        <row r="99">
          <cell r="G99">
            <v>29.5126777027929</v>
          </cell>
        </row>
        <row r="99">
          <cell r="O99">
            <v>-61976.75</v>
          </cell>
          <cell r="P99">
            <v>-13882.578125</v>
          </cell>
          <cell r="Q99">
            <v>-4478.25048828125</v>
          </cell>
          <cell r="R99">
            <v>-3582.6005859375</v>
          </cell>
        </row>
        <row r="99">
          <cell r="T99">
            <v>15494.2149909928</v>
          </cell>
        </row>
        <row r="100">
          <cell r="G100">
            <v>29.712674651035</v>
          </cell>
        </row>
        <row r="100">
          <cell r="O100">
            <v>-58612.84375</v>
          </cell>
          <cell r="P100">
            <v>-13151.359375</v>
          </cell>
          <cell r="Q100">
            <v>-3516.92358398438</v>
          </cell>
          <cell r="R100">
            <v>-4396.154296875</v>
          </cell>
        </row>
        <row r="100">
          <cell r="T100">
            <v>14653.2369363667</v>
          </cell>
        </row>
        <row r="101">
          <cell r="G101">
            <v>31.1150016784668</v>
          </cell>
        </row>
        <row r="101">
          <cell r="O101">
            <v>-58741.99609375</v>
          </cell>
          <cell r="P101">
            <v>-11906.177734375</v>
          </cell>
          <cell r="Q101">
            <v>-3072.56201171875</v>
          </cell>
          <cell r="R101">
            <v>-3840.70239257813</v>
          </cell>
        </row>
        <row r="101">
          <cell r="T101">
            <v>0</v>
          </cell>
        </row>
        <row r="102">
          <cell r="G102">
            <v>38.2200050354004</v>
          </cell>
        </row>
        <row r="102">
          <cell r="O102">
            <v>-54551.12890625</v>
          </cell>
          <cell r="P102">
            <v>-10933.380859375</v>
          </cell>
          <cell r="Q102">
            <v>-3644.46044921875</v>
          </cell>
          <cell r="R102">
            <v>-2915.568359375</v>
          </cell>
        </row>
        <row r="102">
          <cell r="T102">
            <v>27275.564453125</v>
          </cell>
        </row>
        <row r="103">
          <cell r="G103">
            <v>50.2950019836426</v>
          </cell>
        </row>
        <row r="103">
          <cell r="O103">
            <v>-52299.4921875</v>
          </cell>
          <cell r="P103">
            <v>-10694.728515625</v>
          </cell>
          <cell r="Q103">
            <v>-2759.92993164063</v>
          </cell>
          <cell r="R103">
            <v>-4139.89501953125</v>
          </cell>
        </row>
        <row r="103">
          <cell r="T103">
            <v>26149.74609375</v>
          </cell>
        </row>
        <row r="104">
          <cell r="G104">
            <v>50.2950019836426</v>
          </cell>
        </row>
        <row r="104">
          <cell r="O104">
            <v>-56710.140625</v>
          </cell>
          <cell r="P104">
            <v>-10637.7939453125</v>
          </cell>
          <cell r="Q104">
            <v>-2745.2373046875</v>
          </cell>
          <cell r="R104">
            <v>-2745.2373046875</v>
          </cell>
        </row>
        <row r="104">
          <cell r="T104">
            <v>28355.0703125</v>
          </cell>
        </row>
        <row r="105">
          <cell r="G105">
            <v>28.0649948120117</v>
          </cell>
        </row>
        <row r="105">
          <cell r="O105">
            <v>-50137.17578125</v>
          </cell>
          <cell r="P105">
            <v>-11287.45703125</v>
          </cell>
          <cell r="Q105">
            <v>-3762.48583984375</v>
          </cell>
          <cell r="R105">
            <v>-4514.98291015625</v>
          </cell>
        </row>
        <row r="105">
          <cell r="T105">
            <v>0</v>
          </cell>
        </row>
        <row r="106">
          <cell r="G106">
            <v>29.5715698003769</v>
          </cell>
        </row>
        <row r="106">
          <cell r="O106">
            <v>-60634.08984375</v>
          </cell>
          <cell r="P106">
            <v>-11815.8564453125</v>
          </cell>
          <cell r="Q106">
            <v>-3039.97192382813</v>
          </cell>
          <cell r="R106">
            <v>-3039.97192382813</v>
          </cell>
        </row>
        <row r="106">
          <cell r="T106">
            <v>22131.522880835</v>
          </cell>
        </row>
        <row r="107">
          <cell r="G107">
            <v>29.7715629339218</v>
          </cell>
        </row>
        <row r="107">
          <cell r="O107">
            <v>-55317.96875</v>
          </cell>
          <cell r="P107">
            <v>-12718.341796875</v>
          </cell>
          <cell r="Q107">
            <v>-3391.5576171875</v>
          </cell>
          <cell r="R107">
            <v>-4239.447265625</v>
          </cell>
        </row>
        <row r="107">
          <cell r="T107">
            <v>20191.1316598766</v>
          </cell>
        </row>
        <row r="108">
          <cell r="G108">
            <v>30.6215690374374</v>
          </cell>
        </row>
        <row r="108">
          <cell r="O108">
            <v>-52173.40234375</v>
          </cell>
          <cell r="P108">
            <v>-12894.603515625</v>
          </cell>
          <cell r="Q108">
            <v>-4159.54931640625</v>
          </cell>
          <cell r="R108">
            <v>-4991.458984375</v>
          </cell>
        </row>
        <row r="108">
          <cell r="T108">
            <v>19043.3607681296</v>
          </cell>
        </row>
        <row r="109">
          <cell r="G109">
            <v>31.2187177567255</v>
          </cell>
        </row>
        <row r="109">
          <cell r="O109">
            <v>-32913.3046875</v>
          </cell>
          <cell r="P109">
            <v>-13178.224609375</v>
          </cell>
          <cell r="Q109">
            <v>-3400.83203125</v>
          </cell>
          <cell r="R109">
            <v>-4251.0400390625</v>
          </cell>
        </row>
        <row r="109">
          <cell r="T109">
            <v>-0.00597877587034082</v>
          </cell>
        </row>
        <row r="110">
          <cell r="G110">
            <v>30.7807123093378</v>
          </cell>
        </row>
        <row r="110">
          <cell r="O110">
            <v>-31259.24609375</v>
          </cell>
          <cell r="P110">
            <v>-11938.439453125</v>
          </cell>
          <cell r="Q110">
            <v>-3293.36279296875</v>
          </cell>
          <cell r="R110">
            <v>-3293.36279296875</v>
          </cell>
        </row>
        <row r="110">
          <cell r="T110">
            <v>-0.00567831240420343</v>
          </cell>
        </row>
        <row r="111">
          <cell r="G111">
            <v>29.7426772450292</v>
          </cell>
        </row>
        <row r="111">
          <cell r="O111">
            <v>-32034.330078125</v>
          </cell>
          <cell r="P111">
            <v>-13041.2177734375</v>
          </cell>
          <cell r="Q111">
            <v>-4206.8447265625</v>
          </cell>
          <cell r="R111">
            <v>-4206.8447265625</v>
          </cell>
        </row>
        <row r="111">
          <cell r="T111">
            <v>8008.59672898135</v>
          </cell>
        </row>
        <row r="112">
          <cell r="G112">
            <v>29.9426780079686</v>
          </cell>
        </row>
        <row r="112">
          <cell r="O112">
            <v>-33137.9296875</v>
          </cell>
          <cell r="P112">
            <v>-12351.8759765625</v>
          </cell>
          <cell r="Q112">
            <v>-3303.1259765625</v>
          </cell>
          <cell r="R112">
            <v>-3303.1259765625</v>
          </cell>
        </row>
        <row r="112">
          <cell r="T112">
            <v>8284.49712084818</v>
          </cell>
        </row>
        <row r="113">
          <cell r="G113">
            <v>31.8449935913086</v>
          </cell>
        </row>
        <row r="113">
          <cell r="O113">
            <v>-29359.8125</v>
          </cell>
          <cell r="P113">
            <v>-11179.81640625</v>
          </cell>
          <cell r="Q113">
            <v>-3606.39233398438</v>
          </cell>
          <cell r="R113">
            <v>-3606.39233398438</v>
          </cell>
        </row>
        <row r="113">
          <cell r="T113">
            <v>0</v>
          </cell>
        </row>
        <row r="114">
          <cell r="G114">
            <v>38.5699996948242</v>
          </cell>
        </row>
        <row r="114">
          <cell r="O114">
            <v>-28041.716796875</v>
          </cell>
          <cell r="P114">
            <v>-10263.638671875</v>
          </cell>
          <cell r="Q114">
            <v>-2736.97021484375</v>
          </cell>
          <cell r="R114">
            <v>-3421.21264648438</v>
          </cell>
        </row>
        <row r="114">
          <cell r="T114">
            <v>14020.8583984375</v>
          </cell>
        </row>
        <row r="115">
          <cell r="G115">
            <v>51.685001373291</v>
          </cell>
        </row>
        <row r="115">
          <cell r="O115">
            <v>-27281.4765625</v>
          </cell>
          <cell r="P115">
            <v>-10036.6328125</v>
          </cell>
          <cell r="Q115">
            <v>-2590.09912109375</v>
          </cell>
          <cell r="R115">
            <v>-3237.62377929688</v>
          </cell>
        </row>
        <row r="115">
          <cell r="T115">
            <v>13640.73828125</v>
          </cell>
        </row>
        <row r="116">
          <cell r="G116">
            <v>51.685001373291</v>
          </cell>
        </row>
        <row r="116">
          <cell r="O116">
            <v>-25671.9765625</v>
          </cell>
          <cell r="P116">
            <v>-9982.6494140625</v>
          </cell>
          <cell r="Q116">
            <v>-3220.20922851563</v>
          </cell>
          <cell r="R116">
            <v>-3220.20922851563</v>
          </cell>
        </row>
        <row r="116">
          <cell r="T116">
            <v>12835.98828125</v>
          </cell>
        </row>
        <row r="117">
          <cell r="G117">
            <v>28.0849952697754</v>
          </cell>
        </row>
        <row r="117">
          <cell r="O117">
            <v>-22801.759765625</v>
          </cell>
          <cell r="P117">
            <v>-8143.48583984375</v>
          </cell>
          <cell r="Q117">
            <v>-2171.59619140625</v>
          </cell>
          <cell r="R117">
            <v>-2714.49536132813</v>
          </cell>
        </row>
        <row r="117">
          <cell r="T117">
            <v>0</v>
          </cell>
        </row>
        <row r="118">
          <cell r="G118">
            <v>29.8015731573105</v>
          </cell>
        </row>
        <row r="118">
          <cell r="O118">
            <v>-24845.04296875</v>
          </cell>
          <cell r="P118">
            <v>-8405.4560546875</v>
          </cell>
          <cell r="Q118">
            <v>-2160.4384765625</v>
          </cell>
          <cell r="R118">
            <v>-2160.4384765625</v>
          </cell>
        </row>
        <row r="118">
          <cell r="T118">
            <v>9068.47349989368</v>
          </cell>
        </row>
        <row r="119">
          <cell r="G119">
            <v>30.0015662908554</v>
          </cell>
        </row>
        <row r="119">
          <cell r="O119">
            <v>-20421.861328125</v>
          </cell>
          <cell r="P119">
            <v>-8061.2607421875</v>
          </cell>
          <cell r="Q119">
            <v>-2687.0869140625</v>
          </cell>
          <cell r="R119">
            <v>-3224.50439453125</v>
          </cell>
        </row>
        <row r="119">
          <cell r="T119">
            <v>7454.00635875505</v>
          </cell>
        </row>
        <row r="120">
          <cell r="G120">
            <v>30.8515647649765</v>
          </cell>
        </row>
        <row r="120">
          <cell r="O120">
            <v>-23524.291015625</v>
          </cell>
          <cell r="P120">
            <v>-8286.9658203125</v>
          </cell>
          <cell r="Q120">
            <v>-2138.57202148438</v>
          </cell>
          <cell r="R120">
            <v>-2673.21484375</v>
          </cell>
        </row>
        <row r="120">
          <cell r="T120">
            <v>8586.39729250246</v>
          </cell>
        </row>
        <row r="121">
          <cell r="G121">
            <v>31.5287172226679</v>
          </cell>
        </row>
        <row r="121">
          <cell r="O121">
            <v>-33508.203125</v>
          </cell>
          <cell r="P121">
            <v>-8244.08203125</v>
          </cell>
          <cell r="Q121">
            <v>-2659.38134765625</v>
          </cell>
          <cell r="R121">
            <v>-2659.38134765625</v>
          </cell>
        </row>
        <row r="121">
          <cell r="T121">
            <v>-0.00608684051037617</v>
          </cell>
        </row>
        <row r="122">
          <cell r="G122">
            <v>31.0507127671015</v>
          </cell>
        </row>
        <row r="122">
          <cell r="O122">
            <v>-31763.03515625</v>
          </cell>
          <cell r="P122">
            <v>-7411.37451171875</v>
          </cell>
          <cell r="Q122">
            <v>-2117.53564453125</v>
          </cell>
          <cell r="R122">
            <v>-2117.53564453125</v>
          </cell>
        </row>
        <row r="122">
          <cell r="T122">
            <v>-0.00576982682122156</v>
          </cell>
        </row>
        <row r="123">
          <cell r="G123">
            <v>30.0126796101415</v>
          </cell>
        </row>
        <row r="123">
          <cell r="O123">
            <v>-34757.703125</v>
          </cell>
          <cell r="P123">
            <v>-8162.7939453125</v>
          </cell>
          <cell r="Q123">
            <v>-2106.52758789063</v>
          </cell>
          <cell r="R123">
            <v>-2633.15942382813</v>
          </cell>
        </row>
        <row r="123">
          <cell r="T123">
            <v>8689.44119870518</v>
          </cell>
        </row>
        <row r="124">
          <cell r="G124">
            <v>30.2126803730809</v>
          </cell>
        </row>
        <row r="124">
          <cell r="O124">
            <v>-34582.41796875</v>
          </cell>
          <cell r="P124">
            <v>-7826.8916015625</v>
          </cell>
          <cell r="Q124">
            <v>-2095.90405273438</v>
          </cell>
          <cell r="R124">
            <v>-2095.90405273438</v>
          </cell>
        </row>
        <row r="124">
          <cell r="T124">
            <v>8645.61983189154</v>
          </cell>
        </row>
        <row r="125">
          <cell r="G125">
            <v>32.614990234375</v>
          </cell>
        </row>
        <row r="125">
          <cell r="O125">
            <v>-31274.359375</v>
          </cell>
          <cell r="P125">
            <v>-8079.2099609375</v>
          </cell>
          <cell r="Q125">
            <v>-2606.19653320313</v>
          </cell>
          <cell r="R125">
            <v>-3127.43603515625</v>
          </cell>
        </row>
        <row r="125">
          <cell r="T125">
            <v>0</v>
          </cell>
        </row>
        <row r="126">
          <cell r="G126">
            <v>39.9899940490723</v>
          </cell>
        </row>
        <row r="126">
          <cell r="O126">
            <v>-34227.4921875</v>
          </cell>
          <cell r="P126">
            <v>-7778.974609375</v>
          </cell>
          <cell r="Q126">
            <v>-2074.39331054688</v>
          </cell>
          <cell r="R126">
            <v>-2074.39331054688</v>
          </cell>
        </row>
        <row r="126">
          <cell r="T126">
            <v>17113.74609375</v>
          </cell>
        </row>
        <row r="127">
          <cell r="G127">
            <v>53.1849975585938</v>
          </cell>
        </row>
        <row r="127">
          <cell r="O127">
            <v>-35595.515625</v>
          </cell>
          <cell r="P127">
            <v>-7996.09423828125</v>
          </cell>
          <cell r="Q127">
            <v>-1547.63122558594</v>
          </cell>
          <cell r="R127">
            <v>-2579.38525390625</v>
          </cell>
        </row>
        <row r="127">
          <cell r="T127">
            <v>17797.7578125</v>
          </cell>
        </row>
        <row r="128">
          <cell r="G128">
            <v>53.1849975585938</v>
          </cell>
        </row>
        <row r="128">
          <cell r="O128">
            <v>-32329.310546875</v>
          </cell>
          <cell r="P128">
            <v>-7954.037109375</v>
          </cell>
          <cell r="Q128">
            <v>-2565.818359375</v>
          </cell>
          <cell r="R128">
            <v>-2565.818359375</v>
          </cell>
        </row>
        <row r="128">
          <cell r="T128">
            <v>16164.6552734375</v>
          </cell>
        </row>
        <row r="129">
          <cell r="G129">
            <v>28.1849956512451</v>
          </cell>
        </row>
        <row r="129">
          <cell r="O129">
            <v>-32164.35546875</v>
          </cell>
          <cell r="P129">
            <v>-7658.18017578125</v>
          </cell>
          <cell r="Q129">
            <v>-2042.18127441406</v>
          </cell>
          <cell r="R129">
            <v>-2552.7265625</v>
          </cell>
        </row>
        <row r="129">
          <cell r="T129">
            <v>0</v>
          </cell>
        </row>
        <row r="130">
          <cell r="G130">
            <v>30.0715698003769</v>
          </cell>
        </row>
        <row r="130">
          <cell r="O130">
            <v>-33517.93359375</v>
          </cell>
          <cell r="P130">
            <v>-7903.376953125</v>
          </cell>
          <cell r="Q130">
            <v>-2539.2373046875</v>
          </cell>
          <cell r="R130">
            <v>-2031.38989257813</v>
          </cell>
        </row>
        <row r="130">
          <cell r="T130">
            <v>12234.0900335102</v>
          </cell>
        </row>
        <row r="131">
          <cell r="G131">
            <v>30.2715629339218</v>
          </cell>
        </row>
        <row r="131">
          <cell r="O131">
            <v>-30314.65625</v>
          </cell>
          <cell r="P131">
            <v>-7578.66357421875</v>
          </cell>
          <cell r="Q131">
            <v>-2020.97705078125</v>
          </cell>
          <cell r="R131">
            <v>-3031.46557617188</v>
          </cell>
        </row>
        <row r="131">
          <cell r="T131">
            <v>11064.8895720281</v>
          </cell>
        </row>
        <row r="132">
          <cell r="G132">
            <v>31.1215633153915</v>
          </cell>
        </row>
        <row r="132">
          <cell r="O132">
            <v>-33169.09765625</v>
          </cell>
          <cell r="P132">
            <v>-7789.71240234375</v>
          </cell>
          <cell r="Q132">
            <v>-2010.24841308594</v>
          </cell>
          <cell r="R132">
            <v>-2512.810546875</v>
          </cell>
        </row>
        <row r="132">
          <cell r="T132">
            <v>12106.7644555666</v>
          </cell>
        </row>
        <row r="133">
          <cell r="G133">
            <v>31.8687135605585</v>
          </cell>
        </row>
        <row r="133">
          <cell r="O133">
            <v>-19995.51953125</v>
          </cell>
          <cell r="P133">
            <v>-7748.26318359375</v>
          </cell>
          <cell r="Q133">
            <v>-2499.43994140625</v>
          </cell>
          <cell r="R133">
            <v>-2999.32788085938</v>
          </cell>
        </row>
        <row r="133">
          <cell r="T133">
            <v>-0.00363223112426535</v>
          </cell>
        </row>
        <row r="134">
          <cell r="G134">
            <v>31.5107118515741</v>
          </cell>
        </row>
        <row r="134">
          <cell r="O134">
            <v>-19899.1796875</v>
          </cell>
          <cell r="P134">
            <v>-6964.712890625</v>
          </cell>
          <cell r="Q134">
            <v>-1989.91809082031</v>
          </cell>
          <cell r="R134">
            <v>-1989.91809082031</v>
          </cell>
        </row>
        <row r="134">
          <cell r="T134">
            <v>-0.00361473077482813</v>
          </cell>
        </row>
        <row r="135">
          <cell r="G135">
            <v>30.4726767872655</v>
          </cell>
        </row>
        <row r="135">
          <cell r="O135">
            <v>-22761.75</v>
          </cell>
          <cell r="P135">
            <v>-7669.72021484375</v>
          </cell>
          <cell r="Q135">
            <v>-1979.28271484375</v>
          </cell>
          <cell r="R135">
            <v>-1979.28271484375</v>
          </cell>
        </row>
        <row r="135">
          <cell r="T135">
            <v>5690.44759641688</v>
          </cell>
        </row>
        <row r="136">
          <cell r="G136">
            <v>30.672677550205</v>
          </cell>
        </row>
        <row r="136">
          <cell r="O136">
            <v>-21659.232421875</v>
          </cell>
          <cell r="P136">
            <v>-7353.06298828125</v>
          </cell>
          <cell r="Q136">
            <v>-1969.02111816406</v>
          </cell>
          <cell r="R136">
            <v>-1969.02111816406</v>
          </cell>
        </row>
        <row r="136">
          <cell r="T136">
            <v>5414.81771284252</v>
          </cell>
        </row>
        <row r="137">
          <cell r="G137">
            <v>33.5749969482422</v>
          </cell>
        </row>
        <row r="137">
          <cell r="O137">
            <v>-19584.494140625</v>
          </cell>
          <cell r="P137">
            <v>-7588.9912109375</v>
          </cell>
          <cell r="Q137">
            <v>-2448.06176757813</v>
          </cell>
          <cell r="R137">
            <v>-2937.67407226563</v>
          </cell>
        </row>
        <row r="137">
          <cell r="T137">
            <v>0</v>
          </cell>
        </row>
        <row r="138">
          <cell r="G138">
            <v>42.120002746582</v>
          </cell>
        </row>
        <row r="138">
          <cell r="O138">
            <v>-21430.74609375</v>
          </cell>
          <cell r="P138">
            <v>-7305.93603515625</v>
          </cell>
          <cell r="Q138">
            <v>-1948.24963378906</v>
          </cell>
          <cell r="R138">
            <v>-1948.24963378906</v>
          </cell>
        </row>
        <row r="138">
          <cell r="T138">
            <v>10715.373046875</v>
          </cell>
        </row>
        <row r="139">
          <cell r="G139">
            <v>55.2749977111816</v>
          </cell>
        </row>
        <row r="139">
          <cell r="O139">
            <v>-20346.2890625</v>
          </cell>
          <cell r="P139">
            <v>-7508.74951171875</v>
          </cell>
          <cell r="Q139">
            <v>-2422.17724609375</v>
          </cell>
          <cell r="R139">
            <v>-2422.17724609375</v>
          </cell>
        </row>
        <row r="139">
          <cell r="T139">
            <v>10173.14453125</v>
          </cell>
        </row>
        <row r="140">
          <cell r="G140">
            <v>55.2749977111816</v>
          </cell>
        </row>
        <row r="140">
          <cell r="O140">
            <v>-21199.93359375</v>
          </cell>
          <cell r="P140">
            <v>-7468.1591796875</v>
          </cell>
          <cell r="Q140">
            <v>-1927.26672363281</v>
          </cell>
          <cell r="R140">
            <v>-2409.08349609375</v>
          </cell>
        </row>
        <row r="140">
          <cell r="T140">
            <v>10599.966796875</v>
          </cell>
        </row>
        <row r="141">
          <cell r="G141">
            <v>28.3549976348877</v>
          </cell>
        </row>
        <row r="141">
          <cell r="O141">
            <v>-20130.1875</v>
          </cell>
          <cell r="P141">
            <v>-7189.35302734375</v>
          </cell>
          <cell r="Q141">
            <v>-1917.16064453125</v>
          </cell>
          <cell r="R141">
            <v>-2396.45092773438</v>
          </cell>
        </row>
        <row r="141">
          <cell r="T141">
            <v>0</v>
          </cell>
        </row>
        <row r="142">
          <cell r="G142">
            <v>30.5315669775009</v>
          </cell>
        </row>
        <row r="142">
          <cell r="O142">
            <v>-20020.875</v>
          </cell>
          <cell r="P142">
            <v>-7418.44921875</v>
          </cell>
          <cell r="Q142">
            <v>-2383.4375</v>
          </cell>
          <cell r="R142">
            <v>-2383.4375</v>
          </cell>
        </row>
        <row r="142">
          <cell r="T142">
            <v>7307.64581935108</v>
          </cell>
        </row>
        <row r="143">
          <cell r="G143">
            <v>30.7315601110458</v>
          </cell>
        </row>
        <row r="143">
          <cell r="O143">
            <v>-19915.419921875</v>
          </cell>
          <cell r="P143">
            <v>-7112.64990234375</v>
          </cell>
          <cell r="Q143">
            <v>-1896.70666503906</v>
          </cell>
          <cell r="R143">
            <v>-2370.88330078125</v>
          </cell>
        </row>
        <row r="143">
          <cell r="T143">
            <v>7269.15457654628</v>
          </cell>
        </row>
        <row r="144">
          <cell r="G144">
            <v>31.5815623998642</v>
          </cell>
        </row>
        <row r="144">
          <cell r="O144">
            <v>-21693.1484375</v>
          </cell>
          <cell r="P144">
            <v>-7309.6484375</v>
          </cell>
          <cell r="Q144">
            <v>-1414.77062988281</v>
          </cell>
          <cell r="R144">
            <v>-2357.95092773438</v>
          </cell>
        </row>
        <row r="144">
          <cell r="T144">
            <v>7918.02783284243</v>
          </cell>
        </row>
        <row r="145">
          <cell r="G145">
            <v>32.2587243942987</v>
          </cell>
        </row>
        <row r="145">
          <cell r="O145">
            <v>0</v>
          </cell>
          <cell r="P145">
            <v>0</v>
          </cell>
          <cell r="Q145">
            <v>0</v>
          </cell>
          <cell r="R145">
            <v>0</v>
          </cell>
        </row>
        <row r="145">
          <cell r="T145">
            <v>0</v>
          </cell>
        </row>
        <row r="146"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6">
          <cell r="T146">
            <v>0</v>
          </cell>
        </row>
        <row r="147"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7">
          <cell r="T147">
            <v>0</v>
          </cell>
        </row>
        <row r="148"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8">
          <cell r="T148">
            <v>0</v>
          </cell>
        </row>
        <row r="149"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49">
          <cell r="T149">
            <v>0</v>
          </cell>
        </row>
        <row r="150"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0">
          <cell r="T150">
            <v>0</v>
          </cell>
        </row>
        <row r="151"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1">
          <cell r="T151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R152">
            <v>0</v>
          </cell>
        </row>
        <row r="152">
          <cell r="T152">
            <v>0</v>
          </cell>
        </row>
        <row r="153"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3">
          <cell r="T153">
            <v>0</v>
          </cell>
        </row>
        <row r="154"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4">
          <cell r="T154">
            <v>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</row>
        <row r="155">
          <cell r="T155">
            <v>0</v>
          </cell>
        </row>
        <row r="156"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56">
          <cell r="T156">
            <v>0</v>
          </cell>
        </row>
        <row r="157">
          <cell r="O157">
            <v>0</v>
          </cell>
          <cell r="P157">
            <v>0</v>
          </cell>
          <cell r="Q157">
            <v>0</v>
          </cell>
          <cell r="R157">
            <v>0</v>
          </cell>
        </row>
        <row r="157">
          <cell r="T157">
            <v>0</v>
          </cell>
        </row>
        <row r="158">
          <cell r="O158">
            <v>0</v>
          </cell>
          <cell r="P158">
            <v>0</v>
          </cell>
          <cell r="Q158">
            <v>0</v>
          </cell>
          <cell r="R158">
            <v>0</v>
          </cell>
        </row>
        <row r="158">
          <cell r="T158">
            <v>0</v>
          </cell>
        </row>
        <row r="159"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59">
          <cell r="T159">
            <v>0</v>
          </cell>
        </row>
        <row r="160"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0">
          <cell r="T160">
            <v>0</v>
          </cell>
        </row>
        <row r="161"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1">
          <cell r="T161">
            <v>0</v>
          </cell>
        </row>
        <row r="162"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2">
          <cell r="T162">
            <v>0</v>
          </cell>
        </row>
        <row r="163">
          <cell r="O163">
            <v>0</v>
          </cell>
          <cell r="P163">
            <v>0</v>
          </cell>
          <cell r="Q163">
            <v>0</v>
          </cell>
          <cell r="R163">
            <v>0</v>
          </cell>
        </row>
        <row r="163">
          <cell r="T163">
            <v>0</v>
          </cell>
        </row>
        <row r="164">
          <cell r="O164">
            <v>0</v>
          </cell>
          <cell r="P164">
            <v>0</v>
          </cell>
          <cell r="Q164">
            <v>0</v>
          </cell>
          <cell r="R164">
            <v>0</v>
          </cell>
        </row>
        <row r="164">
          <cell r="T164">
            <v>0</v>
          </cell>
        </row>
        <row r="165"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5">
          <cell r="T165">
            <v>0</v>
          </cell>
        </row>
        <row r="166"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6">
          <cell r="T166">
            <v>0</v>
          </cell>
        </row>
        <row r="167"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7">
          <cell r="T167">
            <v>0</v>
          </cell>
        </row>
        <row r="168"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8">
          <cell r="T168">
            <v>0</v>
          </cell>
        </row>
        <row r="169"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69">
          <cell r="T169">
            <v>0</v>
          </cell>
        </row>
        <row r="170"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0">
          <cell r="T170">
            <v>0</v>
          </cell>
        </row>
        <row r="171"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1">
          <cell r="T171">
            <v>0</v>
          </cell>
        </row>
        <row r="172">
          <cell r="O172">
            <v>0</v>
          </cell>
          <cell r="P172">
            <v>0</v>
          </cell>
          <cell r="Q172">
            <v>0</v>
          </cell>
          <cell r="R172">
            <v>0</v>
          </cell>
        </row>
        <row r="172">
          <cell r="T172">
            <v>0</v>
          </cell>
        </row>
        <row r="173">
          <cell r="O173">
            <v>0</v>
          </cell>
          <cell r="P173">
            <v>0</v>
          </cell>
          <cell r="Q173">
            <v>0</v>
          </cell>
          <cell r="R173">
            <v>0</v>
          </cell>
        </row>
        <row r="173">
          <cell r="T173">
            <v>0</v>
          </cell>
        </row>
        <row r="174">
          <cell r="O174">
            <v>0</v>
          </cell>
          <cell r="P174">
            <v>0</v>
          </cell>
          <cell r="Q174">
            <v>0</v>
          </cell>
          <cell r="R174">
            <v>0</v>
          </cell>
        </row>
        <row r="174">
          <cell r="T174">
            <v>0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5">
          <cell r="T175">
            <v>0</v>
          </cell>
        </row>
        <row r="176">
          <cell r="O176">
            <v>0</v>
          </cell>
          <cell r="P176">
            <v>0</v>
          </cell>
          <cell r="Q176">
            <v>0</v>
          </cell>
          <cell r="R176">
            <v>0</v>
          </cell>
        </row>
        <row r="176">
          <cell r="T176">
            <v>0</v>
          </cell>
        </row>
        <row r="177"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7">
          <cell r="T177">
            <v>0</v>
          </cell>
        </row>
        <row r="178"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8">
          <cell r="T178">
            <v>0</v>
          </cell>
        </row>
        <row r="179"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79">
          <cell r="T179">
            <v>0</v>
          </cell>
        </row>
        <row r="180">
          <cell r="O180">
            <v>0</v>
          </cell>
          <cell r="P180">
            <v>0</v>
          </cell>
          <cell r="Q180">
            <v>0</v>
          </cell>
          <cell r="R180">
            <v>0</v>
          </cell>
        </row>
        <row r="180">
          <cell r="T180">
            <v>0</v>
          </cell>
        </row>
        <row r="181"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1">
          <cell r="T181">
            <v>0</v>
          </cell>
        </row>
        <row r="182">
          <cell r="O182">
            <v>0</v>
          </cell>
          <cell r="P182">
            <v>0</v>
          </cell>
          <cell r="Q182">
            <v>0</v>
          </cell>
          <cell r="R182">
            <v>0</v>
          </cell>
        </row>
        <row r="182">
          <cell r="T182">
            <v>0</v>
          </cell>
        </row>
        <row r="183">
          <cell r="O183">
            <v>0</v>
          </cell>
          <cell r="P183">
            <v>0</v>
          </cell>
          <cell r="Q183">
            <v>0</v>
          </cell>
          <cell r="R183">
            <v>0</v>
          </cell>
        </row>
        <row r="183">
          <cell r="T183">
            <v>0</v>
          </cell>
        </row>
        <row r="184"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4">
          <cell r="T184">
            <v>0</v>
          </cell>
        </row>
        <row r="185"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5">
          <cell r="T185">
            <v>0</v>
          </cell>
        </row>
        <row r="186">
          <cell r="P186">
            <v>0</v>
          </cell>
          <cell r="Q186">
            <v>0</v>
          </cell>
          <cell r="R186">
            <v>0</v>
          </cell>
        </row>
        <row r="186">
          <cell r="T186">
            <v>0</v>
          </cell>
        </row>
        <row r="187">
          <cell r="P187">
            <v>0</v>
          </cell>
          <cell r="Q187">
            <v>0</v>
          </cell>
          <cell r="R187">
            <v>0</v>
          </cell>
        </row>
        <row r="187">
          <cell r="T187">
            <v>0</v>
          </cell>
        </row>
        <row r="188">
          <cell r="P188">
            <v>0</v>
          </cell>
          <cell r="Q188">
            <v>0</v>
          </cell>
          <cell r="R188">
            <v>0</v>
          </cell>
        </row>
        <row r="188">
          <cell r="T188">
            <v>0</v>
          </cell>
        </row>
        <row r="189">
          <cell r="P189">
            <v>0</v>
          </cell>
          <cell r="Q189">
            <v>0</v>
          </cell>
          <cell r="R189">
            <v>0</v>
          </cell>
        </row>
        <row r="189">
          <cell r="T189">
            <v>0</v>
          </cell>
        </row>
        <row r="190">
          <cell r="P190">
            <v>0</v>
          </cell>
          <cell r="Q190">
            <v>0</v>
          </cell>
          <cell r="R190">
            <v>0</v>
          </cell>
        </row>
        <row r="190">
          <cell r="T190">
            <v>0</v>
          </cell>
        </row>
        <row r="191">
          <cell r="P191">
            <v>0</v>
          </cell>
          <cell r="Q191">
            <v>0</v>
          </cell>
          <cell r="R191">
            <v>0</v>
          </cell>
        </row>
        <row r="191">
          <cell r="T191">
            <v>0</v>
          </cell>
        </row>
        <row r="192">
          <cell r="P192">
            <v>0</v>
          </cell>
          <cell r="Q192">
            <v>0</v>
          </cell>
          <cell r="R192">
            <v>0</v>
          </cell>
        </row>
        <row r="192">
          <cell r="T192">
            <v>0</v>
          </cell>
        </row>
        <row r="193">
          <cell r="P193">
            <v>0</v>
          </cell>
          <cell r="Q193">
            <v>0</v>
          </cell>
          <cell r="R193">
            <v>0</v>
          </cell>
        </row>
        <row r="193">
          <cell r="T193">
            <v>0</v>
          </cell>
        </row>
        <row r="194">
          <cell r="P194">
            <v>0</v>
          </cell>
          <cell r="Q194">
            <v>0</v>
          </cell>
          <cell r="R194">
            <v>0</v>
          </cell>
        </row>
        <row r="194">
          <cell r="T194">
            <v>0</v>
          </cell>
        </row>
        <row r="195">
          <cell r="P195">
            <v>0</v>
          </cell>
          <cell r="Q195">
            <v>0</v>
          </cell>
          <cell r="R195">
            <v>0</v>
          </cell>
        </row>
        <row r="195">
          <cell r="T195">
            <v>0</v>
          </cell>
        </row>
        <row r="196">
          <cell r="P196">
            <v>0</v>
          </cell>
          <cell r="Q196">
            <v>0</v>
          </cell>
          <cell r="R196">
            <v>0</v>
          </cell>
        </row>
        <row r="196">
          <cell r="T196">
            <v>0</v>
          </cell>
        </row>
        <row r="197">
          <cell r="P197">
            <v>0</v>
          </cell>
          <cell r="Q197">
            <v>0</v>
          </cell>
          <cell r="R197">
            <v>0</v>
          </cell>
        </row>
        <row r="197">
          <cell r="T197">
            <v>0</v>
          </cell>
        </row>
        <row r="198">
          <cell r="P198">
            <v>0</v>
          </cell>
          <cell r="Q198">
            <v>0</v>
          </cell>
          <cell r="R198">
            <v>0</v>
          </cell>
        </row>
        <row r="198">
          <cell r="T198">
            <v>0</v>
          </cell>
        </row>
        <row r="199">
          <cell r="P199">
            <v>0</v>
          </cell>
          <cell r="Q199">
            <v>0</v>
          </cell>
          <cell r="R199">
            <v>0</v>
          </cell>
        </row>
        <row r="199">
          <cell r="T199">
            <v>0</v>
          </cell>
        </row>
        <row r="200">
          <cell r="P200">
            <v>0</v>
          </cell>
          <cell r="Q200">
            <v>0</v>
          </cell>
          <cell r="R200">
            <v>0</v>
          </cell>
        </row>
        <row r="200">
          <cell r="T200">
            <v>0</v>
          </cell>
        </row>
        <row r="201">
          <cell r="P201">
            <v>0</v>
          </cell>
          <cell r="Q201">
            <v>0</v>
          </cell>
          <cell r="R201">
            <v>0</v>
          </cell>
        </row>
        <row r="201">
          <cell r="T201">
            <v>0</v>
          </cell>
        </row>
        <row r="202">
          <cell r="P202">
            <v>0</v>
          </cell>
          <cell r="Q202">
            <v>0</v>
          </cell>
          <cell r="R202">
            <v>0</v>
          </cell>
        </row>
        <row r="202">
          <cell r="T202">
            <v>0</v>
          </cell>
        </row>
        <row r="203">
          <cell r="P203">
            <v>0</v>
          </cell>
          <cell r="Q203">
            <v>0</v>
          </cell>
          <cell r="R203">
            <v>0</v>
          </cell>
        </row>
        <row r="203">
          <cell r="T203">
            <v>0</v>
          </cell>
        </row>
        <row r="204">
          <cell r="P204">
            <v>0</v>
          </cell>
          <cell r="Q204">
            <v>0</v>
          </cell>
          <cell r="R204">
            <v>0</v>
          </cell>
        </row>
        <row r="204">
          <cell r="T204">
            <v>0</v>
          </cell>
        </row>
        <row r="205">
          <cell r="P205">
            <v>0</v>
          </cell>
          <cell r="Q205">
            <v>0</v>
          </cell>
          <cell r="R205">
            <v>0</v>
          </cell>
        </row>
        <row r="205">
          <cell r="T205">
            <v>0</v>
          </cell>
        </row>
        <row r="206">
          <cell r="P206">
            <v>0</v>
          </cell>
          <cell r="Q206">
            <v>0</v>
          </cell>
          <cell r="R206">
            <v>0</v>
          </cell>
        </row>
        <row r="206">
          <cell r="T206">
            <v>0</v>
          </cell>
        </row>
        <row r="207">
          <cell r="P207">
            <v>0</v>
          </cell>
          <cell r="Q207">
            <v>0</v>
          </cell>
          <cell r="R207">
            <v>0</v>
          </cell>
        </row>
        <row r="207">
          <cell r="T207">
            <v>0</v>
          </cell>
        </row>
        <row r="208">
          <cell r="P208">
            <v>0</v>
          </cell>
          <cell r="Q208">
            <v>0</v>
          </cell>
          <cell r="R208">
            <v>0</v>
          </cell>
        </row>
        <row r="208">
          <cell r="T208">
            <v>0</v>
          </cell>
        </row>
        <row r="209">
          <cell r="P209">
            <v>0</v>
          </cell>
          <cell r="Q209">
            <v>0</v>
          </cell>
          <cell r="R209">
            <v>0</v>
          </cell>
        </row>
        <row r="209">
          <cell r="T209">
            <v>0</v>
          </cell>
        </row>
        <row r="210">
          <cell r="P210">
            <v>0</v>
          </cell>
          <cell r="Q210">
            <v>0</v>
          </cell>
          <cell r="R210">
            <v>0</v>
          </cell>
        </row>
        <row r="210">
          <cell r="T210">
            <v>0</v>
          </cell>
        </row>
        <row r="211">
          <cell r="P211">
            <v>0</v>
          </cell>
          <cell r="Q211">
            <v>0</v>
          </cell>
          <cell r="R211">
            <v>0</v>
          </cell>
        </row>
        <row r="211">
          <cell r="T211">
            <v>0</v>
          </cell>
        </row>
        <row r="212">
          <cell r="P212">
            <v>0</v>
          </cell>
          <cell r="Q212">
            <v>0</v>
          </cell>
          <cell r="R212">
            <v>0</v>
          </cell>
        </row>
        <row r="212">
          <cell r="T212">
            <v>0</v>
          </cell>
        </row>
        <row r="213">
          <cell r="P213">
            <v>0</v>
          </cell>
          <cell r="Q213">
            <v>0</v>
          </cell>
          <cell r="R213">
            <v>0</v>
          </cell>
        </row>
        <row r="213">
          <cell r="T213">
            <v>0</v>
          </cell>
        </row>
        <row r="214">
          <cell r="P214">
            <v>0</v>
          </cell>
          <cell r="Q214">
            <v>0</v>
          </cell>
          <cell r="R214">
            <v>0</v>
          </cell>
        </row>
        <row r="214">
          <cell r="T214">
            <v>0</v>
          </cell>
        </row>
        <row r="215">
          <cell r="P215">
            <v>0</v>
          </cell>
          <cell r="Q215">
            <v>0</v>
          </cell>
          <cell r="R215">
            <v>0</v>
          </cell>
        </row>
        <row r="215">
          <cell r="T215">
            <v>0</v>
          </cell>
        </row>
        <row r="216">
          <cell r="P216">
            <v>0</v>
          </cell>
          <cell r="Q216">
            <v>0</v>
          </cell>
          <cell r="R216">
            <v>0</v>
          </cell>
        </row>
        <row r="216">
          <cell r="T216">
            <v>0</v>
          </cell>
        </row>
        <row r="217">
          <cell r="P217">
            <v>0</v>
          </cell>
          <cell r="Q217">
            <v>0</v>
          </cell>
          <cell r="R217">
            <v>0</v>
          </cell>
        </row>
        <row r="217">
          <cell r="T217">
            <v>0</v>
          </cell>
        </row>
        <row r="218">
          <cell r="P218">
            <v>0</v>
          </cell>
          <cell r="Q218">
            <v>0</v>
          </cell>
          <cell r="R218">
            <v>0</v>
          </cell>
        </row>
        <row r="218">
          <cell r="T218">
            <v>0</v>
          </cell>
        </row>
        <row r="219">
          <cell r="P219">
            <v>0</v>
          </cell>
          <cell r="Q219">
            <v>0</v>
          </cell>
          <cell r="R219">
            <v>0</v>
          </cell>
        </row>
        <row r="219">
          <cell r="T219">
            <v>0</v>
          </cell>
        </row>
        <row r="220">
          <cell r="P220">
            <v>0</v>
          </cell>
          <cell r="Q220">
            <v>0</v>
          </cell>
          <cell r="R220">
            <v>0</v>
          </cell>
        </row>
        <row r="220">
          <cell r="T220">
            <v>0</v>
          </cell>
        </row>
        <row r="221">
          <cell r="P221">
            <v>0</v>
          </cell>
          <cell r="Q221">
            <v>0</v>
          </cell>
          <cell r="R221">
            <v>0</v>
          </cell>
        </row>
        <row r="221">
          <cell r="T221">
            <v>0</v>
          </cell>
        </row>
        <row r="222">
          <cell r="P222">
            <v>0</v>
          </cell>
          <cell r="Q222">
            <v>0</v>
          </cell>
          <cell r="R222">
            <v>0</v>
          </cell>
        </row>
        <row r="222">
          <cell r="T222">
            <v>0</v>
          </cell>
        </row>
        <row r="223">
          <cell r="P223">
            <v>0</v>
          </cell>
          <cell r="Q223">
            <v>0</v>
          </cell>
          <cell r="R223">
            <v>0</v>
          </cell>
        </row>
        <row r="223">
          <cell r="T223">
            <v>0</v>
          </cell>
        </row>
        <row r="224">
          <cell r="P224">
            <v>0</v>
          </cell>
          <cell r="Q224">
            <v>0</v>
          </cell>
          <cell r="R224">
            <v>0</v>
          </cell>
        </row>
        <row r="224">
          <cell r="T224">
            <v>0</v>
          </cell>
        </row>
        <row r="225">
          <cell r="P225">
            <v>0</v>
          </cell>
          <cell r="Q225">
            <v>0</v>
          </cell>
          <cell r="R225">
            <v>0</v>
          </cell>
        </row>
        <row r="225">
          <cell r="T225">
            <v>0</v>
          </cell>
        </row>
        <row r="226">
          <cell r="P226">
            <v>0</v>
          </cell>
          <cell r="Q226">
            <v>0</v>
          </cell>
          <cell r="R226">
            <v>0</v>
          </cell>
        </row>
        <row r="226">
          <cell r="T226">
            <v>0</v>
          </cell>
        </row>
        <row r="227">
          <cell r="P227">
            <v>0</v>
          </cell>
          <cell r="Q227">
            <v>0</v>
          </cell>
          <cell r="R227">
            <v>0</v>
          </cell>
        </row>
        <row r="227">
          <cell r="T227">
            <v>0</v>
          </cell>
        </row>
        <row r="228">
          <cell r="P228">
            <v>0</v>
          </cell>
          <cell r="Q228">
            <v>0</v>
          </cell>
          <cell r="R228">
            <v>0</v>
          </cell>
        </row>
        <row r="228">
          <cell r="T228">
            <v>0</v>
          </cell>
        </row>
        <row r="229">
          <cell r="P229">
            <v>0</v>
          </cell>
          <cell r="Q229">
            <v>0</v>
          </cell>
          <cell r="R229">
            <v>0</v>
          </cell>
        </row>
        <row r="229">
          <cell r="T229">
            <v>0</v>
          </cell>
        </row>
        <row r="230">
          <cell r="P230">
            <v>0</v>
          </cell>
          <cell r="Q230">
            <v>0</v>
          </cell>
          <cell r="R230">
            <v>0</v>
          </cell>
        </row>
        <row r="230">
          <cell r="T230">
            <v>0</v>
          </cell>
        </row>
        <row r="231">
          <cell r="P231">
            <v>0</v>
          </cell>
          <cell r="Q231">
            <v>0</v>
          </cell>
          <cell r="R231">
            <v>0</v>
          </cell>
        </row>
        <row r="231">
          <cell r="T231">
            <v>0</v>
          </cell>
        </row>
        <row r="232">
          <cell r="P232">
            <v>0</v>
          </cell>
          <cell r="Q232">
            <v>0</v>
          </cell>
          <cell r="R232">
            <v>0</v>
          </cell>
        </row>
        <row r="232">
          <cell r="T232">
            <v>0</v>
          </cell>
        </row>
        <row r="233">
          <cell r="P233">
            <v>0</v>
          </cell>
          <cell r="Q233">
            <v>0</v>
          </cell>
          <cell r="R233">
            <v>0</v>
          </cell>
        </row>
        <row r="233">
          <cell r="T233">
            <v>0</v>
          </cell>
        </row>
        <row r="234">
          <cell r="P234">
            <v>0</v>
          </cell>
          <cell r="Q234">
            <v>0</v>
          </cell>
          <cell r="R234">
            <v>0</v>
          </cell>
        </row>
        <row r="234">
          <cell r="T234">
            <v>0</v>
          </cell>
        </row>
        <row r="235">
          <cell r="P235">
            <v>0</v>
          </cell>
          <cell r="Q235">
            <v>0</v>
          </cell>
          <cell r="R235">
            <v>0</v>
          </cell>
        </row>
        <row r="235">
          <cell r="T235">
            <v>0</v>
          </cell>
        </row>
        <row r="236">
          <cell r="P236">
            <v>0</v>
          </cell>
          <cell r="Q236">
            <v>0</v>
          </cell>
          <cell r="R236">
            <v>0</v>
          </cell>
        </row>
        <row r="236">
          <cell r="T236">
            <v>0</v>
          </cell>
        </row>
        <row r="237">
          <cell r="P237">
            <v>0</v>
          </cell>
          <cell r="Q237">
            <v>0</v>
          </cell>
          <cell r="R237">
            <v>0</v>
          </cell>
        </row>
        <row r="237">
          <cell r="T237">
            <v>0</v>
          </cell>
        </row>
        <row r="238">
          <cell r="P238">
            <v>0</v>
          </cell>
          <cell r="Q238">
            <v>0</v>
          </cell>
          <cell r="R238">
            <v>0</v>
          </cell>
        </row>
        <row r="238">
          <cell r="T238">
            <v>0</v>
          </cell>
        </row>
        <row r="239">
          <cell r="P239">
            <v>0</v>
          </cell>
          <cell r="Q239">
            <v>0</v>
          </cell>
          <cell r="R239">
            <v>0</v>
          </cell>
        </row>
        <row r="239">
          <cell r="T239">
            <v>0</v>
          </cell>
        </row>
        <row r="240">
          <cell r="P240">
            <v>0</v>
          </cell>
          <cell r="Q240">
            <v>0</v>
          </cell>
          <cell r="R240">
            <v>0</v>
          </cell>
        </row>
        <row r="240">
          <cell r="T240">
            <v>0</v>
          </cell>
        </row>
        <row r="241">
          <cell r="P241">
            <v>0</v>
          </cell>
          <cell r="Q241">
            <v>0</v>
          </cell>
          <cell r="R241">
            <v>0</v>
          </cell>
        </row>
        <row r="241">
          <cell r="T241">
            <v>0</v>
          </cell>
        </row>
        <row r="242">
          <cell r="P242">
            <v>0</v>
          </cell>
          <cell r="Q242">
            <v>0</v>
          </cell>
          <cell r="R242">
            <v>0</v>
          </cell>
        </row>
        <row r="242">
          <cell r="T242">
            <v>0</v>
          </cell>
        </row>
        <row r="243">
          <cell r="P243">
            <v>0</v>
          </cell>
          <cell r="Q243">
            <v>0</v>
          </cell>
          <cell r="R243">
            <v>0</v>
          </cell>
        </row>
        <row r="243">
          <cell r="T243">
            <v>0</v>
          </cell>
        </row>
        <row r="244">
          <cell r="P244">
            <v>0</v>
          </cell>
          <cell r="Q244">
            <v>0</v>
          </cell>
          <cell r="R244">
            <v>0</v>
          </cell>
        </row>
        <row r="244">
          <cell r="T244">
            <v>0</v>
          </cell>
        </row>
        <row r="245">
          <cell r="P245">
            <v>0</v>
          </cell>
          <cell r="Q245">
            <v>0</v>
          </cell>
          <cell r="R245">
            <v>0</v>
          </cell>
        </row>
        <row r="245">
          <cell r="T245">
            <v>0</v>
          </cell>
        </row>
        <row r="246">
          <cell r="P246">
            <v>0</v>
          </cell>
          <cell r="Q246">
            <v>0</v>
          </cell>
          <cell r="R246">
            <v>0</v>
          </cell>
        </row>
        <row r="246">
          <cell r="T246">
            <v>0</v>
          </cell>
        </row>
        <row r="247">
          <cell r="P247">
            <v>0</v>
          </cell>
          <cell r="Q247">
            <v>0</v>
          </cell>
          <cell r="R247">
            <v>0</v>
          </cell>
        </row>
        <row r="247">
          <cell r="T247">
            <v>0</v>
          </cell>
        </row>
        <row r="248">
          <cell r="P248">
            <v>0</v>
          </cell>
          <cell r="Q248">
            <v>0</v>
          </cell>
          <cell r="R248">
            <v>0</v>
          </cell>
        </row>
        <row r="248">
          <cell r="T248">
            <v>0</v>
          </cell>
        </row>
        <row r="249">
          <cell r="P249">
            <v>0</v>
          </cell>
          <cell r="Q249">
            <v>0</v>
          </cell>
          <cell r="R249">
            <v>0</v>
          </cell>
        </row>
        <row r="249">
          <cell r="T249">
            <v>0</v>
          </cell>
        </row>
        <row r="250">
          <cell r="P250">
            <v>0</v>
          </cell>
          <cell r="Q250">
            <v>0</v>
          </cell>
          <cell r="R250">
            <v>0</v>
          </cell>
        </row>
        <row r="250">
          <cell r="T250">
            <v>0</v>
          </cell>
        </row>
        <row r="251">
          <cell r="P251">
            <v>0</v>
          </cell>
          <cell r="Q251">
            <v>0</v>
          </cell>
          <cell r="R251">
            <v>0</v>
          </cell>
        </row>
        <row r="251">
          <cell r="T251">
            <v>0</v>
          </cell>
        </row>
        <row r="252">
          <cell r="P252">
            <v>0</v>
          </cell>
          <cell r="Q252">
            <v>0</v>
          </cell>
          <cell r="R252">
            <v>0</v>
          </cell>
        </row>
        <row r="252">
          <cell r="T252">
            <v>0</v>
          </cell>
        </row>
        <row r="253">
          <cell r="P253">
            <v>0</v>
          </cell>
          <cell r="Q253">
            <v>0</v>
          </cell>
          <cell r="R253">
            <v>0</v>
          </cell>
        </row>
        <row r="253">
          <cell r="T253">
            <v>0</v>
          </cell>
        </row>
        <row r="254">
          <cell r="P254">
            <v>0</v>
          </cell>
          <cell r="Q254">
            <v>0</v>
          </cell>
          <cell r="R254">
            <v>0</v>
          </cell>
        </row>
        <row r="254">
          <cell r="T254">
            <v>0</v>
          </cell>
        </row>
        <row r="255">
          <cell r="P255">
            <v>0</v>
          </cell>
          <cell r="Q255">
            <v>0</v>
          </cell>
          <cell r="R255">
            <v>0</v>
          </cell>
        </row>
        <row r="255">
          <cell r="T255">
            <v>0</v>
          </cell>
        </row>
      </sheetData>
      <sheetData sheetId="6">
        <row r="3">
          <cell r="O3">
            <v>0</v>
          </cell>
          <cell r="P3">
            <v>0</v>
          </cell>
          <cell r="Q3">
            <v>0</v>
          </cell>
          <cell r="R3">
            <v>0</v>
          </cell>
        </row>
        <row r="3">
          <cell r="T3">
            <v>0</v>
          </cell>
        </row>
        <row r="4">
          <cell r="O4">
            <v>0</v>
          </cell>
          <cell r="P4">
            <v>0</v>
          </cell>
          <cell r="Q4">
            <v>0</v>
          </cell>
          <cell r="R4">
            <v>0</v>
          </cell>
        </row>
        <row r="4">
          <cell r="T4">
            <v>0</v>
          </cell>
        </row>
        <row r="5">
          <cell r="O5">
            <v>0</v>
          </cell>
          <cell r="P5">
            <v>0</v>
          </cell>
          <cell r="Q5">
            <v>0</v>
          </cell>
          <cell r="R5">
            <v>0</v>
          </cell>
        </row>
        <row r="5">
          <cell r="T5">
            <v>0</v>
          </cell>
        </row>
        <row r="6">
          <cell r="O6">
            <v>0</v>
          </cell>
          <cell r="P6">
            <v>0</v>
          </cell>
          <cell r="Q6">
            <v>0</v>
          </cell>
          <cell r="R6">
            <v>0</v>
          </cell>
        </row>
        <row r="6">
          <cell r="T6">
            <v>0</v>
          </cell>
        </row>
        <row r="7">
          <cell r="O7">
            <v>0</v>
          </cell>
          <cell r="P7">
            <v>0</v>
          </cell>
          <cell r="Q7">
            <v>0</v>
          </cell>
          <cell r="R7">
            <v>0</v>
          </cell>
        </row>
        <row r="7">
          <cell r="T7">
            <v>0</v>
          </cell>
        </row>
        <row r="8">
          <cell r="O8">
            <v>0</v>
          </cell>
          <cell r="P8">
            <v>0</v>
          </cell>
          <cell r="Q8">
            <v>0</v>
          </cell>
          <cell r="R8">
            <v>0</v>
          </cell>
        </row>
        <row r="8">
          <cell r="T8">
            <v>0</v>
          </cell>
        </row>
        <row r="9">
          <cell r="O9">
            <v>0</v>
          </cell>
          <cell r="P9">
            <v>0</v>
          </cell>
          <cell r="Q9">
            <v>0</v>
          </cell>
          <cell r="R9">
            <v>0</v>
          </cell>
        </row>
        <row r="9">
          <cell r="T9">
            <v>0</v>
          </cell>
        </row>
        <row r="10"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0">
          <cell r="T10">
            <v>0</v>
          </cell>
        </row>
        <row r="11"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1">
          <cell r="T11">
            <v>0</v>
          </cell>
        </row>
        <row r="12">
          <cell r="O12">
            <v>0</v>
          </cell>
          <cell r="P12">
            <v>0</v>
          </cell>
          <cell r="Q12">
            <v>0</v>
          </cell>
          <cell r="R12">
            <v>0</v>
          </cell>
        </row>
        <row r="12">
          <cell r="T12">
            <v>0</v>
          </cell>
        </row>
        <row r="13"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3">
          <cell r="T13">
            <v>0</v>
          </cell>
        </row>
        <row r="14"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4">
          <cell r="T14">
            <v>0</v>
          </cell>
        </row>
        <row r="15"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5">
          <cell r="T15">
            <v>0</v>
          </cell>
        </row>
        <row r="16"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6">
          <cell r="T16">
            <v>0</v>
          </cell>
        </row>
        <row r="17"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7">
          <cell r="T17">
            <v>0</v>
          </cell>
        </row>
        <row r="18"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8">
          <cell r="T18">
            <v>0</v>
          </cell>
        </row>
        <row r="19"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19">
          <cell r="T19">
            <v>0</v>
          </cell>
        </row>
        <row r="20"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0">
          <cell r="T20">
            <v>0</v>
          </cell>
        </row>
        <row r="21"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1">
          <cell r="T21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</row>
        <row r="22">
          <cell r="T22">
            <v>0</v>
          </cell>
        </row>
        <row r="23"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3">
          <cell r="T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4">
          <cell r="T24">
            <v>0</v>
          </cell>
        </row>
        <row r="25"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5">
          <cell r="T25">
            <v>0</v>
          </cell>
        </row>
        <row r="26"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6">
          <cell r="T26">
            <v>0</v>
          </cell>
        </row>
        <row r="27"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7">
          <cell r="T27">
            <v>0</v>
          </cell>
        </row>
        <row r="28"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8">
          <cell r="T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29">
          <cell r="T29">
            <v>0</v>
          </cell>
        </row>
        <row r="30"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0">
          <cell r="T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1">
          <cell r="T31">
            <v>0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2">
          <cell r="T32">
            <v>0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3">
          <cell r="T33">
            <v>0</v>
          </cell>
        </row>
        <row r="34"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4">
          <cell r="T34">
            <v>0</v>
          </cell>
        </row>
        <row r="35"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5">
          <cell r="T35">
            <v>0</v>
          </cell>
        </row>
        <row r="36"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6">
          <cell r="T36">
            <v>0</v>
          </cell>
        </row>
        <row r="37"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7">
          <cell r="T37">
            <v>0</v>
          </cell>
        </row>
        <row r="38"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8">
          <cell r="T38">
            <v>0</v>
          </cell>
        </row>
        <row r="39"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39">
          <cell r="T39">
            <v>0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0">
          <cell r="T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1">
          <cell r="T41">
            <v>0</v>
          </cell>
        </row>
        <row r="42"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2">
          <cell r="T42">
            <v>0</v>
          </cell>
        </row>
        <row r="43"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3">
          <cell r="T43">
            <v>0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</row>
        <row r="44">
          <cell r="T44">
            <v>0</v>
          </cell>
        </row>
        <row r="45">
          <cell r="O45">
            <v>0</v>
          </cell>
          <cell r="P45">
            <v>0</v>
          </cell>
          <cell r="Q45">
            <v>0</v>
          </cell>
          <cell r="R45">
            <v>0</v>
          </cell>
        </row>
        <row r="45">
          <cell r="T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6">
          <cell r="T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7">
          <cell r="T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8">
          <cell r="T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49">
          <cell r="T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0">
          <cell r="T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1">
          <cell r="T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2">
          <cell r="T52">
            <v>0</v>
          </cell>
        </row>
        <row r="53">
          <cell r="O53">
            <v>0</v>
          </cell>
          <cell r="P53">
            <v>0</v>
          </cell>
          <cell r="Q53">
            <v>0</v>
          </cell>
          <cell r="R53">
            <v>0</v>
          </cell>
        </row>
        <row r="53">
          <cell r="T53">
            <v>0</v>
          </cell>
        </row>
        <row r="54"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4">
          <cell r="T54">
            <v>0</v>
          </cell>
        </row>
        <row r="55">
          <cell r="O55">
            <v>0</v>
          </cell>
          <cell r="P55">
            <v>0</v>
          </cell>
          <cell r="Q55">
            <v>0</v>
          </cell>
          <cell r="R55">
            <v>0</v>
          </cell>
        </row>
        <row r="55">
          <cell r="T55">
            <v>0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</row>
        <row r="56">
          <cell r="T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7">
          <cell r="T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</row>
        <row r="58">
          <cell r="T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59">
          <cell r="T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0">
          <cell r="T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1">
          <cell r="T61">
            <v>0</v>
          </cell>
        </row>
        <row r="62"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2">
          <cell r="T62">
            <v>0</v>
          </cell>
        </row>
        <row r="63"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3">
          <cell r="T63">
            <v>0</v>
          </cell>
        </row>
        <row r="64"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4">
          <cell r="T64">
            <v>0</v>
          </cell>
        </row>
        <row r="65"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5">
          <cell r="T65">
            <v>0</v>
          </cell>
        </row>
        <row r="66"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6">
          <cell r="T66">
            <v>0</v>
          </cell>
        </row>
        <row r="67"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7">
          <cell r="T67">
            <v>0</v>
          </cell>
        </row>
        <row r="68"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8">
          <cell r="T68">
            <v>0</v>
          </cell>
        </row>
        <row r="69"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69">
          <cell r="T69">
            <v>0</v>
          </cell>
        </row>
        <row r="70"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0">
          <cell r="T70">
            <v>0</v>
          </cell>
        </row>
        <row r="71"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1">
          <cell r="T71">
            <v>0</v>
          </cell>
        </row>
        <row r="72"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2">
          <cell r="T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3">
          <cell r="T73">
            <v>0</v>
          </cell>
        </row>
        <row r="74"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4">
          <cell r="T74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5">
          <cell r="T75">
            <v>0</v>
          </cell>
        </row>
        <row r="76"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6">
          <cell r="T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7">
          <cell r="T77">
            <v>0</v>
          </cell>
        </row>
        <row r="78"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8">
          <cell r="T78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79">
          <cell r="T79">
            <v>0</v>
          </cell>
        </row>
        <row r="80"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0">
          <cell r="T80">
            <v>0</v>
          </cell>
        </row>
        <row r="81"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1">
          <cell r="T81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2">
          <cell r="T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</row>
        <row r="83">
          <cell r="T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</row>
        <row r="84">
          <cell r="T84">
            <v>0</v>
          </cell>
        </row>
        <row r="85">
          <cell r="O85">
            <v>0</v>
          </cell>
          <cell r="P85">
            <v>0</v>
          </cell>
          <cell r="Q85">
            <v>0</v>
          </cell>
          <cell r="R85">
            <v>0</v>
          </cell>
        </row>
        <row r="85">
          <cell r="T85">
            <v>0</v>
          </cell>
        </row>
        <row r="86">
          <cell r="O86">
            <v>0</v>
          </cell>
          <cell r="P86">
            <v>0</v>
          </cell>
          <cell r="Q86">
            <v>0</v>
          </cell>
          <cell r="R86">
            <v>0</v>
          </cell>
        </row>
        <row r="86">
          <cell r="T86">
            <v>0</v>
          </cell>
        </row>
        <row r="87">
          <cell r="O87">
            <v>0</v>
          </cell>
          <cell r="P87">
            <v>0</v>
          </cell>
          <cell r="Q87">
            <v>0</v>
          </cell>
          <cell r="R87">
            <v>0</v>
          </cell>
        </row>
        <row r="87">
          <cell r="T87">
            <v>0</v>
          </cell>
        </row>
        <row r="88"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8">
          <cell r="T88">
            <v>0</v>
          </cell>
        </row>
        <row r="89">
          <cell r="O89">
            <v>0</v>
          </cell>
          <cell r="P89">
            <v>0</v>
          </cell>
          <cell r="Q89">
            <v>0</v>
          </cell>
          <cell r="R89">
            <v>0</v>
          </cell>
        </row>
        <row r="89">
          <cell r="T89">
            <v>0</v>
          </cell>
        </row>
        <row r="90">
          <cell r="O90">
            <v>0</v>
          </cell>
          <cell r="P90">
            <v>0</v>
          </cell>
          <cell r="Q90">
            <v>0</v>
          </cell>
          <cell r="R90">
            <v>0</v>
          </cell>
        </row>
        <row r="90">
          <cell r="T90">
            <v>0</v>
          </cell>
        </row>
        <row r="91"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1">
          <cell r="T91">
            <v>0</v>
          </cell>
        </row>
        <row r="92">
          <cell r="O92">
            <v>0</v>
          </cell>
          <cell r="P92">
            <v>0</v>
          </cell>
          <cell r="Q92">
            <v>0</v>
          </cell>
          <cell r="R92">
            <v>0</v>
          </cell>
        </row>
        <row r="92">
          <cell r="T92">
            <v>0</v>
          </cell>
        </row>
        <row r="93">
          <cell r="O93">
            <v>0</v>
          </cell>
          <cell r="P93">
            <v>0</v>
          </cell>
          <cell r="Q93">
            <v>0</v>
          </cell>
          <cell r="R93">
            <v>0</v>
          </cell>
        </row>
        <row r="93">
          <cell r="T93">
            <v>0</v>
          </cell>
        </row>
        <row r="94"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4">
          <cell r="T94">
            <v>0</v>
          </cell>
        </row>
        <row r="95"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5">
          <cell r="T95">
            <v>0</v>
          </cell>
        </row>
        <row r="96"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6">
          <cell r="T96">
            <v>0</v>
          </cell>
        </row>
        <row r="97"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7">
          <cell r="T97">
            <v>0</v>
          </cell>
        </row>
        <row r="98"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8">
          <cell r="T98">
            <v>0</v>
          </cell>
        </row>
        <row r="99"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99">
          <cell r="T99">
            <v>0</v>
          </cell>
        </row>
        <row r="100"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0">
          <cell r="T100">
            <v>0</v>
          </cell>
        </row>
        <row r="101"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1">
          <cell r="T101">
            <v>0</v>
          </cell>
        </row>
        <row r="102"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2">
          <cell r="T102">
            <v>0</v>
          </cell>
        </row>
        <row r="103">
          <cell r="O103">
            <v>0</v>
          </cell>
          <cell r="P103">
            <v>0</v>
          </cell>
          <cell r="Q103">
            <v>0</v>
          </cell>
          <cell r="R103">
            <v>0</v>
          </cell>
        </row>
        <row r="103">
          <cell r="T103">
            <v>0</v>
          </cell>
        </row>
        <row r="104"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4">
          <cell r="T104">
            <v>0</v>
          </cell>
        </row>
        <row r="105"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5">
          <cell r="T105">
            <v>0</v>
          </cell>
        </row>
        <row r="106"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6">
          <cell r="T106">
            <v>0</v>
          </cell>
        </row>
        <row r="107">
          <cell r="O107">
            <v>0</v>
          </cell>
          <cell r="P107">
            <v>0</v>
          </cell>
          <cell r="Q107">
            <v>0</v>
          </cell>
          <cell r="R107">
            <v>0</v>
          </cell>
        </row>
        <row r="107">
          <cell r="T107">
            <v>0</v>
          </cell>
        </row>
        <row r="108">
          <cell r="O108">
            <v>0</v>
          </cell>
          <cell r="P108">
            <v>0</v>
          </cell>
          <cell r="Q108">
            <v>0</v>
          </cell>
          <cell r="R108">
            <v>0</v>
          </cell>
        </row>
        <row r="108">
          <cell r="T108">
            <v>0</v>
          </cell>
        </row>
        <row r="109">
          <cell r="O109">
            <v>0</v>
          </cell>
          <cell r="P109">
            <v>0</v>
          </cell>
          <cell r="Q109">
            <v>0</v>
          </cell>
          <cell r="R109">
            <v>0</v>
          </cell>
        </row>
        <row r="109">
          <cell r="T109">
            <v>0</v>
          </cell>
        </row>
        <row r="110"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0">
          <cell r="T110">
            <v>0</v>
          </cell>
        </row>
        <row r="111"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1">
          <cell r="T111">
            <v>0</v>
          </cell>
        </row>
        <row r="112"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2">
          <cell r="T112">
            <v>0</v>
          </cell>
        </row>
        <row r="113"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3">
          <cell r="T113">
            <v>0</v>
          </cell>
        </row>
        <row r="114">
          <cell r="O114">
            <v>0</v>
          </cell>
          <cell r="P114">
            <v>0</v>
          </cell>
          <cell r="Q114">
            <v>0</v>
          </cell>
          <cell r="R114">
            <v>0</v>
          </cell>
        </row>
        <row r="114">
          <cell r="T114">
            <v>0</v>
          </cell>
        </row>
        <row r="115">
          <cell r="O115">
            <v>0</v>
          </cell>
          <cell r="P115">
            <v>0</v>
          </cell>
          <cell r="Q115">
            <v>0</v>
          </cell>
          <cell r="R115">
            <v>0</v>
          </cell>
        </row>
        <row r="115">
          <cell r="T115">
            <v>0</v>
          </cell>
        </row>
        <row r="116">
          <cell r="O116">
            <v>0</v>
          </cell>
          <cell r="P116">
            <v>0</v>
          </cell>
          <cell r="Q116">
            <v>0</v>
          </cell>
          <cell r="R116">
            <v>0</v>
          </cell>
        </row>
        <row r="116">
          <cell r="T116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  <cell r="R117">
            <v>0</v>
          </cell>
        </row>
        <row r="117">
          <cell r="T117">
            <v>0</v>
          </cell>
        </row>
        <row r="118"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18">
          <cell r="T118">
            <v>0</v>
          </cell>
        </row>
        <row r="119">
          <cell r="O119">
            <v>0</v>
          </cell>
          <cell r="P119">
            <v>0</v>
          </cell>
          <cell r="Q119">
            <v>0</v>
          </cell>
          <cell r="R119">
            <v>0</v>
          </cell>
        </row>
        <row r="119">
          <cell r="T119">
            <v>0</v>
          </cell>
        </row>
        <row r="120">
          <cell r="O120">
            <v>0</v>
          </cell>
          <cell r="P120">
            <v>0</v>
          </cell>
          <cell r="Q120">
            <v>0</v>
          </cell>
          <cell r="R120">
            <v>0</v>
          </cell>
        </row>
        <row r="120">
          <cell r="T120">
            <v>0</v>
          </cell>
        </row>
        <row r="121"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1">
          <cell r="T121">
            <v>0</v>
          </cell>
        </row>
        <row r="122"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2">
          <cell r="T122">
            <v>0</v>
          </cell>
        </row>
        <row r="123">
          <cell r="O123">
            <v>0</v>
          </cell>
          <cell r="P123">
            <v>0</v>
          </cell>
          <cell r="Q123">
            <v>0</v>
          </cell>
          <cell r="R123">
            <v>0</v>
          </cell>
        </row>
        <row r="123">
          <cell r="T123">
            <v>0</v>
          </cell>
        </row>
        <row r="124">
          <cell r="O124">
            <v>0</v>
          </cell>
          <cell r="P124">
            <v>0</v>
          </cell>
          <cell r="Q124">
            <v>0</v>
          </cell>
          <cell r="R124">
            <v>0</v>
          </cell>
        </row>
        <row r="124">
          <cell r="T124">
            <v>0</v>
          </cell>
        </row>
        <row r="125">
          <cell r="O125">
            <v>0</v>
          </cell>
          <cell r="P125">
            <v>0</v>
          </cell>
          <cell r="Q125">
            <v>0</v>
          </cell>
          <cell r="R125">
            <v>0</v>
          </cell>
        </row>
        <row r="125">
          <cell r="T125">
            <v>0</v>
          </cell>
        </row>
        <row r="126">
          <cell r="O126">
            <v>0</v>
          </cell>
          <cell r="P126">
            <v>0</v>
          </cell>
          <cell r="Q126">
            <v>0</v>
          </cell>
          <cell r="R126">
            <v>0</v>
          </cell>
        </row>
        <row r="126">
          <cell r="T126">
            <v>0</v>
          </cell>
        </row>
        <row r="127">
          <cell r="O127">
            <v>0</v>
          </cell>
          <cell r="P127">
            <v>0</v>
          </cell>
          <cell r="Q127">
            <v>0</v>
          </cell>
          <cell r="R127">
            <v>0</v>
          </cell>
        </row>
        <row r="127">
          <cell r="T127">
            <v>0</v>
          </cell>
        </row>
        <row r="128"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8">
          <cell r="T128">
            <v>0</v>
          </cell>
        </row>
        <row r="129">
          <cell r="O129">
            <v>0</v>
          </cell>
          <cell r="P129">
            <v>0</v>
          </cell>
          <cell r="Q129">
            <v>0</v>
          </cell>
          <cell r="R129">
            <v>0</v>
          </cell>
        </row>
        <row r="129">
          <cell r="T129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0">
          <cell r="T130">
            <v>0</v>
          </cell>
        </row>
        <row r="131"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1">
          <cell r="T131">
            <v>0</v>
          </cell>
        </row>
        <row r="132"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2">
          <cell r="T132">
            <v>0</v>
          </cell>
        </row>
        <row r="133"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3">
          <cell r="T133">
            <v>0</v>
          </cell>
        </row>
        <row r="134">
          <cell r="O134">
            <v>0</v>
          </cell>
          <cell r="P134">
            <v>0</v>
          </cell>
          <cell r="Q134">
            <v>0</v>
          </cell>
          <cell r="R134">
            <v>0</v>
          </cell>
        </row>
        <row r="134">
          <cell r="T134">
            <v>0</v>
          </cell>
        </row>
        <row r="135">
          <cell r="O135">
            <v>0</v>
          </cell>
          <cell r="P135">
            <v>0</v>
          </cell>
          <cell r="Q135">
            <v>0</v>
          </cell>
          <cell r="R135">
            <v>0</v>
          </cell>
        </row>
        <row r="135">
          <cell r="T135">
            <v>0</v>
          </cell>
        </row>
        <row r="136"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6">
          <cell r="T136">
            <v>0</v>
          </cell>
        </row>
        <row r="137">
          <cell r="O137">
            <v>0</v>
          </cell>
          <cell r="P137">
            <v>0</v>
          </cell>
          <cell r="Q137">
            <v>0</v>
          </cell>
          <cell r="R137">
            <v>0</v>
          </cell>
        </row>
        <row r="137">
          <cell r="T137">
            <v>0</v>
          </cell>
        </row>
        <row r="138"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8">
          <cell r="T138">
            <v>0</v>
          </cell>
        </row>
        <row r="139"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39">
          <cell r="T139">
            <v>0</v>
          </cell>
        </row>
        <row r="140"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0">
          <cell r="T140">
            <v>0</v>
          </cell>
        </row>
        <row r="141">
          <cell r="O141">
            <v>0</v>
          </cell>
          <cell r="P141">
            <v>0</v>
          </cell>
          <cell r="Q141">
            <v>0</v>
          </cell>
          <cell r="R141">
            <v>0</v>
          </cell>
        </row>
        <row r="141">
          <cell r="T141">
            <v>0</v>
          </cell>
        </row>
        <row r="142">
          <cell r="O142">
            <v>0</v>
          </cell>
          <cell r="P142">
            <v>0</v>
          </cell>
          <cell r="Q142">
            <v>0</v>
          </cell>
          <cell r="R142">
            <v>0</v>
          </cell>
        </row>
        <row r="142">
          <cell r="T142">
            <v>0</v>
          </cell>
        </row>
        <row r="143"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3">
          <cell r="T143">
            <v>0</v>
          </cell>
        </row>
        <row r="144"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4">
          <cell r="T144">
            <v>0</v>
          </cell>
        </row>
        <row r="145">
          <cell r="O145">
            <v>0</v>
          </cell>
          <cell r="P145">
            <v>0</v>
          </cell>
          <cell r="Q145">
            <v>0</v>
          </cell>
          <cell r="R145">
            <v>0</v>
          </cell>
        </row>
        <row r="145">
          <cell r="T145">
            <v>0</v>
          </cell>
        </row>
        <row r="146"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6">
          <cell r="T146">
            <v>0</v>
          </cell>
        </row>
        <row r="147"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7">
          <cell r="T147">
            <v>0</v>
          </cell>
        </row>
        <row r="148"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8">
          <cell r="T148">
            <v>0</v>
          </cell>
        </row>
        <row r="149"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49">
          <cell r="T149">
            <v>0</v>
          </cell>
        </row>
        <row r="150"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0">
          <cell r="T150">
            <v>0</v>
          </cell>
        </row>
        <row r="151"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1">
          <cell r="T151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R152">
            <v>0</v>
          </cell>
        </row>
        <row r="152">
          <cell r="T152">
            <v>0</v>
          </cell>
        </row>
        <row r="153"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3">
          <cell r="T153">
            <v>0</v>
          </cell>
        </row>
        <row r="154"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4">
          <cell r="T154">
            <v>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</row>
        <row r="155">
          <cell r="T155">
            <v>0</v>
          </cell>
        </row>
        <row r="156"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56">
          <cell r="T156">
            <v>0</v>
          </cell>
        </row>
        <row r="157">
          <cell r="O157">
            <v>0</v>
          </cell>
          <cell r="P157">
            <v>0</v>
          </cell>
          <cell r="Q157">
            <v>0</v>
          </cell>
          <cell r="R157">
            <v>0</v>
          </cell>
        </row>
        <row r="157">
          <cell r="T157">
            <v>0</v>
          </cell>
        </row>
        <row r="158">
          <cell r="O158">
            <v>0</v>
          </cell>
          <cell r="P158">
            <v>0</v>
          </cell>
          <cell r="Q158">
            <v>0</v>
          </cell>
          <cell r="R158">
            <v>0</v>
          </cell>
        </row>
        <row r="158">
          <cell r="T158">
            <v>0</v>
          </cell>
        </row>
        <row r="159"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59">
          <cell r="T159">
            <v>0</v>
          </cell>
        </row>
        <row r="160"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0">
          <cell r="T160">
            <v>0</v>
          </cell>
        </row>
        <row r="161"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1">
          <cell r="T161">
            <v>0</v>
          </cell>
        </row>
        <row r="162"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2">
          <cell r="T162">
            <v>0</v>
          </cell>
        </row>
        <row r="163">
          <cell r="O163">
            <v>0</v>
          </cell>
          <cell r="P163">
            <v>0</v>
          </cell>
          <cell r="Q163">
            <v>0</v>
          </cell>
          <cell r="R163">
            <v>0</v>
          </cell>
        </row>
        <row r="163">
          <cell r="T163">
            <v>0</v>
          </cell>
        </row>
        <row r="164">
          <cell r="O164">
            <v>0</v>
          </cell>
          <cell r="P164">
            <v>0</v>
          </cell>
          <cell r="Q164">
            <v>0</v>
          </cell>
          <cell r="R164">
            <v>0</v>
          </cell>
        </row>
        <row r="164">
          <cell r="T164">
            <v>0</v>
          </cell>
        </row>
        <row r="165"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5">
          <cell r="T165">
            <v>0</v>
          </cell>
        </row>
        <row r="166"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6">
          <cell r="T166">
            <v>0</v>
          </cell>
        </row>
        <row r="167"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7">
          <cell r="T167">
            <v>0</v>
          </cell>
        </row>
        <row r="168"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8">
          <cell r="T168">
            <v>0</v>
          </cell>
        </row>
        <row r="169"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69">
          <cell r="T169">
            <v>0</v>
          </cell>
        </row>
        <row r="170"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0">
          <cell r="T170">
            <v>0</v>
          </cell>
        </row>
        <row r="171"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1">
          <cell r="T171">
            <v>0</v>
          </cell>
        </row>
        <row r="172">
          <cell r="O172">
            <v>0</v>
          </cell>
          <cell r="P172">
            <v>0</v>
          </cell>
          <cell r="Q172">
            <v>0</v>
          </cell>
          <cell r="R172">
            <v>0</v>
          </cell>
        </row>
        <row r="172">
          <cell r="T172">
            <v>0</v>
          </cell>
        </row>
        <row r="173">
          <cell r="O173">
            <v>0</v>
          </cell>
          <cell r="P173">
            <v>0</v>
          </cell>
          <cell r="Q173">
            <v>0</v>
          </cell>
          <cell r="R173">
            <v>0</v>
          </cell>
        </row>
        <row r="173">
          <cell r="T173">
            <v>0</v>
          </cell>
        </row>
        <row r="174">
          <cell r="O174">
            <v>0</v>
          </cell>
          <cell r="P174">
            <v>0</v>
          </cell>
          <cell r="Q174">
            <v>0</v>
          </cell>
          <cell r="R174">
            <v>0</v>
          </cell>
        </row>
        <row r="174">
          <cell r="T174">
            <v>0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5">
          <cell r="T175">
            <v>0</v>
          </cell>
        </row>
        <row r="176">
          <cell r="O176">
            <v>0</v>
          </cell>
          <cell r="P176">
            <v>0</v>
          </cell>
          <cell r="Q176">
            <v>0</v>
          </cell>
          <cell r="R176">
            <v>0</v>
          </cell>
        </row>
        <row r="176">
          <cell r="T176">
            <v>0</v>
          </cell>
        </row>
        <row r="177"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7">
          <cell r="T177">
            <v>0</v>
          </cell>
        </row>
        <row r="178"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8">
          <cell r="T178">
            <v>0</v>
          </cell>
        </row>
        <row r="179"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79">
          <cell r="T179">
            <v>0</v>
          </cell>
        </row>
        <row r="180">
          <cell r="O180">
            <v>0</v>
          </cell>
          <cell r="P180">
            <v>0</v>
          </cell>
          <cell r="Q180">
            <v>0</v>
          </cell>
          <cell r="R180">
            <v>0</v>
          </cell>
        </row>
        <row r="180">
          <cell r="T180">
            <v>0</v>
          </cell>
        </row>
        <row r="181"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1">
          <cell r="T181">
            <v>0</v>
          </cell>
        </row>
        <row r="182">
          <cell r="O182">
            <v>0</v>
          </cell>
          <cell r="P182">
            <v>0</v>
          </cell>
          <cell r="Q182">
            <v>0</v>
          </cell>
          <cell r="R182">
            <v>0</v>
          </cell>
        </row>
        <row r="182">
          <cell r="T182">
            <v>0</v>
          </cell>
        </row>
        <row r="183">
          <cell r="O183">
            <v>0</v>
          </cell>
          <cell r="P183">
            <v>0</v>
          </cell>
          <cell r="Q183">
            <v>0</v>
          </cell>
          <cell r="R183">
            <v>0</v>
          </cell>
        </row>
        <row r="183">
          <cell r="T183">
            <v>0</v>
          </cell>
        </row>
        <row r="184"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4">
          <cell r="T184">
            <v>0</v>
          </cell>
        </row>
        <row r="185"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7"/>
      <sheetData sheetId="8">
        <row r="3">
          <cell r="T3">
            <v>0</v>
          </cell>
        </row>
        <row r="4">
          <cell r="T4">
            <v>0</v>
          </cell>
        </row>
        <row r="5">
          <cell r="T5">
            <v>0</v>
          </cell>
        </row>
        <row r="6">
          <cell r="T6">
            <v>0</v>
          </cell>
        </row>
        <row r="7">
          <cell r="T7">
            <v>0</v>
          </cell>
        </row>
        <row r="8">
          <cell r="T8">
            <v>0</v>
          </cell>
        </row>
        <row r="9">
          <cell r="T9">
            <v>0</v>
          </cell>
        </row>
        <row r="10">
          <cell r="T10">
            <v>0</v>
          </cell>
        </row>
        <row r="11">
          <cell r="T11">
            <v>0</v>
          </cell>
        </row>
        <row r="12">
          <cell r="T12">
            <v>0</v>
          </cell>
        </row>
        <row r="13">
          <cell r="T13">
            <v>0</v>
          </cell>
        </row>
        <row r="14">
          <cell r="T14">
            <v>0</v>
          </cell>
        </row>
        <row r="15">
          <cell r="T15">
            <v>0</v>
          </cell>
        </row>
        <row r="16">
          <cell r="T16">
            <v>0</v>
          </cell>
        </row>
        <row r="17">
          <cell r="T17">
            <v>0</v>
          </cell>
        </row>
        <row r="18">
          <cell r="T18">
            <v>0</v>
          </cell>
        </row>
        <row r="19">
          <cell r="T19">
            <v>0</v>
          </cell>
        </row>
        <row r="20">
          <cell r="T20">
            <v>0</v>
          </cell>
        </row>
        <row r="21">
          <cell r="T21">
            <v>0</v>
          </cell>
        </row>
        <row r="22">
          <cell r="T22">
            <v>0</v>
          </cell>
        </row>
        <row r="23">
          <cell r="T23">
            <v>0</v>
          </cell>
        </row>
        <row r="24">
          <cell r="T24">
            <v>0</v>
          </cell>
        </row>
        <row r="25">
          <cell r="T25">
            <v>0</v>
          </cell>
        </row>
        <row r="26">
          <cell r="T26">
            <v>0</v>
          </cell>
        </row>
        <row r="27">
          <cell r="T27">
            <v>0</v>
          </cell>
        </row>
        <row r="28">
          <cell r="T28">
            <v>0</v>
          </cell>
        </row>
        <row r="29">
          <cell r="T29">
            <v>0</v>
          </cell>
        </row>
        <row r="30">
          <cell r="T30">
            <v>0</v>
          </cell>
        </row>
        <row r="31">
          <cell r="T31">
            <v>0</v>
          </cell>
        </row>
        <row r="32">
          <cell r="T32">
            <v>0</v>
          </cell>
        </row>
        <row r="33">
          <cell r="T33">
            <v>0</v>
          </cell>
        </row>
        <row r="34">
          <cell r="T34">
            <v>0</v>
          </cell>
        </row>
        <row r="35">
          <cell r="T35">
            <v>0</v>
          </cell>
        </row>
        <row r="36">
          <cell r="T36">
            <v>0</v>
          </cell>
        </row>
        <row r="37">
          <cell r="T37">
            <v>0</v>
          </cell>
        </row>
        <row r="38">
          <cell r="T38">
            <v>0</v>
          </cell>
        </row>
        <row r="39">
          <cell r="T39">
            <v>0</v>
          </cell>
        </row>
        <row r="40">
          <cell r="T40">
            <v>0</v>
          </cell>
        </row>
        <row r="41">
          <cell r="T41">
            <v>0</v>
          </cell>
        </row>
        <row r="42">
          <cell r="T42">
            <v>0</v>
          </cell>
        </row>
        <row r="43">
          <cell r="T43">
            <v>0</v>
          </cell>
        </row>
        <row r="44">
          <cell r="T44">
            <v>0</v>
          </cell>
        </row>
        <row r="45">
          <cell r="T45">
            <v>0</v>
          </cell>
        </row>
        <row r="46">
          <cell r="T46">
            <v>0</v>
          </cell>
        </row>
        <row r="47">
          <cell r="T47">
            <v>0</v>
          </cell>
        </row>
        <row r="48">
          <cell r="T48">
            <v>0</v>
          </cell>
        </row>
        <row r="49">
          <cell r="T49">
            <v>0</v>
          </cell>
        </row>
        <row r="50">
          <cell r="T50">
            <v>0</v>
          </cell>
        </row>
        <row r="51">
          <cell r="T51">
            <v>0</v>
          </cell>
        </row>
        <row r="52">
          <cell r="T52">
            <v>0</v>
          </cell>
        </row>
        <row r="53">
          <cell r="T53">
            <v>0</v>
          </cell>
        </row>
        <row r="54">
          <cell r="T54">
            <v>0</v>
          </cell>
        </row>
        <row r="55">
          <cell r="T55">
            <v>0</v>
          </cell>
        </row>
        <row r="56">
          <cell r="T56">
            <v>0</v>
          </cell>
        </row>
        <row r="57">
          <cell r="T57">
            <v>0</v>
          </cell>
        </row>
        <row r="58">
          <cell r="T58">
            <v>0</v>
          </cell>
        </row>
        <row r="59">
          <cell r="T59">
            <v>0</v>
          </cell>
        </row>
        <row r="60">
          <cell r="T60">
            <v>0</v>
          </cell>
        </row>
        <row r="61">
          <cell r="T61">
            <v>0</v>
          </cell>
        </row>
        <row r="62">
          <cell r="T62">
            <v>0</v>
          </cell>
        </row>
        <row r="63">
          <cell r="T63">
            <v>0</v>
          </cell>
        </row>
        <row r="64">
          <cell r="T64">
            <v>0</v>
          </cell>
        </row>
        <row r="65">
          <cell r="T65">
            <v>0</v>
          </cell>
        </row>
        <row r="66">
          <cell r="T66">
            <v>0</v>
          </cell>
        </row>
        <row r="67">
          <cell r="T67">
            <v>0</v>
          </cell>
        </row>
        <row r="68">
          <cell r="T68">
            <v>0</v>
          </cell>
        </row>
        <row r="69">
          <cell r="T69">
            <v>0</v>
          </cell>
        </row>
        <row r="70">
          <cell r="T70">
            <v>0</v>
          </cell>
        </row>
        <row r="71">
          <cell r="T71">
            <v>0</v>
          </cell>
        </row>
        <row r="72">
          <cell r="T72">
            <v>0</v>
          </cell>
        </row>
        <row r="73">
          <cell r="T73">
            <v>0</v>
          </cell>
        </row>
        <row r="74">
          <cell r="T74">
            <v>0</v>
          </cell>
        </row>
        <row r="75">
          <cell r="T75">
            <v>0</v>
          </cell>
        </row>
        <row r="76">
          <cell r="T76">
            <v>0</v>
          </cell>
        </row>
        <row r="77">
          <cell r="T77">
            <v>0</v>
          </cell>
        </row>
        <row r="78">
          <cell r="T78">
            <v>0</v>
          </cell>
        </row>
        <row r="79">
          <cell r="T79">
            <v>0</v>
          </cell>
        </row>
        <row r="80">
          <cell r="T80">
            <v>0</v>
          </cell>
        </row>
        <row r="81">
          <cell r="T81">
            <v>0</v>
          </cell>
        </row>
        <row r="82">
          <cell r="T82">
            <v>0</v>
          </cell>
        </row>
        <row r="83">
          <cell r="T83">
            <v>0</v>
          </cell>
        </row>
        <row r="84">
          <cell r="T84">
            <v>0</v>
          </cell>
        </row>
        <row r="85">
          <cell r="T85">
            <v>0</v>
          </cell>
        </row>
        <row r="86">
          <cell r="T86">
            <v>0</v>
          </cell>
        </row>
        <row r="87">
          <cell r="T87">
            <v>0</v>
          </cell>
        </row>
        <row r="88">
          <cell r="T88">
            <v>0</v>
          </cell>
        </row>
        <row r="89">
          <cell r="T89">
            <v>0</v>
          </cell>
        </row>
        <row r="90">
          <cell r="T90">
            <v>0</v>
          </cell>
        </row>
        <row r="91">
          <cell r="T91">
            <v>0</v>
          </cell>
        </row>
        <row r="92">
          <cell r="T92">
            <v>0</v>
          </cell>
        </row>
        <row r="93">
          <cell r="T93">
            <v>0</v>
          </cell>
        </row>
        <row r="94">
          <cell r="T94">
            <v>0</v>
          </cell>
        </row>
        <row r="95">
          <cell r="T95">
            <v>0</v>
          </cell>
        </row>
        <row r="96">
          <cell r="T96">
            <v>0</v>
          </cell>
        </row>
        <row r="97">
          <cell r="T97">
            <v>0</v>
          </cell>
        </row>
        <row r="98">
          <cell r="T98">
            <v>0</v>
          </cell>
        </row>
        <row r="99">
          <cell r="T99">
            <v>0</v>
          </cell>
        </row>
        <row r="100">
          <cell r="T100">
            <v>0</v>
          </cell>
        </row>
        <row r="101">
          <cell r="T101">
            <v>0</v>
          </cell>
        </row>
        <row r="102">
          <cell r="T102">
            <v>0</v>
          </cell>
        </row>
        <row r="103">
          <cell r="T103">
            <v>0</v>
          </cell>
        </row>
        <row r="104">
          <cell r="T104">
            <v>0</v>
          </cell>
        </row>
        <row r="105">
          <cell r="T105">
            <v>0</v>
          </cell>
        </row>
        <row r="106">
          <cell r="T106">
            <v>0</v>
          </cell>
        </row>
        <row r="107">
          <cell r="T107">
            <v>0</v>
          </cell>
        </row>
        <row r="108">
          <cell r="T108">
            <v>0</v>
          </cell>
        </row>
        <row r="109">
          <cell r="T109">
            <v>0</v>
          </cell>
        </row>
        <row r="110">
          <cell r="T110">
            <v>0</v>
          </cell>
        </row>
        <row r="111">
          <cell r="T111">
            <v>0</v>
          </cell>
        </row>
        <row r="112">
          <cell r="T112">
            <v>0</v>
          </cell>
        </row>
        <row r="113">
          <cell r="T113">
            <v>0</v>
          </cell>
        </row>
        <row r="114">
          <cell r="T114">
            <v>0</v>
          </cell>
        </row>
        <row r="115">
          <cell r="T115">
            <v>0</v>
          </cell>
        </row>
        <row r="116">
          <cell r="T116">
            <v>0</v>
          </cell>
        </row>
        <row r="117">
          <cell r="T117">
            <v>0</v>
          </cell>
        </row>
        <row r="118">
          <cell r="T118">
            <v>0</v>
          </cell>
        </row>
        <row r="119">
          <cell r="T119">
            <v>0</v>
          </cell>
        </row>
        <row r="120">
          <cell r="T120">
            <v>0</v>
          </cell>
        </row>
        <row r="121">
          <cell r="T121">
            <v>0</v>
          </cell>
        </row>
        <row r="122">
          <cell r="T122">
            <v>0</v>
          </cell>
        </row>
        <row r="123">
          <cell r="T123">
            <v>0</v>
          </cell>
        </row>
        <row r="124">
          <cell r="T124">
            <v>0</v>
          </cell>
        </row>
        <row r="125">
          <cell r="T125">
            <v>0</v>
          </cell>
        </row>
        <row r="126">
          <cell r="T126">
            <v>0</v>
          </cell>
        </row>
        <row r="127">
          <cell r="T127">
            <v>0</v>
          </cell>
        </row>
        <row r="128">
          <cell r="T128">
            <v>0</v>
          </cell>
        </row>
        <row r="129">
          <cell r="T129">
            <v>0</v>
          </cell>
        </row>
        <row r="130">
          <cell r="T130">
            <v>0</v>
          </cell>
        </row>
        <row r="131">
          <cell r="T131">
            <v>0</v>
          </cell>
        </row>
        <row r="132">
          <cell r="T132">
            <v>0</v>
          </cell>
        </row>
        <row r="133">
          <cell r="T133">
            <v>0</v>
          </cell>
        </row>
        <row r="134">
          <cell r="T134">
            <v>0</v>
          </cell>
        </row>
        <row r="135">
          <cell r="T135">
            <v>0</v>
          </cell>
        </row>
        <row r="136">
          <cell r="T136">
            <v>0</v>
          </cell>
        </row>
        <row r="137">
          <cell r="T137">
            <v>0</v>
          </cell>
        </row>
        <row r="138">
          <cell r="T138">
            <v>0</v>
          </cell>
        </row>
        <row r="139">
          <cell r="T139">
            <v>0</v>
          </cell>
        </row>
        <row r="140">
          <cell r="T140">
            <v>0</v>
          </cell>
        </row>
        <row r="141">
          <cell r="T141">
            <v>0</v>
          </cell>
        </row>
        <row r="142">
          <cell r="T142">
            <v>0</v>
          </cell>
        </row>
        <row r="143">
          <cell r="T143">
            <v>0</v>
          </cell>
        </row>
        <row r="144">
          <cell r="T144">
            <v>0</v>
          </cell>
        </row>
        <row r="145">
          <cell r="T145">
            <v>0</v>
          </cell>
        </row>
        <row r="146">
          <cell r="T146">
            <v>0</v>
          </cell>
        </row>
        <row r="147">
          <cell r="T147">
            <v>0</v>
          </cell>
        </row>
        <row r="148">
          <cell r="T148">
            <v>0</v>
          </cell>
        </row>
        <row r="149">
          <cell r="T149">
            <v>0</v>
          </cell>
        </row>
        <row r="150">
          <cell r="T150">
            <v>0</v>
          </cell>
        </row>
        <row r="151">
          <cell r="T151">
            <v>0</v>
          </cell>
        </row>
        <row r="152">
          <cell r="T152">
            <v>0</v>
          </cell>
        </row>
        <row r="153">
          <cell r="T153">
            <v>0</v>
          </cell>
        </row>
        <row r="154">
          <cell r="T154">
            <v>0</v>
          </cell>
        </row>
        <row r="155">
          <cell r="T155">
            <v>0</v>
          </cell>
        </row>
        <row r="156">
          <cell r="T156">
            <v>0</v>
          </cell>
        </row>
        <row r="157">
          <cell r="T157">
            <v>0</v>
          </cell>
        </row>
        <row r="158">
          <cell r="T158">
            <v>0</v>
          </cell>
        </row>
        <row r="159">
          <cell r="T159">
            <v>0</v>
          </cell>
        </row>
        <row r="160">
          <cell r="T160">
            <v>0</v>
          </cell>
        </row>
        <row r="161">
          <cell r="T161">
            <v>0</v>
          </cell>
        </row>
        <row r="162">
          <cell r="T162">
            <v>0</v>
          </cell>
        </row>
        <row r="163">
          <cell r="T163">
            <v>0</v>
          </cell>
        </row>
        <row r="164">
          <cell r="T164">
            <v>0</v>
          </cell>
        </row>
        <row r="165">
          <cell r="T165">
            <v>0</v>
          </cell>
        </row>
        <row r="166">
          <cell r="T166">
            <v>0</v>
          </cell>
        </row>
        <row r="167">
          <cell r="T167">
            <v>0</v>
          </cell>
        </row>
        <row r="168">
          <cell r="T168">
            <v>0</v>
          </cell>
        </row>
        <row r="169">
          <cell r="T169">
            <v>0</v>
          </cell>
        </row>
        <row r="170">
          <cell r="T170">
            <v>0</v>
          </cell>
        </row>
        <row r="171">
          <cell r="T171">
            <v>0</v>
          </cell>
        </row>
        <row r="172">
          <cell r="T172">
            <v>0</v>
          </cell>
        </row>
        <row r="173">
          <cell r="T173">
            <v>0</v>
          </cell>
        </row>
        <row r="174">
          <cell r="T174">
            <v>0</v>
          </cell>
        </row>
        <row r="175">
          <cell r="T175">
            <v>0</v>
          </cell>
        </row>
        <row r="176">
          <cell r="T176">
            <v>0</v>
          </cell>
        </row>
        <row r="177">
          <cell r="T177">
            <v>0</v>
          </cell>
        </row>
        <row r="178">
          <cell r="T178">
            <v>0</v>
          </cell>
        </row>
        <row r="179">
          <cell r="T179">
            <v>0</v>
          </cell>
        </row>
        <row r="180">
          <cell r="T180">
            <v>0</v>
          </cell>
        </row>
        <row r="181">
          <cell r="T181">
            <v>0</v>
          </cell>
        </row>
        <row r="182">
          <cell r="T182">
            <v>0</v>
          </cell>
        </row>
        <row r="183">
          <cell r="T183">
            <v>0</v>
          </cell>
        </row>
        <row r="184">
          <cell r="T184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9">
        <row r="3">
          <cell r="O3">
            <v>0</v>
          </cell>
          <cell r="P3">
            <v>0</v>
          </cell>
          <cell r="Q3">
            <v>0</v>
          </cell>
          <cell r="R3">
            <v>0</v>
          </cell>
        </row>
        <row r="3">
          <cell r="T3">
            <v>0</v>
          </cell>
        </row>
        <row r="4">
          <cell r="O4">
            <v>0</v>
          </cell>
          <cell r="P4">
            <v>0</v>
          </cell>
          <cell r="Q4">
            <v>0</v>
          </cell>
          <cell r="R4">
            <v>0</v>
          </cell>
        </row>
        <row r="4">
          <cell r="T4">
            <v>0</v>
          </cell>
        </row>
        <row r="5">
          <cell r="O5">
            <v>1194.7822265625</v>
          </cell>
          <cell r="P5">
            <v>0</v>
          </cell>
          <cell r="Q5">
            <v>0</v>
          </cell>
          <cell r="R5">
            <v>0</v>
          </cell>
        </row>
        <row r="5">
          <cell r="T5">
            <v>0</v>
          </cell>
        </row>
        <row r="6">
          <cell r="O6">
            <v>1194.7822265625</v>
          </cell>
          <cell r="P6">
            <v>0</v>
          </cell>
          <cell r="Q6">
            <v>0</v>
          </cell>
          <cell r="R6">
            <v>0</v>
          </cell>
        </row>
        <row r="6">
          <cell r="T6">
            <v>0</v>
          </cell>
        </row>
        <row r="7">
          <cell r="O7">
            <v>1194.7822265625</v>
          </cell>
          <cell r="P7">
            <v>0</v>
          </cell>
          <cell r="Q7">
            <v>0</v>
          </cell>
          <cell r="R7">
            <v>0</v>
          </cell>
        </row>
        <row r="7">
          <cell r="T7">
            <v>0</v>
          </cell>
        </row>
        <row r="8">
          <cell r="O8">
            <v>1194.7822265625</v>
          </cell>
          <cell r="P8">
            <v>0</v>
          </cell>
          <cell r="Q8">
            <v>0</v>
          </cell>
          <cell r="R8">
            <v>0</v>
          </cell>
        </row>
        <row r="8">
          <cell r="T8">
            <v>0</v>
          </cell>
        </row>
        <row r="9">
          <cell r="O9">
            <v>1194.7822265625</v>
          </cell>
          <cell r="P9">
            <v>0</v>
          </cell>
          <cell r="Q9">
            <v>0</v>
          </cell>
          <cell r="R9">
            <v>0</v>
          </cell>
        </row>
        <row r="9">
          <cell r="T9">
            <v>0</v>
          </cell>
        </row>
        <row r="10"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0">
          <cell r="T10">
            <v>0</v>
          </cell>
        </row>
        <row r="11"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1">
          <cell r="T11">
            <v>0</v>
          </cell>
        </row>
        <row r="12">
          <cell r="O12">
            <v>1593.04296875</v>
          </cell>
          <cell r="P12">
            <v>0</v>
          </cell>
          <cell r="Q12">
            <v>0</v>
          </cell>
          <cell r="R12">
            <v>0</v>
          </cell>
        </row>
        <row r="12">
          <cell r="T12">
            <v>0</v>
          </cell>
        </row>
        <row r="13">
          <cell r="O13">
            <v>1593.04296875</v>
          </cell>
          <cell r="P13">
            <v>0</v>
          </cell>
          <cell r="Q13">
            <v>0</v>
          </cell>
          <cell r="R13">
            <v>0</v>
          </cell>
        </row>
        <row r="13">
          <cell r="T13">
            <v>0</v>
          </cell>
        </row>
        <row r="14">
          <cell r="O14">
            <v>1593.04296875</v>
          </cell>
          <cell r="P14">
            <v>0</v>
          </cell>
          <cell r="Q14">
            <v>0</v>
          </cell>
          <cell r="R14">
            <v>0</v>
          </cell>
        </row>
        <row r="14">
          <cell r="T14">
            <v>0</v>
          </cell>
        </row>
        <row r="15">
          <cell r="O15">
            <v>1593.04296875</v>
          </cell>
          <cell r="P15">
            <v>0</v>
          </cell>
          <cell r="Q15">
            <v>0</v>
          </cell>
          <cell r="R15">
            <v>0</v>
          </cell>
        </row>
        <row r="15">
          <cell r="T15">
            <v>0</v>
          </cell>
        </row>
        <row r="16">
          <cell r="O16">
            <v>1593.04296875</v>
          </cell>
          <cell r="P16">
            <v>0</v>
          </cell>
          <cell r="Q16">
            <v>0</v>
          </cell>
          <cell r="R16">
            <v>0</v>
          </cell>
        </row>
        <row r="16">
          <cell r="T16">
            <v>0</v>
          </cell>
        </row>
        <row r="17"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7">
          <cell r="T17">
            <v>0</v>
          </cell>
        </row>
        <row r="18"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8">
          <cell r="T18">
            <v>0</v>
          </cell>
        </row>
        <row r="19">
          <cell r="O19">
            <v>1593.04296875</v>
          </cell>
          <cell r="P19">
            <v>0</v>
          </cell>
          <cell r="Q19">
            <v>0</v>
          </cell>
          <cell r="R19">
            <v>0</v>
          </cell>
        </row>
        <row r="19">
          <cell r="T19">
            <v>0</v>
          </cell>
        </row>
        <row r="20">
          <cell r="O20">
            <v>1593.04296875</v>
          </cell>
          <cell r="P20">
            <v>0</v>
          </cell>
          <cell r="Q20">
            <v>0</v>
          </cell>
          <cell r="R20">
            <v>0</v>
          </cell>
        </row>
        <row r="20">
          <cell r="T20">
            <v>0</v>
          </cell>
        </row>
        <row r="21">
          <cell r="O21">
            <v>1593.04296875</v>
          </cell>
          <cell r="P21">
            <v>0</v>
          </cell>
          <cell r="Q21">
            <v>0</v>
          </cell>
          <cell r="R21">
            <v>0</v>
          </cell>
        </row>
        <row r="21">
          <cell r="T21">
            <v>0</v>
          </cell>
        </row>
        <row r="22">
          <cell r="O22">
            <v>1593.04296875</v>
          </cell>
          <cell r="P22">
            <v>0</v>
          </cell>
          <cell r="Q22">
            <v>0</v>
          </cell>
          <cell r="R22">
            <v>0</v>
          </cell>
        </row>
        <row r="22">
          <cell r="T22">
            <v>0</v>
          </cell>
        </row>
        <row r="23">
          <cell r="O23">
            <v>1593.04296875</v>
          </cell>
          <cell r="P23">
            <v>0</v>
          </cell>
          <cell r="Q23">
            <v>0</v>
          </cell>
          <cell r="R23">
            <v>0</v>
          </cell>
        </row>
        <row r="23">
          <cell r="T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4">
          <cell r="T24">
            <v>0</v>
          </cell>
        </row>
        <row r="25"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5">
          <cell r="T25">
            <v>0</v>
          </cell>
        </row>
        <row r="26">
          <cell r="O26">
            <v>1588.2744140625</v>
          </cell>
          <cell r="P26">
            <v>0</v>
          </cell>
          <cell r="Q26">
            <v>0</v>
          </cell>
          <cell r="R26">
            <v>0</v>
          </cell>
        </row>
        <row r="26">
          <cell r="T26">
            <v>0</v>
          </cell>
        </row>
        <row r="27">
          <cell r="O27">
            <v>1588.2744140625</v>
          </cell>
          <cell r="P27">
            <v>0</v>
          </cell>
          <cell r="Q27">
            <v>0</v>
          </cell>
          <cell r="R27">
            <v>0</v>
          </cell>
        </row>
        <row r="27">
          <cell r="T27">
            <v>0</v>
          </cell>
        </row>
        <row r="28">
          <cell r="O28">
            <v>1588.2744140625</v>
          </cell>
          <cell r="P28">
            <v>0</v>
          </cell>
          <cell r="Q28">
            <v>0</v>
          </cell>
          <cell r="R28">
            <v>0</v>
          </cell>
        </row>
        <row r="28">
          <cell r="T28">
            <v>0</v>
          </cell>
        </row>
        <row r="29">
          <cell r="O29">
            <v>1588.2744140625</v>
          </cell>
          <cell r="P29">
            <v>0</v>
          </cell>
          <cell r="Q29">
            <v>0</v>
          </cell>
          <cell r="R29">
            <v>0</v>
          </cell>
        </row>
        <row r="29">
          <cell r="T29">
            <v>0</v>
          </cell>
        </row>
        <row r="30">
          <cell r="O30">
            <v>1588.2744140625</v>
          </cell>
          <cell r="P30">
            <v>0</v>
          </cell>
          <cell r="Q30">
            <v>0</v>
          </cell>
          <cell r="R30">
            <v>0</v>
          </cell>
        </row>
        <row r="30">
          <cell r="T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1">
          <cell r="T31">
            <v>0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2">
          <cell r="T32">
            <v>0</v>
          </cell>
        </row>
        <row r="33">
          <cell r="O33">
            <v>1588.2744140625</v>
          </cell>
          <cell r="P33">
            <v>0</v>
          </cell>
          <cell r="Q33">
            <v>0</v>
          </cell>
          <cell r="R33">
            <v>0</v>
          </cell>
        </row>
        <row r="33">
          <cell r="T33">
            <v>0</v>
          </cell>
        </row>
        <row r="34">
          <cell r="O34">
            <v>27000.666015625</v>
          </cell>
          <cell r="P34">
            <v>0</v>
          </cell>
          <cell r="Q34">
            <v>0</v>
          </cell>
          <cell r="R34">
            <v>0</v>
          </cell>
        </row>
        <row r="34">
          <cell r="T34">
            <v>-2700.04600168906</v>
          </cell>
        </row>
        <row r="35"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5">
          <cell r="T35">
            <v>0</v>
          </cell>
        </row>
        <row r="36"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6">
          <cell r="T36">
            <v>0</v>
          </cell>
        </row>
        <row r="37"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7">
          <cell r="T37">
            <v>0</v>
          </cell>
        </row>
        <row r="38"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8">
          <cell r="T38">
            <v>0</v>
          </cell>
        </row>
        <row r="39"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39">
          <cell r="T39">
            <v>0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0">
          <cell r="T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1">
          <cell r="T41">
            <v>0</v>
          </cell>
        </row>
        <row r="42"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2">
          <cell r="T42">
            <v>0</v>
          </cell>
        </row>
        <row r="43">
          <cell r="O43">
            <v>-17011.126953125</v>
          </cell>
          <cell r="P43">
            <v>0</v>
          </cell>
          <cell r="Q43">
            <v>0</v>
          </cell>
          <cell r="R43">
            <v>0</v>
          </cell>
        </row>
        <row r="43">
          <cell r="T43">
            <v>8505.5634765625</v>
          </cell>
        </row>
        <row r="44">
          <cell r="O44">
            <v>-16954.423828125</v>
          </cell>
          <cell r="P44">
            <v>0</v>
          </cell>
          <cell r="Q44">
            <v>0</v>
          </cell>
          <cell r="R44">
            <v>0</v>
          </cell>
        </row>
        <row r="44">
          <cell r="T44">
            <v>8477.2119140625</v>
          </cell>
        </row>
        <row r="45">
          <cell r="O45">
            <v>0</v>
          </cell>
          <cell r="P45">
            <v>0</v>
          </cell>
          <cell r="Q45">
            <v>0</v>
          </cell>
          <cell r="R45">
            <v>0</v>
          </cell>
        </row>
        <row r="45">
          <cell r="T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6">
          <cell r="T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7">
          <cell r="T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8">
          <cell r="T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49">
          <cell r="T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0">
          <cell r="T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1">
          <cell r="T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2">
          <cell r="T52">
            <v>0</v>
          </cell>
        </row>
        <row r="53">
          <cell r="O53">
            <v>0</v>
          </cell>
          <cell r="P53">
            <v>0</v>
          </cell>
          <cell r="Q53">
            <v>0</v>
          </cell>
          <cell r="R53">
            <v>0</v>
          </cell>
        </row>
        <row r="53">
          <cell r="T53">
            <v>0</v>
          </cell>
        </row>
        <row r="54"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4">
          <cell r="T54">
            <v>0</v>
          </cell>
        </row>
        <row r="55">
          <cell r="O55">
            <v>0</v>
          </cell>
          <cell r="P55">
            <v>0</v>
          </cell>
          <cell r="Q55">
            <v>0</v>
          </cell>
          <cell r="R55">
            <v>0</v>
          </cell>
        </row>
        <row r="55">
          <cell r="T55">
            <v>0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</row>
        <row r="56">
          <cell r="T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7">
          <cell r="T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</row>
        <row r="58">
          <cell r="T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59">
          <cell r="T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0">
          <cell r="T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1">
          <cell r="T61">
            <v>0</v>
          </cell>
        </row>
        <row r="62"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2">
          <cell r="T62">
            <v>0</v>
          </cell>
        </row>
        <row r="63"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3">
          <cell r="T63">
            <v>0</v>
          </cell>
        </row>
        <row r="64"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4">
          <cell r="T64">
            <v>0</v>
          </cell>
        </row>
        <row r="65"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5">
          <cell r="T65">
            <v>0</v>
          </cell>
        </row>
        <row r="66"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6">
          <cell r="T66">
            <v>0</v>
          </cell>
        </row>
        <row r="67"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7">
          <cell r="T67">
            <v>0</v>
          </cell>
        </row>
        <row r="68"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8">
          <cell r="T68">
            <v>0</v>
          </cell>
        </row>
        <row r="69"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69">
          <cell r="T69">
            <v>0</v>
          </cell>
        </row>
        <row r="70"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0">
          <cell r="T70">
            <v>0</v>
          </cell>
        </row>
        <row r="71"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1">
          <cell r="T71">
            <v>0</v>
          </cell>
        </row>
        <row r="72"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2">
          <cell r="T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3">
          <cell r="T73">
            <v>0</v>
          </cell>
        </row>
        <row r="74"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4">
          <cell r="T74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5">
          <cell r="T75">
            <v>0</v>
          </cell>
        </row>
        <row r="76"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6">
          <cell r="T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7">
          <cell r="T77">
            <v>0</v>
          </cell>
        </row>
        <row r="78"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8">
          <cell r="T78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79">
          <cell r="T79">
            <v>0</v>
          </cell>
        </row>
        <row r="80"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0">
          <cell r="T80">
            <v>0</v>
          </cell>
        </row>
        <row r="81"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1">
          <cell r="T81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2">
          <cell r="T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</row>
        <row r="83">
          <cell r="T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</row>
        <row r="84">
          <cell r="T84">
            <v>0</v>
          </cell>
        </row>
        <row r="85">
          <cell r="O85">
            <v>0</v>
          </cell>
          <cell r="P85">
            <v>0</v>
          </cell>
          <cell r="Q85">
            <v>0</v>
          </cell>
          <cell r="R85">
            <v>0</v>
          </cell>
        </row>
        <row r="85">
          <cell r="T85">
            <v>0</v>
          </cell>
        </row>
        <row r="86">
          <cell r="O86">
            <v>0</v>
          </cell>
          <cell r="P86">
            <v>0</v>
          </cell>
          <cell r="Q86">
            <v>0</v>
          </cell>
          <cell r="R86">
            <v>0</v>
          </cell>
        </row>
        <row r="86">
          <cell r="T86">
            <v>0</v>
          </cell>
        </row>
        <row r="87">
          <cell r="O87">
            <v>0</v>
          </cell>
          <cell r="P87">
            <v>0</v>
          </cell>
          <cell r="Q87">
            <v>0</v>
          </cell>
          <cell r="R87">
            <v>0</v>
          </cell>
        </row>
        <row r="87">
          <cell r="T87">
            <v>0</v>
          </cell>
        </row>
        <row r="88"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8">
          <cell r="T88">
            <v>0</v>
          </cell>
        </row>
        <row r="89">
          <cell r="O89">
            <v>0</v>
          </cell>
          <cell r="P89">
            <v>0</v>
          </cell>
          <cell r="Q89">
            <v>0</v>
          </cell>
          <cell r="R89">
            <v>0</v>
          </cell>
        </row>
        <row r="89">
          <cell r="T89">
            <v>0</v>
          </cell>
        </row>
        <row r="90">
          <cell r="O90">
            <v>0</v>
          </cell>
          <cell r="P90">
            <v>0</v>
          </cell>
          <cell r="Q90">
            <v>0</v>
          </cell>
          <cell r="R90">
            <v>0</v>
          </cell>
        </row>
        <row r="90">
          <cell r="T90">
            <v>0</v>
          </cell>
        </row>
        <row r="91"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1">
          <cell r="T91">
            <v>0</v>
          </cell>
        </row>
        <row r="92">
          <cell r="O92">
            <v>0</v>
          </cell>
          <cell r="P92">
            <v>0</v>
          </cell>
          <cell r="Q92">
            <v>0</v>
          </cell>
          <cell r="R92">
            <v>0</v>
          </cell>
        </row>
        <row r="92">
          <cell r="T92">
            <v>0</v>
          </cell>
        </row>
        <row r="93">
          <cell r="O93">
            <v>0</v>
          </cell>
          <cell r="P93">
            <v>0</v>
          </cell>
          <cell r="Q93">
            <v>0</v>
          </cell>
          <cell r="R93">
            <v>0</v>
          </cell>
        </row>
        <row r="93">
          <cell r="T93">
            <v>0</v>
          </cell>
        </row>
        <row r="94"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4">
          <cell r="T94">
            <v>0</v>
          </cell>
        </row>
        <row r="95"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5">
          <cell r="T95">
            <v>0</v>
          </cell>
        </row>
        <row r="96"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6">
          <cell r="T96">
            <v>0</v>
          </cell>
        </row>
        <row r="97"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7">
          <cell r="T97">
            <v>0</v>
          </cell>
        </row>
        <row r="98"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8">
          <cell r="T98">
            <v>0</v>
          </cell>
        </row>
        <row r="99"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99">
          <cell r="T99">
            <v>0</v>
          </cell>
        </row>
        <row r="100"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0">
          <cell r="T100">
            <v>0</v>
          </cell>
        </row>
        <row r="101"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1">
          <cell r="T101">
            <v>0</v>
          </cell>
        </row>
        <row r="102"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2">
          <cell r="T102">
            <v>0</v>
          </cell>
        </row>
        <row r="103">
          <cell r="O103">
            <v>0</v>
          </cell>
          <cell r="P103">
            <v>0</v>
          </cell>
          <cell r="Q103">
            <v>0</v>
          </cell>
          <cell r="R103">
            <v>0</v>
          </cell>
        </row>
        <row r="103">
          <cell r="T103">
            <v>0</v>
          </cell>
        </row>
        <row r="104"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4">
          <cell r="T104">
            <v>0</v>
          </cell>
        </row>
        <row r="105"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5">
          <cell r="T105">
            <v>0</v>
          </cell>
        </row>
        <row r="106"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6">
          <cell r="T106">
            <v>0</v>
          </cell>
        </row>
        <row r="107">
          <cell r="O107">
            <v>0</v>
          </cell>
          <cell r="P107">
            <v>0</v>
          </cell>
          <cell r="Q107">
            <v>0</v>
          </cell>
          <cell r="R107">
            <v>0</v>
          </cell>
        </row>
        <row r="107">
          <cell r="T107">
            <v>0</v>
          </cell>
        </row>
        <row r="108">
          <cell r="O108">
            <v>0</v>
          </cell>
          <cell r="P108">
            <v>0</v>
          </cell>
          <cell r="Q108">
            <v>0</v>
          </cell>
          <cell r="R108">
            <v>0</v>
          </cell>
        </row>
        <row r="108">
          <cell r="T108">
            <v>0</v>
          </cell>
        </row>
        <row r="109">
          <cell r="O109">
            <v>0</v>
          </cell>
          <cell r="P109">
            <v>0</v>
          </cell>
          <cell r="Q109">
            <v>0</v>
          </cell>
          <cell r="R109">
            <v>0</v>
          </cell>
        </row>
        <row r="109">
          <cell r="T109">
            <v>0</v>
          </cell>
        </row>
        <row r="110"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0">
          <cell r="T110">
            <v>0</v>
          </cell>
        </row>
        <row r="111"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1">
          <cell r="T111">
            <v>0</v>
          </cell>
        </row>
        <row r="112"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2">
          <cell r="T112">
            <v>0</v>
          </cell>
        </row>
        <row r="113"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3">
          <cell r="T113">
            <v>0</v>
          </cell>
        </row>
        <row r="114">
          <cell r="O114">
            <v>0</v>
          </cell>
          <cell r="P114">
            <v>0</v>
          </cell>
          <cell r="Q114">
            <v>0</v>
          </cell>
          <cell r="R114">
            <v>0</v>
          </cell>
        </row>
        <row r="114">
          <cell r="T114">
            <v>0</v>
          </cell>
        </row>
        <row r="115">
          <cell r="O115">
            <v>0</v>
          </cell>
          <cell r="P115">
            <v>0</v>
          </cell>
          <cell r="Q115">
            <v>0</v>
          </cell>
          <cell r="R115">
            <v>0</v>
          </cell>
        </row>
        <row r="115">
          <cell r="T115">
            <v>0</v>
          </cell>
        </row>
        <row r="116">
          <cell r="O116">
            <v>0</v>
          </cell>
          <cell r="P116">
            <v>0</v>
          </cell>
          <cell r="Q116">
            <v>0</v>
          </cell>
          <cell r="R116">
            <v>0</v>
          </cell>
        </row>
        <row r="116">
          <cell r="T116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  <cell r="R117">
            <v>0</v>
          </cell>
        </row>
        <row r="117">
          <cell r="T117">
            <v>0</v>
          </cell>
        </row>
        <row r="118"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18">
          <cell r="T118">
            <v>0</v>
          </cell>
        </row>
        <row r="119">
          <cell r="O119">
            <v>0</v>
          </cell>
          <cell r="P119">
            <v>0</v>
          </cell>
          <cell r="Q119">
            <v>0</v>
          </cell>
          <cell r="R119">
            <v>0</v>
          </cell>
        </row>
        <row r="119">
          <cell r="T119">
            <v>0</v>
          </cell>
        </row>
        <row r="120">
          <cell r="O120">
            <v>0</v>
          </cell>
          <cell r="P120">
            <v>0</v>
          </cell>
          <cell r="Q120">
            <v>0</v>
          </cell>
          <cell r="R120">
            <v>0</v>
          </cell>
        </row>
        <row r="120">
          <cell r="T120">
            <v>0</v>
          </cell>
        </row>
        <row r="121"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1">
          <cell r="T121">
            <v>0</v>
          </cell>
        </row>
        <row r="122"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2">
          <cell r="T122">
            <v>0</v>
          </cell>
        </row>
        <row r="123">
          <cell r="O123">
            <v>0</v>
          </cell>
          <cell r="P123">
            <v>0</v>
          </cell>
          <cell r="Q123">
            <v>0</v>
          </cell>
          <cell r="R123">
            <v>0</v>
          </cell>
        </row>
        <row r="123">
          <cell r="T123">
            <v>0</v>
          </cell>
        </row>
        <row r="124">
          <cell r="O124">
            <v>0</v>
          </cell>
          <cell r="P124">
            <v>0</v>
          </cell>
          <cell r="Q124">
            <v>0</v>
          </cell>
          <cell r="R124">
            <v>0</v>
          </cell>
        </row>
        <row r="124">
          <cell r="T124">
            <v>0</v>
          </cell>
        </row>
        <row r="125">
          <cell r="O125">
            <v>0</v>
          </cell>
          <cell r="P125">
            <v>0</v>
          </cell>
          <cell r="Q125">
            <v>0</v>
          </cell>
          <cell r="R125">
            <v>0</v>
          </cell>
        </row>
        <row r="125">
          <cell r="T125">
            <v>0</v>
          </cell>
        </row>
        <row r="126">
          <cell r="O126">
            <v>0</v>
          </cell>
          <cell r="P126">
            <v>0</v>
          </cell>
          <cell r="Q126">
            <v>0</v>
          </cell>
          <cell r="R126">
            <v>0</v>
          </cell>
        </row>
        <row r="126">
          <cell r="T126">
            <v>0</v>
          </cell>
        </row>
        <row r="127">
          <cell r="O127">
            <v>0</v>
          </cell>
          <cell r="P127">
            <v>0</v>
          </cell>
          <cell r="Q127">
            <v>0</v>
          </cell>
          <cell r="R127">
            <v>0</v>
          </cell>
        </row>
        <row r="127">
          <cell r="T127">
            <v>0</v>
          </cell>
        </row>
        <row r="128"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8">
          <cell r="T128">
            <v>0</v>
          </cell>
        </row>
        <row r="129">
          <cell r="O129">
            <v>0</v>
          </cell>
          <cell r="P129">
            <v>0</v>
          </cell>
          <cell r="Q129">
            <v>0</v>
          </cell>
          <cell r="R129">
            <v>0</v>
          </cell>
        </row>
        <row r="129">
          <cell r="T129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0">
          <cell r="T130">
            <v>0</v>
          </cell>
        </row>
        <row r="131"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1">
          <cell r="T131">
            <v>0</v>
          </cell>
        </row>
        <row r="132"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2">
          <cell r="T132">
            <v>0</v>
          </cell>
        </row>
        <row r="133"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3">
          <cell r="T133">
            <v>0</v>
          </cell>
        </row>
        <row r="134">
          <cell r="O134">
            <v>0</v>
          </cell>
          <cell r="P134">
            <v>0</v>
          </cell>
          <cell r="Q134">
            <v>0</v>
          </cell>
          <cell r="R134">
            <v>0</v>
          </cell>
        </row>
        <row r="134">
          <cell r="T134">
            <v>0</v>
          </cell>
        </row>
        <row r="135">
          <cell r="O135">
            <v>0</v>
          </cell>
          <cell r="P135">
            <v>0</v>
          </cell>
          <cell r="Q135">
            <v>0</v>
          </cell>
          <cell r="R135">
            <v>0</v>
          </cell>
        </row>
        <row r="135">
          <cell r="T135">
            <v>0</v>
          </cell>
        </row>
        <row r="136"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6">
          <cell r="T136">
            <v>0</v>
          </cell>
        </row>
        <row r="137">
          <cell r="O137">
            <v>0</v>
          </cell>
          <cell r="P137">
            <v>0</v>
          </cell>
          <cell r="Q137">
            <v>0</v>
          </cell>
          <cell r="R137">
            <v>0</v>
          </cell>
        </row>
        <row r="137">
          <cell r="T137">
            <v>0</v>
          </cell>
        </row>
        <row r="138"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8">
          <cell r="T138">
            <v>0</v>
          </cell>
        </row>
        <row r="139"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39">
          <cell r="T139">
            <v>0</v>
          </cell>
        </row>
        <row r="140"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0">
          <cell r="T140">
            <v>0</v>
          </cell>
        </row>
        <row r="141">
          <cell r="O141">
            <v>0</v>
          </cell>
          <cell r="P141">
            <v>0</v>
          </cell>
          <cell r="Q141">
            <v>0</v>
          </cell>
          <cell r="R141">
            <v>0</v>
          </cell>
        </row>
        <row r="141">
          <cell r="T141">
            <v>0</v>
          </cell>
        </row>
        <row r="142">
          <cell r="O142">
            <v>0</v>
          </cell>
          <cell r="P142">
            <v>0</v>
          </cell>
          <cell r="Q142">
            <v>0</v>
          </cell>
          <cell r="R142">
            <v>0</v>
          </cell>
        </row>
        <row r="142">
          <cell r="T142">
            <v>0</v>
          </cell>
        </row>
        <row r="143"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3">
          <cell r="T143">
            <v>0</v>
          </cell>
        </row>
        <row r="144"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4">
          <cell r="T144">
            <v>0</v>
          </cell>
        </row>
        <row r="145">
          <cell r="O145">
            <v>0</v>
          </cell>
          <cell r="P145">
            <v>0</v>
          </cell>
          <cell r="Q145">
            <v>0</v>
          </cell>
          <cell r="R145">
            <v>0</v>
          </cell>
        </row>
        <row r="145">
          <cell r="T145">
            <v>0</v>
          </cell>
        </row>
        <row r="146"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6">
          <cell r="T146">
            <v>0</v>
          </cell>
        </row>
        <row r="147"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7">
          <cell r="T147">
            <v>0</v>
          </cell>
        </row>
        <row r="148"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8">
          <cell r="T148">
            <v>0</v>
          </cell>
        </row>
        <row r="149"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49">
          <cell r="T149">
            <v>0</v>
          </cell>
        </row>
        <row r="150"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0">
          <cell r="T150">
            <v>0</v>
          </cell>
        </row>
        <row r="151"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1">
          <cell r="T151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R152">
            <v>0</v>
          </cell>
        </row>
        <row r="152">
          <cell r="T152">
            <v>0</v>
          </cell>
        </row>
        <row r="153"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3">
          <cell r="T153">
            <v>0</v>
          </cell>
        </row>
        <row r="154"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4">
          <cell r="T154">
            <v>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</row>
        <row r="155">
          <cell r="T155">
            <v>0</v>
          </cell>
        </row>
        <row r="156"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56">
          <cell r="T156">
            <v>0</v>
          </cell>
        </row>
        <row r="157">
          <cell r="O157">
            <v>0</v>
          </cell>
          <cell r="P157">
            <v>0</v>
          </cell>
          <cell r="Q157">
            <v>0</v>
          </cell>
          <cell r="R157">
            <v>0</v>
          </cell>
        </row>
        <row r="157">
          <cell r="T157">
            <v>0</v>
          </cell>
        </row>
        <row r="158">
          <cell r="O158">
            <v>0</v>
          </cell>
          <cell r="P158">
            <v>0</v>
          </cell>
          <cell r="Q158">
            <v>0</v>
          </cell>
          <cell r="R158">
            <v>0</v>
          </cell>
        </row>
        <row r="158">
          <cell r="T158">
            <v>0</v>
          </cell>
        </row>
        <row r="159"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59">
          <cell r="T159">
            <v>0</v>
          </cell>
        </row>
        <row r="160"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0">
          <cell r="T160">
            <v>0</v>
          </cell>
        </row>
        <row r="161"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1">
          <cell r="T161">
            <v>0</v>
          </cell>
        </row>
        <row r="162"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2">
          <cell r="T162">
            <v>0</v>
          </cell>
        </row>
        <row r="163">
          <cell r="O163">
            <v>0</v>
          </cell>
          <cell r="P163">
            <v>0</v>
          </cell>
          <cell r="Q163">
            <v>0</v>
          </cell>
          <cell r="R163">
            <v>0</v>
          </cell>
        </row>
        <row r="163">
          <cell r="T163">
            <v>0</v>
          </cell>
        </row>
        <row r="164">
          <cell r="O164">
            <v>0</v>
          </cell>
          <cell r="P164">
            <v>0</v>
          </cell>
          <cell r="Q164">
            <v>0</v>
          </cell>
          <cell r="R164">
            <v>0</v>
          </cell>
        </row>
        <row r="164">
          <cell r="T164">
            <v>0</v>
          </cell>
        </row>
        <row r="165"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5">
          <cell r="T165">
            <v>0</v>
          </cell>
        </row>
        <row r="166"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6">
          <cell r="T166">
            <v>0</v>
          </cell>
        </row>
        <row r="167"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7">
          <cell r="T167">
            <v>0</v>
          </cell>
        </row>
        <row r="168"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8">
          <cell r="T168">
            <v>0</v>
          </cell>
        </row>
        <row r="169"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69">
          <cell r="T169">
            <v>0</v>
          </cell>
        </row>
        <row r="170"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0">
          <cell r="T170">
            <v>0</v>
          </cell>
        </row>
        <row r="171"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1">
          <cell r="T171">
            <v>0</v>
          </cell>
        </row>
        <row r="172">
          <cell r="O172">
            <v>0</v>
          </cell>
          <cell r="P172">
            <v>0</v>
          </cell>
          <cell r="Q172">
            <v>0</v>
          </cell>
          <cell r="R172">
            <v>0</v>
          </cell>
        </row>
        <row r="172">
          <cell r="T172">
            <v>0</v>
          </cell>
        </row>
        <row r="173">
          <cell r="O173">
            <v>0</v>
          </cell>
          <cell r="P173">
            <v>0</v>
          </cell>
          <cell r="Q173">
            <v>0</v>
          </cell>
          <cell r="R173">
            <v>0</v>
          </cell>
        </row>
        <row r="173">
          <cell r="T173">
            <v>0</v>
          </cell>
        </row>
        <row r="174">
          <cell r="O174">
            <v>0</v>
          </cell>
          <cell r="P174">
            <v>0</v>
          </cell>
          <cell r="Q174">
            <v>0</v>
          </cell>
          <cell r="R174">
            <v>0</v>
          </cell>
        </row>
        <row r="174">
          <cell r="T174">
            <v>0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5">
          <cell r="T175">
            <v>0</v>
          </cell>
        </row>
        <row r="176">
          <cell r="O176">
            <v>0</v>
          </cell>
          <cell r="P176">
            <v>0</v>
          </cell>
          <cell r="Q176">
            <v>0</v>
          </cell>
          <cell r="R176">
            <v>0</v>
          </cell>
        </row>
        <row r="176">
          <cell r="T176">
            <v>0</v>
          </cell>
        </row>
        <row r="177"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7">
          <cell r="T177">
            <v>0</v>
          </cell>
        </row>
        <row r="178"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8">
          <cell r="T178">
            <v>0</v>
          </cell>
        </row>
        <row r="179"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79">
          <cell r="T179">
            <v>0</v>
          </cell>
        </row>
        <row r="180">
          <cell r="O180">
            <v>0</v>
          </cell>
          <cell r="P180">
            <v>0</v>
          </cell>
          <cell r="Q180">
            <v>0</v>
          </cell>
          <cell r="R180">
            <v>0</v>
          </cell>
        </row>
        <row r="180">
          <cell r="T180">
            <v>0</v>
          </cell>
        </row>
        <row r="181"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1">
          <cell r="T181">
            <v>0</v>
          </cell>
        </row>
        <row r="182">
          <cell r="O182">
            <v>0</v>
          </cell>
          <cell r="P182">
            <v>0</v>
          </cell>
          <cell r="Q182">
            <v>0</v>
          </cell>
          <cell r="R182">
            <v>0</v>
          </cell>
        </row>
        <row r="182">
          <cell r="T182">
            <v>0</v>
          </cell>
        </row>
        <row r="183">
          <cell r="O183">
            <v>0</v>
          </cell>
          <cell r="P183">
            <v>0</v>
          </cell>
          <cell r="Q183">
            <v>0</v>
          </cell>
          <cell r="R183">
            <v>0</v>
          </cell>
        </row>
        <row r="183">
          <cell r="T183">
            <v>0</v>
          </cell>
        </row>
        <row r="184"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4">
          <cell r="T184">
            <v>0</v>
          </cell>
        </row>
        <row r="185"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10">
        <row r="3">
          <cell r="T3">
            <v>0</v>
          </cell>
        </row>
        <row r="4">
          <cell r="T4">
            <v>0</v>
          </cell>
        </row>
        <row r="5">
          <cell r="T5">
            <v>0</v>
          </cell>
        </row>
        <row r="6">
          <cell r="T6">
            <v>0</v>
          </cell>
        </row>
        <row r="7">
          <cell r="T7">
            <v>0</v>
          </cell>
        </row>
        <row r="8">
          <cell r="T8">
            <v>0</v>
          </cell>
        </row>
        <row r="9">
          <cell r="T9">
            <v>0</v>
          </cell>
        </row>
        <row r="10">
          <cell r="T10">
            <v>0</v>
          </cell>
        </row>
        <row r="11">
          <cell r="T11">
            <v>0</v>
          </cell>
        </row>
        <row r="12">
          <cell r="T12">
            <v>0</v>
          </cell>
        </row>
        <row r="13">
          <cell r="T13">
            <v>0</v>
          </cell>
        </row>
        <row r="14">
          <cell r="T14">
            <v>0</v>
          </cell>
        </row>
        <row r="15">
          <cell r="T15">
            <v>0</v>
          </cell>
        </row>
        <row r="16">
          <cell r="T16">
            <v>0</v>
          </cell>
        </row>
        <row r="17">
          <cell r="T17">
            <v>0</v>
          </cell>
        </row>
        <row r="18">
          <cell r="T18">
            <v>0</v>
          </cell>
        </row>
        <row r="19">
          <cell r="T19">
            <v>0</v>
          </cell>
        </row>
        <row r="20">
          <cell r="T20">
            <v>0</v>
          </cell>
        </row>
        <row r="21">
          <cell r="T21">
            <v>0</v>
          </cell>
        </row>
        <row r="22">
          <cell r="T22">
            <v>0</v>
          </cell>
        </row>
        <row r="23">
          <cell r="T23">
            <v>0</v>
          </cell>
        </row>
        <row r="24">
          <cell r="T24">
            <v>0</v>
          </cell>
        </row>
        <row r="25">
          <cell r="T25">
            <v>0</v>
          </cell>
        </row>
        <row r="26">
          <cell r="T26">
            <v>0</v>
          </cell>
        </row>
        <row r="27">
          <cell r="T27">
            <v>0</v>
          </cell>
        </row>
        <row r="28">
          <cell r="T28">
            <v>0</v>
          </cell>
        </row>
        <row r="29">
          <cell r="T29">
            <v>0</v>
          </cell>
        </row>
        <row r="30">
          <cell r="T30">
            <v>0</v>
          </cell>
        </row>
        <row r="31">
          <cell r="T31">
            <v>0</v>
          </cell>
        </row>
        <row r="32">
          <cell r="T32">
            <v>0</v>
          </cell>
        </row>
        <row r="33">
          <cell r="T33">
            <v>0</v>
          </cell>
        </row>
        <row r="34">
          <cell r="T34">
            <v>0</v>
          </cell>
        </row>
        <row r="35">
          <cell r="T35">
            <v>0</v>
          </cell>
        </row>
        <row r="36">
          <cell r="T36">
            <v>0</v>
          </cell>
        </row>
        <row r="37">
          <cell r="T37">
            <v>0</v>
          </cell>
        </row>
        <row r="38">
          <cell r="T38">
            <v>0</v>
          </cell>
        </row>
        <row r="39">
          <cell r="T39">
            <v>0</v>
          </cell>
        </row>
        <row r="40">
          <cell r="T40">
            <v>0</v>
          </cell>
        </row>
        <row r="41">
          <cell r="T41">
            <v>0</v>
          </cell>
        </row>
        <row r="42">
          <cell r="T42">
            <v>0</v>
          </cell>
        </row>
        <row r="43">
          <cell r="T43">
            <v>0</v>
          </cell>
        </row>
        <row r="44">
          <cell r="T44">
            <v>0</v>
          </cell>
        </row>
        <row r="45">
          <cell r="T45">
            <v>0</v>
          </cell>
        </row>
        <row r="46">
          <cell r="T46">
            <v>0</v>
          </cell>
        </row>
        <row r="47">
          <cell r="T47">
            <v>0</v>
          </cell>
        </row>
        <row r="48">
          <cell r="T48">
            <v>0</v>
          </cell>
        </row>
        <row r="49">
          <cell r="T49">
            <v>0</v>
          </cell>
        </row>
        <row r="50">
          <cell r="T50">
            <v>0</v>
          </cell>
        </row>
        <row r="51">
          <cell r="T51">
            <v>0</v>
          </cell>
        </row>
        <row r="52">
          <cell r="T52">
            <v>0</v>
          </cell>
        </row>
        <row r="53">
          <cell r="T53">
            <v>0</v>
          </cell>
        </row>
        <row r="54">
          <cell r="T54">
            <v>0</v>
          </cell>
        </row>
        <row r="55">
          <cell r="T55">
            <v>0</v>
          </cell>
        </row>
        <row r="56">
          <cell r="T56">
            <v>0</v>
          </cell>
        </row>
        <row r="57">
          <cell r="T57">
            <v>0</v>
          </cell>
        </row>
        <row r="58">
          <cell r="T58">
            <v>0</v>
          </cell>
        </row>
        <row r="59">
          <cell r="T59">
            <v>0</v>
          </cell>
        </row>
        <row r="60">
          <cell r="T60">
            <v>0</v>
          </cell>
        </row>
        <row r="61">
          <cell r="T61">
            <v>0</v>
          </cell>
        </row>
        <row r="62">
          <cell r="T62">
            <v>0</v>
          </cell>
        </row>
        <row r="63">
          <cell r="T63">
            <v>0</v>
          </cell>
        </row>
        <row r="64">
          <cell r="T64">
            <v>0</v>
          </cell>
        </row>
        <row r="65">
          <cell r="T65">
            <v>0</v>
          </cell>
        </row>
        <row r="66">
          <cell r="T66">
            <v>0</v>
          </cell>
        </row>
        <row r="67">
          <cell r="T67">
            <v>0</v>
          </cell>
        </row>
        <row r="68">
          <cell r="T68">
            <v>0</v>
          </cell>
        </row>
        <row r="69">
          <cell r="T69">
            <v>0</v>
          </cell>
        </row>
        <row r="70">
          <cell r="T70">
            <v>0</v>
          </cell>
        </row>
        <row r="71">
          <cell r="T71">
            <v>0</v>
          </cell>
        </row>
        <row r="72">
          <cell r="T72">
            <v>0</v>
          </cell>
        </row>
        <row r="73">
          <cell r="T73">
            <v>0</v>
          </cell>
        </row>
        <row r="74">
          <cell r="T74">
            <v>0</v>
          </cell>
        </row>
        <row r="75">
          <cell r="T75">
            <v>0</v>
          </cell>
        </row>
        <row r="76">
          <cell r="T76">
            <v>0</v>
          </cell>
        </row>
        <row r="77">
          <cell r="T77">
            <v>0</v>
          </cell>
        </row>
        <row r="78">
          <cell r="T78">
            <v>0</v>
          </cell>
        </row>
        <row r="79">
          <cell r="T79">
            <v>0</v>
          </cell>
        </row>
        <row r="80">
          <cell r="T80">
            <v>0</v>
          </cell>
        </row>
        <row r="81">
          <cell r="T81">
            <v>0</v>
          </cell>
        </row>
        <row r="82">
          <cell r="T82">
            <v>0</v>
          </cell>
        </row>
        <row r="83">
          <cell r="T83">
            <v>0</v>
          </cell>
        </row>
        <row r="84">
          <cell r="T84">
            <v>0</v>
          </cell>
        </row>
        <row r="85">
          <cell r="T85">
            <v>0</v>
          </cell>
        </row>
        <row r="86">
          <cell r="T86">
            <v>0</v>
          </cell>
        </row>
        <row r="87">
          <cell r="T87">
            <v>0</v>
          </cell>
        </row>
        <row r="88">
          <cell r="T88">
            <v>0</v>
          </cell>
        </row>
        <row r="89">
          <cell r="T89">
            <v>0</v>
          </cell>
        </row>
        <row r="90">
          <cell r="T90">
            <v>0</v>
          </cell>
        </row>
        <row r="91">
          <cell r="T91">
            <v>0</v>
          </cell>
        </row>
        <row r="92">
          <cell r="T92">
            <v>0</v>
          </cell>
        </row>
        <row r="93">
          <cell r="T93">
            <v>0</v>
          </cell>
        </row>
        <row r="94">
          <cell r="T94">
            <v>0</v>
          </cell>
        </row>
        <row r="95">
          <cell r="T95">
            <v>0</v>
          </cell>
        </row>
        <row r="96">
          <cell r="T96">
            <v>0</v>
          </cell>
        </row>
        <row r="97">
          <cell r="T97">
            <v>0</v>
          </cell>
        </row>
        <row r="98">
          <cell r="T98">
            <v>0</v>
          </cell>
        </row>
        <row r="99">
          <cell r="T99">
            <v>0</v>
          </cell>
        </row>
        <row r="100">
          <cell r="T100">
            <v>0</v>
          </cell>
        </row>
        <row r="101">
          <cell r="T101">
            <v>0</v>
          </cell>
        </row>
        <row r="102">
          <cell r="T102">
            <v>0</v>
          </cell>
        </row>
        <row r="103">
          <cell r="T103">
            <v>0</v>
          </cell>
        </row>
        <row r="104">
          <cell r="T104">
            <v>0</v>
          </cell>
        </row>
        <row r="105">
          <cell r="T105">
            <v>0</v>
          </cell>
        </row>
        <row r="106">
          <cell r="T106">
            <v>0</v>
          </cell>
        </row>
        <row r="107">
          <cell r="T107">
            <v>0</v>
          </cell>
        </row>
        <row r="108">
          <cell r="T108">
            <v>0</v>
          </cell>
        </row>
        <row r="109">
          <cell r="T109">
            <v>0</v>
          </cell>
        </row>
        <row r="110">
          <cell r="T110">
            <v>0</v>
          </cell>
        </row>
        <row r="111">
          <cell r="T111">
            <v>0</v>
          </cell>
        </row>
        <row r="112">
          <cell r="T112">
            <v>0</v>
          </cell>
        </row>
        <row r="113">
          <cell r="T113">
            <v>0</v>
          </cell>
        </row>
        <row r="114">
          <cell r="T114">
            <v>0</v>
          </cell>
        </row>
        <row r="115">
          <cell r="T115">
            <v>0</v>
          </cell>
        </row>
        <row r="116">
          <cell r="T116">
            <v>0</v>
          </cell>
        </row>
        <row r="117">
          <cell r="T117">
            <v>0</v>
          </cell>
        </row>
        <row r="118">
          <cell r="T118">
            <v>0</v>
          </cell>
        </row>
        <row r="119">
          <cell r="T119">
            <v>0</v>
          </cell>
        </row>
        <row r="120">
          <cell r="T120">
            <v>0</v>
          </cell>
        </row>
        <row r="121">
          <cell r="T121">
            <v>0</v>
          </cell>
        </row>
        <row r="122">
          <cell r="T122">
            <v>0</v>
          </cell>
        </row>
        <row r="123">
          <cell r="T123">
            <v>0</v>
          </cell>
        </row>
        <row r="124">
          <cell r="T124">
            <v>0</v>
          </cell>
        </row>
        <row r="125">
          <cell r="T125">
            <v>0</v>
          </cell>
        </row>
        <row r="126">
          <cell r="T126">
            <v>0</v>
          </cell>
        </row>
        <row r="127">
          <cell r="T127">
            <v>0</v>
          </cell>
        </row>
        <row r="128">
          <cell r="T128">
            <v>0</v>
          </cell>
        </row>
        <row r="129">
          <cell r="T129">
            <v>0</v>
          </cell>
        </row>
        <row r="130">
          <cell r="T130">
            <v>0</v>
          </cell>
        </row>
        <row r="131">
          <cell r="T131">
            <v>0</v>
          </cell>
        </row>
        <row r="132">
          <cell r="T132">
            <v>0</v>
          </cell>
        </row>
        <row r="133">
          <cell r="T133">
            <v>0</v>
          </cell>
        </row>
        <row r="134">
          <cell r="T134">
            <v>0</v>
          </cell>
        </row>
        <row r="135">
          <cell r="T135">
            <v>0</v>
          </cell>
        </row>
        <row r="136">
          <cell r="T136">
            <v>0</v>
          </cell>
        </row>
        <row r="137">
          <cell r="T137">
            <v>0</v>
          </cell>
        </row>
        <row r="138">
          <cell r="T138">
            <v>0</v>
          </cell>
        </row>
        <row r="139">
          <cell r="T139">
            <v>0</v>
          </cell>
        </row>
        <row r="140">
          <cell r="T140">
            <v>0</v>
          </cell>
        </row>
        <row r="141">
          <cell r="T141">
            <v>0</v>
          </cell>
        </row>
        <row r="142">
          <cell r="T142">
            <v>0</v>
          </cell>
        </row>
        <row r="143">
          <cell r="T143">
            <v>0</v>
          </cell>
        </row>
        <row r="144">
          <cell r="T144">
            <v>0</v>
          </cell>
        </row>
        <row r="145">
          <cell r="T145">
            <v>0</v>
          </cell>
        </row>
        <row r="146">
          <cell r="T146">
            <v>0</v>
          </cell>
        </row>
        <row r="147">
          <cell r="T147">
            <v>0</v>
          </cell>
        </row>
        <row r="148">
          <cell r="T148">
            <v>0</v>
          </cell>
        </row>
        <row r="149">
          <cell r="T149">
            <v>0</v>
          </cell>
        </row>
        <row r="150">
          <cell r="T150">
            <v>0</v>
          </cell>
        </row>
        <row r="151">
          <cell r="T151">
            <v>0</v>
          </cell>
        </row>
        <row r="152">
          <cell r="T152">
            <v>0</v>
          </cell>
        </row>
        <row r="153">
          <cell r="T153">
            <v>0</v>
          </cell>
        </row>
        <row r="154">
          <cell r="T154">
            <v>0</v>
          </cell>
        </row>
        <row r="155">
          <cell r="T155">
            <v>0</v>
          </cell>
        </row>
        <row r="156">
          <cell r="T156">
            <v>0</v>
          </cell>
        </row>
        <row r="157">
          <cell r="T157">
            <v>0</v>
          </cell>
        </row>
        <row r="158">
          <cell r="T158">
            <v>0</v>
          </cell>
        </row>
        <row r="159">
          <cell r="T159">
            <v>0</v>
          </cell>
        </row>
        <row r="160">
          <cell r="T160">
            <v>0</v>
          </cell>
        </row>
        <row r="161">
          <cell r="T161">
            <v>0</v>
          </cell>
        </row>
        <row r="162">
          <cell r="T162">
            <v>0</v>
          </cell>
        </row>
        <row r="163">
          <cell r="T163">
            <v>0</v>
          </cell>
        </row>
        <row r="164">
          <cell r="T164">
            <v>0</v>
          </cell>
        </row>
        <row r="165">
          <cell r="T165">
            <v>0</v>
          </cell>
        </row>
        <row r="166">
          <cell r="T166">
            <v>0</v>
          </cell>
        </row>
        <row r="167">
          <cell r="T167">
            <v>0</v>
          </cell>
        </row>
        <row r="168">
          <cell r="T168">
            <v>0</v>
          </cell>
        </row>
        <row r="169">
          <cell r="T169">
            <v>0</v>
          </cell>
        </row>
        <row r="170">
          <cell r="T170">
            <v>0</v>
          </cell>
        </row>
        <row r="171">
          <cell r="T171">
            <v>0</v>
          </cell>
        </row>
        <row r="172">
          <cell r="T172">
            <v>0</v>
          </cell>
        </row>
        <row r="173">
          <cell r="T173">
            <v>0</v>
          </cell>
        </row>
        <row r="174">
          <cell r="T174">
            <v>0</v>
          </cell>
        </row>
        <row r="175">
          <cell r="T175">
            <v>0</v>
          </cell>
        </row>
        <row r="176">
          <cell r="T176">
            <v>0</v>
          </cell>
        </row>
        <row r="177">
          <cell r="T177">
            <v>0</v>
          </cell>
        </row>
        <row r="178">
          <cell r="T178">
            <v>0</v>
          </cell>
        </row>
        <row r="179">
          <cell r="T179">
            <v>0</v>
          </cell>
        </row>
        <row r="180">
          <cell r="T180">
            <v>0</v>
          </cell>
        </row>
        <row r="181">
          <cell r="T181">
            <v>0</v>
          </cell>
        </row>
        <row r="182">
          <cell r="T182">
            <v>0</v>
          </cell>
        </row>
        <row r="183">
          <cell r="T183">
            <v>0</v>
          </cell>
        </row>
        <row r="184">
          <cell r="T184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11"/>
      <sheetData sheetId="12"/>
      <sheetData sheetId="13">
        <row r="3">
          <cell r="S3">
            <v>0</v>
          </cell>
        </row>
        <row r="4">
          <cell r="S4">
            <v>0</v>
          </cell>
        </row>
        <row r="5">
          <cell r="S5">
            <v>0</v>
          </cell>
        </row>
        <row r="6">
          <cell r="S6">
            <v>0</v>
          </cell>
        </row>
        <row r="7">
          <cell r="S7">
            <v>0</v>
          </cell>
        </row>
        <row r="8">
          <cell r="S8">
            <v>0</v>
          </cell>
        </row>
        <row r="9">
          <cell r="S9">
            <v>0</v>
          </cell>
        </row>
        <row r="10">
          <cell r="S10">
            <v>0</v>
          </cell>
        </row>
        <row r="11">
          <cell r="S11">
            <v>0</v>
          </cell>
        </row>
        <row r="12">
          <cell r="S12">
            <v>0</v>
          </cell>
        </row>
        <row r="13">
          <cell r="S13">
            <v>0</v>
          </cell>
        </row>
        <row r="14">
          <cell r="S14">
            <v>0</v>
          </cell>
        </row>
        <row r="15">
          <cell r="S15">
            <v>0</v>
          </cell>
        </row>
        <row r="16">
          <cell r="S16">
            <v>0</v>
          </cell>
        </row>
        <row r="17">
          <cell r="S17">
            <v>0</v>
          </cell>
        </row>
        <row r="18">
          <cell r="S18">
            <v>0</v>
          </cell>
        </row>
        <row r="19">
          <cell r="S19">
            <v>0</v>
          </cell>
        </row>
        <row r="20">
          <cell r="S20">
            <v>0</v>
          </cell>
        </row>
        <row r="21">
          <cell r="S21">
            <v>0</v>
          </cell>
        </row>
        <row r="22">
          <cell r="S22">
            <v>0</v>
          </cell>
        </row>
        <row r="23">
          <cell r="S23">
            <v>0</v>
          </cell>
        </row>
        <row r="24">
          <cell r="S24">
            <v>0</v>
          </cell>
        </row>
        <row r="25">
          <cell r="S25">
            <v>0</v>
          </cell>
        </row>
        <row r="26">
          <cell r="S26">
            <v>0</v>
          </cell>
        </row>
        <row r="27">
          <cell r="S27">
            <v>0</v>
          </cell>
        </row>
        <row r="28">
          <cell r="S28">
            <v>0</v>
          </cell>
        </row>
        <row r="29">
          <cell r="S29">
            <v>0</v>
          </cell>
        </row>
        <row r="30">
          <cell r="S30">
            <v>0</v>
          </cell>
        </row>
        <row r="31">
          <cell r="S31">
            <v>0</v>
          </cell>
        </row>
        <row r="32">
          <cell r="S32">
            <v>0</v>
          </cell>
        </row>
        <row r="33">
          <cell r="S33">
            <v>0</v>
          </cell>
        </row>
        <row r="34">
          <cell r="S34">
            <v>0</v>
          </cell>
        </row>
        <row r="35">
          <cell r="S35">
            <v>0</v>
          </cell>
        </row>
        <row r="36">
          <cell r="S36">
            <v>0</v>
          </cell>
        </row>
        <row r="37">
          <cell r="S37">
            <v>-8660.22797228254</v>
          </cell>
        </row>
        <row r="38">
          <cell r="S38">
            <v>-7851.88656462232</v>
          </cell>
        </row>
        <row r="39">
          <cell r="S39">
            <v>-4109.90082749241</v>
          </cell>
        </row>
        <row r="40">
          <cell r="S40">
            <v>-4293.01365200726</v>
          </cell>
        </row>
        <row r="41">
          <cell r="S41">
            <v>0</v>
          </cell>
        </row>
        <row r="42">
          <cell r="S42">
            <v>-5818.17517089844</v>
          </cell>
        </row>
        <row r="43">
          <cell r="S43">
            <v>-17011.126953125</v>
          </cell>
        </row>
        <row r="44">
          <cell r="S44">
            <v>-16954.423828125</v>
          </cell>
        </row>
        <row r="45">
          <cell r="S45">
            <v>0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0</v>
          </cell>
        </row>
        <row r="50">
          <cell r="S50">
            <v>0</v>
          </cell>
        </row>
        <row r="51">
          <cell r="S51">
            <v>0</v>
          </cell>
        </row>
        <row r="52">
          <cell r="S52">
            <v>0</v>
          </cell>
        </row>
        <row r="53">
          <cell r="S53">
            <v>0</v>
          </cell>
        </row>
        <row r="54">
          <cell r="S54">
            <v>0</v>
          </cell>
        </row>
        <row r="55">
          <cell r="S55">
            <v>0</v>
          </cell>
        </row>
        <row r="56">
          <cell r="S56">
            <v>0</v>
          </cell>
        </row>
        <row r="57">
          <cell r="S57">
            <v>0</v>
          </cell>
        </row>
        <row r="58">
          <cell r="S58">
            <v>0</v>
          </cell>
        </row>
        <row r="59">
          <cell r="S59">
            <v>0</v>
          </cell>
        </row>
        <row r="60">
          <cell r="S60">
            <v>0</v>
          </cell>
        </row>
        <row r="61">
          <cell r="S61">
            <v>0</v>
          </cell>
        </row>
        <row r="62">
          <cell r="S62">
            <v>0</v>
          </cell>
        </row>
        <row r="63">
          <cell r="S63">
            <v>0</v>
          </cell>
        </row>
        <row r="64">
          <cell r="S64">
            <v>0</v>
          </cell>
        </row>
        <row r="65">
          <cell r="S65">
            <v>0</v>
          </cell>
        </row>
        <row r="66">
          <cell r="S66">
            <v>0</v>
          </cell>
        </row>
        <row r="67">
          <cell r="S67">
            <v>0</v>
          </cell>
        </row>
        <row r="68">
          <cell r="S68">
            <v>0</v>
          </cell>
        </row>
        <row r="69">
          <cell r="S69">
            <v>0</v>
          </cell>
        </row>
        <row r="70">
          <cell r="S70">
            <v>0</v>
          </cell>
        </row>
        <row r="71">
          <cell r="S71">
            <v>0</v>
          </cell>
        </row>
        <row r="72">
          <cell r="S72">
            <v>0</v>
          </cell>
        </row>
        <row r="73">
          <cell r="S73">
            <v>0</v>
          </cell>
        </row>
        <row r="74">
          <cell r="S74">
            <v>0</v>
          </cell>
        </row>
        <row r="75">
          <cell r="S75">
            <v>0</v>
          </cell>
        </row>
        <row r="76">
          <cell r="S76">
            <v>0</v>
          </cell>
        </row>
        <row r="77">
          <cell r="S77">
            <v>0</v>
          </cell>
        </row>
        <row r="78">
          <cell r="S78">
            <v>0</v>
          </cell>
        </row>
        <row r="79">
          <cell r="S79">
            <v>0</v>
          </cell>
        </row>
        <row r="80">
          <cell r="S80">
            <v>0</v>
          </cell>
        </row>
        <row r="81">
          <cell r="S81">
            <v>0</v>
          </cell>
        </row>
        <row r="82">
          <cell r="S82">
            <v>0</v>
          </cell>
        </row>
        <row r="83">
          <cell r="S83">
            <v>0</v>
          </cell>
        </row>
        <row r="84">
          <cell r="S84">
            <v>0</v>
          </cell>
        </row>
        <row r="85">
          <cell r="S85">
            <v>0</v>
          </cell>
        </row>
        <row r="86">
          <cell r="S86">
            <v>0</v>
          </cell>
        </row>
        <row r="87">
          <cell r="S87">
            <v>0</v>
          </cell>
        </row>
        <row r="88">
          <cell r="S88">
            <v>0</v>
          </cell>
        </row>
        <row r="89">
          <cell r="S89">
            <v>0</v>
          </cell>
        </row>
        <row r="90">
          <cell r="S90">
            <v>0</v>
          </cell>
        </row>
        <row r="91">
          <cell r="S91">
            <v>0</v>
          </cell>
        </row>
        <row r="92">
          <cell r="S92">
            <v>0</v>
          </cell>
        </row>
        <row r="93">
          <cell r="S93">
            <v>0</v>
          </cell>
        </row>
        <row r="94">
          <cell r="S94">
            <v>0</v>
          </cell>
        </row>
        <row r="95">
          <cell r="S95">
            <v>0</v>
          </cell>
        </row>
        <row r="96">
          <cell r="S96">
            <v>0</v>
          </cell>
        </row>
        <row r="97">
          <cell r="S97">
            <v>0</v>
          </cell>
        </row>
        <row r="98">
          <cell r="S98">
            <v>0</v>
          </cell>
        </row>
        <row r="99">
          <cell r="S99">
            <v>0</v>
          </cell>
        </row>
        <row r="100">
          <cell r="S100">
            <v>0</v>
          </cell>
        </row>
        <row r="101">
          <cell r="S101">
            <v>0</v>
          </cell>
        </row>
        <row r="102">
          <cell r="S102">
            <v>0</v>
          </cell>
        </row>
        <row r="103">
          <cell r="S103">
            <v>0</v>
          </cell>
        </row>
        <row r="104">
          <cell r="S104">
            <v>0</v>
          </cell>
        </row>
        <row r="105">
          <cell r="S105">
            <v>0</v>
          </cell>
        </row>
        <row r="106">
          <cell r="S106">
            <v>0</v>
          </cell>
        </row>
        <row r="107">
          <cell r="S107">
            <v>0</v>
          </cell>
        </row>
        <row r="108">
          <cell r="S108">
            <v>0</v>
          </cell>
        </row>
        <row r="109">
          <cell r="S109">
            <v>0</v>
          </cell>
        </row>
        <row r="110">
          <cell r="S110">
            <v>0</v>
          </cell>
        </row>
        <row r="111">
          <cell r="S111">
            <v>0</v>
          </cell>
        </row>
        <row r="112">
          <cell r="S112">
            <v>0</v>
          </cell>
        </row>
        <row r="113">
          <cell r="S113">
            <v>0</v>
          </cell>
        </row>
        <row r="114">
          <cell r="S114">
            <v>0</v>
          </cell>
        </row>
        <row r="115">
          <cell r="S115">
            <v>0</v>
          </cell>
        </row>
        <row r="116">
          <cell r="S116">
            <v>0</v>
          </cell>
        </row>
        <row r="117">
          <cell r="S117">
            <v>0</v>
          </cell>
        </row>
        <row r="118">
          <cell r="S118">
            <v>0</v>
          </cell>
        </row>
        <row r="119">
          <cell r="S119">
            <v>0</v>
          </cell>
        </row>
        <row r="120">
          <cell r="S120">
            <v>0</v>
          </cell>
        </row>
        <row r="121">
          <cell r="S121">
            <v>0</v>
          </cell>
        </row>
        <row r="122">
          <cell r="S122">
            <v>0</v>
          </cell>
        </row>
        <row r="123">
          <cell r="S123">
            <v>0</v>
          </cell>
        </row>
        <row r="124">
          <cell r="S124">
            <v>0</v>
          </cell>
        </row>
        <row r="125">
          <cell r="S125">
            <v>0</v>
          </cell>
        </row>
        <row r="126">
          <cell r="S126">
            <v>0</v>
          </cell>
        </row>
        <row r="127">
          <cell r="S127">
            <v>0</v>
          </cell>
        </row>
        <row r="128">
          <cell r="S128">
            <v>0</v>
          </cell>
        </row>
        <row r="129">
          <cell r="S129">
            <v>0</v>
          </cell>
        </row>
        <row r="130">
          <cell r="S130">
            <v>0</v>
          </cell>
        </row>
        <row r="131">
          <cell r="S131">
            <v>0</v>
          </cell>
        </row>
        <row r="132">
          <cell r="S132">
            <v>0</v>
          </cell>
        </row>
        <row r="133">
          <cell r="S133">
            <v>0</v>
          </cell>
        </row>
        <row r="134">
          <cell r="S134">
            <v>0</v>
          </cell>
        </row>
        <row r="135">
          <cell r="S135">
            <v>0</v>
          </cell>
        </row>
        <row r="136">
          <cell r="S136">
            <v>0</v>
          </cell>
        </row>
        <row r="137">
          <cell r="S137">
            <v>0</v>
          </cell>
        </row>
        <row r="138">
          <cell r="S138">
            <v>0</v>
          </cell>
        </row>
        <row r="139">
          <cell r="S139">
            <v>0</v>
          </cell>
        </row>
        <row r="140">
          <cell r="S140">
            <v>0</v>
          </cell>
        </row>
        <row r="141">
          <cell r="S141">
            <v>0</v>
          </cell>
        </row>
        <row r="142">
          <cell r="S142">
            <v>0</v>
          </cell>
        </row>
        <row r="143">
          <cell r="S143">
            <v>0</v>
          </cell>
        </row>
        <row r="144">
          <cell r="S144">
            <v>0</v>
          </cell>
        </row>
        <row r="145">
          <cell r="S145">
            <v>0</v>
          </cell>
        </row>
        <row r="146">
          <cell r="S146">
            <v>0</v>
          </cell>
        </row>
        <row r="147">
          <cell r="S147">
            <v>0</v>
          </cell>
        </row>
        <row r="148">
          <cell r="S148">
            <v>0</v>
          </cell>
        </row>
        <row r="149">
          <cell r="S149">
            <v>0</v>
          </cell>
        </row>
        <row r="150">
          <cell r="S150">
            <v>0</v>
          </cell>
        </row>
        <row r="151">
          <cell r="S151">
            <v>0</v>
          </cell>
        </row>
        <row r="152">
          <cell r="S152">
            <v>0</v>
          </cell>
        </row>
        <row r="153">
          <cell r="S153">
            <v>0</v>
          </cell>
        </row>
        <row r="154">
          <cell r="S154">
            <v>0</v>
          </cell>
        </row>
        <row r="155">
          <cell r="S155">
            <v>0</v>
          </cell>
        </row>
        <row r="156">
          <cell r="S156">
            <v>0</v>
          </cell>
        </row>
        <row r="157">
          <cell r="S157">
            <v>0</v>
          </cell>
        </row>
        <row r="158">
          <cell r="S158">
            <v>0</v>
          </cell>
        </row>
        <row r="159">
          <cell r="S159">
            <v>0</v>
          </cell>
        </row>
        <row r="160">
          <cell r="S160">
            <v>0</v>
          </cell>
        </row>
        <row r="161">
          <cell r="S161">
            <v>0</v>
          </cell>
        </row>
        <row r="162">
          <cell r="S162">
            <v>0</v>
          </cell>
        </row>
        <row r="163">
          <cell r="S163">
            <v>0</v>
          </cell>
        </row>
        <row r="164">
          <cell r="S164">
            <v>0</v>
          </cell>
        </row>
        <row r="165">
          <cell r="S165">
            <v>0</v>
          </cell>
        </row>
        <row r="166">
          <cell r="S166">
            <v>0</v>
          </cell>
        </row>
        <row r="167">
          <cell r="S167">
            <v>0</v>
          </cell>
        </row>
        <row r="168">
          <cell r="S168">
            <v>0</v>
          </cell>
        </row>
        <row r="169">
          <cell r="S169">
            <v>0</v>
          </cell>
        </row>
        <row r="170">
          <cell r="S170">
            <v>0</v>
          </cell>
        </row>
        <row r="171">
          <cell r="S171">
            <v>0</v>
          </cell>
        </row>
        <row r="172">
          <cell r="S172">
            <v>0</v>
          </cell>
        </row>
        <row r="173">
          <cell r="S173">
            <v>0</v>
          </cell>
        </row>
        <row r="174">
          <cell r="S174">
            <v>0</v>
          </cell>
        </row>
        <row r="175">
          <cell r="S175">
            <v>0</v>
          </cell>
        </row>
        <row r="176">
          <cell r="S176">
            <v>0</v>
          </cell>
        </row>
        <row r="177">
          <cell r="S177">
            <v>0</v>
          </cell>
        </row>
        <row r="178">
          <cell r="S178">
            <v>0</v>
          </cell>
        </row>
        <row r="179">
          <cell r="S179">
            <v>0</v>
          </cell>
        </row>
        <row r="180">
          <cell r="S180">
            <v>0</v>
          </cell>
        </row>
        <row r="181">
          <cell r="S181">
            <v>0</v>
          </cell>
        </row>
        <row r="182">
          <cell r="S182">
            <v>0</v>
          </cell>
        </row>
        <row r="183">
          <cell r="S183">
            <v>0</v>
          </cell>
        </row>
        <row r="184">
          <cell r="S184">
            <v>0</v>
          </cell>
        </row>
        <row r="185">
          <cell r="S185">
            <v>0</v>
          </cell>
        </row>
        <row r="186">
          <cell r="S186">
            <v>0</v>
          </cell>
        </row>
        <row r="187">
          <cell r="S187">
            <v>0</v>
          </cell>
        </row>
        <row r="188">
          <cell r="S188">
            <v>0</v>
          </cell>
        </row>
        <row r="189">
          <cell r="S189">
            <v>0</v>
          </cell>
        </row>
        <row r="190">
          <cell r="S190">
            <v>0</v>
          </cell>
        </row>
        <row r="191">
          <cell r="S191">
            <v>0</v>
          </cell>
        </row>
        <row r="192">
          <cell r="S192">
            <v>0</v>
          </cell>
        </row>
        <row r="193">
          <cell r="S193">
            <v>0</v>
          </cell>
        </row>
        <row r="194">
          <cell r="S194">
            <v>0</v>
          </cell>
        </row>
        <row r="195">
          <cell r="S195">
            <v>0</v>
          </cell>
        </row>
        <row r="196">
          <cell r="S196">
            <v>0</v>
          </cell>
        </row>
        <row r="197">
          <cell r="S197">
            <v>0</v>
          </cell>
        </row>
        <row r="198">
          <cell r="S198">
            <v>0</v>
          </cell>
        </row>
        <row r="199">
          <cell r="S199">
            <v>0</v>
          </cell>
        </row>
        <row r="200">
          <cell r="S200">
            <v>0</v>
          </cell>
        </row>
        <row r="201">
          <cell r="S201">
            <v>0</v>
          </cell>
        </row>
        <row r="202">
          <cell r="S202">
            <v>0</v>
          </cell>
        </row>
        <row r="203">
          <cell r="S203">
            <v>0</v>
          </cell>
        </row>
        <row r="204">
          <cell r="S204">
            <v>0</v>
          </cell>
        </row>
        <row r="205">
          <cell r="S205">
            <v>0</v>
          </cell>
        </row>
        <row r="206">
          <cell r="S206">
            <v>0</v>
          </cell>
        </row>
        <row r="207">
          <cell r="S207">
            <v>0</v>
          </cell>
        </row>
        <row r="208">
          <cell r="S208">
            <v>0</v>
          </cell>
        </row>
        <row r="209">
          <cell r="S209">
            <v>0</v>
          </cell>
        </row>
        <row r="210">
          <cell r="S210">
            <v>0</v>
          </cell>
        </row>
        <row r="211">
          <cell r="S211">
            <v>0</v>
          </cell>
        </row>
        <row r="212">
          <cell r="S212">
            <v>0</v>
          </cell>
        </row>
        <row r="213">
          <cell r="S213">
            <v>0</v>
          </cell>
        </row>
        <row r="214">
          <cell r="S214">
            <v>0</v>
          </cell>
        </row>
        <row r="215">
          <cell r="S215">
            <v>0</v>
          </cell>
        </row>
        <row r="216">
          <cell r="S216">
            <v>0</v>
          </cell>
        </row>
        <row r="217">
          <cell r="S217">
            <v>0</v>
          </cell>
        </row>
        <row r="218">
          <cell r="S218">
            <v>0</v>
          </cell>
        </row>
        <row r="219">
          <cell r="S219">
            <v>0</v>
          </cell>
        </row>
        <row r="220">
          <cell r="S220">
            <v>0</v>
          </cell>
        </row>
        <row r="221">
          <cell r="S221">
            <v>0</v>
          </cell>
        </row>
        <row r="222">
          <cell r="S222">
            <v>0</v>
          </cell>
        </row>
        <row r="223">
          <cell r="S223">
            <v>0</v>
          </cell>
        </row>
        <row r="224">
          <cell r="S224">
            <v>0</v>
          </cell>
        </row>
        <row r="225">
          <cell r="S225">
            <v>0</v>
          </cell>
        </row>
        <row r="226">
          <cell r="S226">
            <v>0</v>
          </cell>
        </row>
        <row r="227">
          <cell r="S227">
            <v>0</v>
          </cell>
        </row>
        <row r="228">
          <cell r="S228">
            <v>0</v>
          </cell>
        </row>
        <row r="229">
          <cell r="S229">
            <v>0</v>
          </cell>
        </row>
        <row r="230">
          <cell r="S230">
            <v>0</v>
          </cell>
        </row>
        <row r="231">
          <cell r="S231">
            <v>0</v>
          </cell>
        </row>
        <row r="232">
          <cell r="S232">
            <v>0</v>
          </cell>
        </row>
        <row r="233">
          <cell r="S233">
            <v>0</v>
          </cell>
        </row>
        <row r="234">
          <cell r="S234">
            <v>0</v>
          </cell>
        </row>
        <row r="235">
          <cell r="S235">
            <v>0</v>
          </cell>
        </row>
        <row r="236">
          <cell r="S236">
            <v>0</v>
          </cell>
        </row>
        <row r="237">
          <cell r="S237">
            <v>0</v>
          </cell>
        </row>
        <row r="238">
          <cell r="S238">
            <v>0</v>
          </cell>
        </row>
        <row r="239">
          <cell r="S239">
            <v>0</v>
          </cell>
        </row>
        <row r="240">
          <cell r="S240">
            <v>0</v>
          </cell>
        </row>
        <row r="241">
          <cell r="S241">
            <v>0</v>
          </cell>
        </row>
        <row r="242">
          <cell r="S242">
            <v>0</v>
          </cell>
        </row>
        <row r="243">
          <cell r="S243">
            <v>0</v>
          </cell>
        </row>
        <row r="244">
          <cell r="S244">
            <v>0</v>
          </cell>
        </row>
        <row r="245">
          <cell r="S245">
            <v>0</v>
          </cell>
        </row>
        <row r="246">
          <cell r="S246">
            <v>0</v>
          </cell>
        </row>
        <row r="247">
          <cell r="S247">
            <v>0</v>
          </cell>
        </row>
        <row r="248">
          <cell r="S248">
            <v>0</v>
          </cell>
        </row>
        <row r="249">
          <cell r="S249">
            <v>0</v>
          </cell>
        </row>
        <row r="250">
          <cell r="S250">
            <v>0</v>
          </cell>
        </row>
        <row r="251">
          <cell r="S251">
            <v>0</v>
          </cell>
        </row>
        <row r="252">
          <cell r="S252">
            <v>0</v>
          </cell>
        </row>
        <row r="253">
          <cell r="S253">
            <v>0</v>
          </cell>
        </row>
        <row r="254">
          <cell r="S254">
            <v>0</v>
          </cell>
        </row>
        <row r="255">
          <cell r="S255">
            <v>0</v>
          </cell>
        </row>
      </sheetData>
      <sheetData sheetId="14">
        <row r="3">
          <cell r="S3">
            <v>0</v>
          </cell>
        </row>
        <row r="4">
          <cell r="S4">
            <v>0</v>
          </cell>
        </row>
        <row r="5">
          <cell r="S5">
            <v>0</v>
          </cell>
        </row>
        <row r="6">
          <cell r="S6">
            <v>0</v>
          </cell>
        </row>
        <row r="7">
          <cell r="S7">
            <v>0</v>
          </cell>
        </row>
        <row r="8">
          <cell r="S8">
            <v>0</v>
          </cell>
        </row>
        <row r="9">
          <cell r="S9">
            <v>0</v>
          </cell>
        </row>
        <row r="10">
          <cell r="S10">
            <v>0</v>
          </cell>
        </row>
        <row r="11">
          <cell r="S11">
            <v>0</v>
          </cell>
        </row>
        <row r="12">
          <cell r="S12">
            <v>0</v>
          </cell>
        </row>
        <row r="13">
          <cell r="S13">
            <v>0</v>
          </cell>
        </row>
        <row r="14">
          <cell r="S14">
            <v>0</v>
          </cell>
        </row>
        <row r="15">
          <cell r="S15">
            <v>0</v>
          </cell>
        </row>
        <row r="16">
          <cell r="S16">
            <v>0</v>
          </cell>
        </row>
        <row r="17">
          <cell r="S17">
            <v>0</v>
          </cell>
        </row>
        <row r="18">
          <cell r="S18">
            <v>0</v>
          </cell>
        </row>
        <row r="19">
          <cell r="S19">
            <v>0</v>
          </cell>
        </row>
        <row r="20">
          <cell r="S20">
            <v>0</v>
          </cell>
        </row>
        <row r="21">
          <cell r="S21">
            <v>0</v>
          </cell>
        </row>
        <row r="22">
          <cell r="S22">
            <v>0</v>
          </cell>
        </row>
        <row r="23">
          <cell r="S23">
            <v>0</v>
          </cell>
        </row>
        <row r="24">
          <cell r="S24">
            <v>0</v>
          </cell>
        </row>
        <row r="25">
          <cell r="S25">
            <v>0</v>
          </cell>
        </row>
        <row r="26">
          <cell r="S26">
            <v>0</v>
          </cell>
        </row>
        <row r="27">
          <cell r="S27">
            <v>0</v>
          </cell>
        </row>
        <row r="28">
          <cell r="S28">
            <v>0</v>
          </cell>
        </row>
        <row r="29">
          <cell r="S29">
            <v>0</v>
          </cell>
        </row>
        <row r="30">
          <cell r="S30">
            <v>0</v>
          </cell>
        </row>
        <row r="31">
          <cell r="S31">
            <v>0</v>
          </cell>
        </row>
        <row r="32">
          <cell r="S32">
            <v>0</v>
          </cell>
        </row>
        <row r="33">
          <cell r="S33">
            <v>0</v>
          </cell>
        </row>
        <row r="34">
          <cell r="S34">
            <v>0</v>
          </cell>
        </row>
        <row r="35">
          <cell r="S35">
            <v>0</v>
          </cell>
        </row>
        <row r="36">
          <cell r="S36">
            <v>0</v>
          </cell>
        </row>
        <row r="37">
          <cell r="S37">
            <v>0</v>
          </cell>
        </row>
        <row r="38">
          <cell r="S38">
            <v>0</v>
          </cell>
        </row>
        <row r="39">
          <cell r="S39">
            <v>0</v>
          </cell>
        </row>
        <row r="40">
          <cell r="S40">
            <v>0</v>
          </cell>
        </row>
        <row r="41">
          <cell r="S41">
            <v>0</v>
          </cell>
        </row>
        <row r="42">
          <cell r="S42">
            <v>0</v>
          </cell>
        </row>
        <row r="43">
          <cell r="S43">
            <v>0</v>
          </cell>
        </row>
        <row r="44">
          <cell r="S44">
            <v>0</v>
          </cell>
        </row>
        <row r="45">
          <cell r="S45">
            <v>0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0</v>
          </cell>
        </row>
        <row r="50">
          <cell r="S50">
            <v>0</v>
          </cell>
        </row>
        <row r="51">
          <cell r="S51">
            <v>0</v>
          </cell>
        </row>
        <row r="52">
          <cell r="S52">
            <v>0</v>
          </cell>
        </row>
        <row r="53">
          <cell r="S53">
            <v>0</v>
          </cell>
        </row>
        <row r="54">
          <cell r="S54">
            <v>0</v>
          </cell>
        </row>
        <row r="55">
          <cell r="S55">
            <v>0</v>
          </cell>
        </row>
        <row r="56">
          <cell r="S56">
            <v>0</v>
          </cell>
        </row>
        <row r="57">
          <cell r="S57">
            <v>0</v>
          </cell>
        </row>
        <row r="58">
          <cell r="S58">
            <v>0</v>
          </cell>
        </row>
        <row r="59">
          <cell r="S59">
            <v>0</v>
          </cell>
        </row>
        <row r="60">
          <cell r="S60">
            <v>0</v>
          </cell>
        </row>
        <row r="61">
          <cell r="S61">
            <v>0</v>
          </cell>
        </row>
        <row r="62">
          <cell r="S62">
            <v>0</v>
          </cell>
        </row>
        <row r="63">
          <cell r="S63">
            <v>0</v>
          </cell>
        </row>
        <row r="64">
          <cell r="S64">
            <v>0</v>
          </cell>
        </row>
        <row r="65">
          <cell r="S65">
            <v>0</v>
          </cell>
        </row>
        <row r="66">
          <cell r="S66">
            <v>0</v>
          </cell>
        </row>
        <row r="67">
          <cell r="S67">
            <v>0</v>
          </cell>
        </row>
        <row r="68">
          <cell r="S68">
            <v>0</v>
          </cell>
        </row>
        <row r="69">
          <cell r="S69">
            <v>0</v>
          </cell>
        </row>
        <row r="70">
          <cell r="S70">
            <v>0</v>
          </cell>
        </row>
        <row r="71">
          <cell r="S71">
            <v>0</v>
          </cell>
        </row>
        <row r="72">
          <cell r="S72">
            <v>0</v>
          </cell>
        </row>
        <row r="73">
          <cell r="S73">
            <v>0</v>
          </cell>
        </row>
        <row r="74">
          <cell r="S74">
            <v>0</v>
          </cell>
        </row>
        <row r="75">
          <cell r="S75">
            <v>0</v>
          </cell>
        </row>
        <row r="76">
          <cell r="S76">
            <v>0</v>
          </cell>
        </row>
        <row r="77">
          <cell r="S77">
            <v>0</v>
          </cell>
        </row>
        <row r="78">
          <cell r="S78">
            <v>0</v>
          </cell>
        </row>
        <row r="79">
          <cell r="S79">
            <v>0</v>
          </cell>
        </row>
        <row r="80">
          <cell r="S80">
            <v>0</v>
          </cell>
        </row>
        <row r="81">
          <cell r="S81">
            <v>0</v>
          </cell>
        </row>
        <row r="82">
          <cell r="S82">
            <v>0</v>
          </cell>
        </row>
        <row r="83">
          <cell r="S83">
            <v>0</v>
          </cell>
        </row>
        <row r="84">
          <cell r="S84">
            <v>0</v>
          </cell>
        </row>
        <row r="85">
          <cell r="S85">
            <v>0</v>
          </cell>
        </row>
        <row r="86">
          <cell r="S86">
            <v>0</v>
          </cell>
        </row>
        <row r="87">
          <cell r="S87">
            <v>0</v>
          </cell>
        </row>
        <row r="88">
          <cell r="S88">
            <v>0</v>
          </cell>
        </row>
        <row r="89">
          <cell r="S89">
            <v>0</v>
          </cell>
        </row>
        <row r="90">
          <cell r="S90">
            <v>0</v>
          </cell>
        </row>
        <row r="91">
          <cell r="S91">
            <v>0</v>
          </cell>
        </row>
        <row r="92">
          <cell r="S92">
            <v>0</v>
          </cell>
        </row>
        <row r="93">
          <cell r="S93">
            <v>0</v>
          </cell>
        </row>
        <row r="94">
          <cell r="S94">
            <v>0</v>
          </cell>
        </row>
        <row r="95">
          <cell r="S95">
            <v>0</v>
          </cell>
        </row>
        <row r="96">
          <cell r="S96">
            <v>0</v>
          </cell>
        </row>
        <row r="97">
          <cell r="S97">
            <v>0</v>
          </cell>
        </row>
        <row r="98">
          <cell r="S98">
            <v>0</v>
          </cell>
        </row>
        <row r="99">
          <cell r="S99">
            <v>0</v>
          </cell>
        </row>
        <row r="100">
          <cell r="S100">
            <v>0</v>
          </cell>
        </row>
        <row r="101">
          <cell r="S101">
            <v>0</v>
          </cell>
        </row>
        <row r="102">
          <cell r="S102">
            <v>0</v>
          </cell>
        </row>
        <row r="103">
          <cell r="S103">
            <v>0</v>
          </cell>
        </row>
        <row r="104">
          <cell r="S104">
            <v>0</v>
          </cell>
        </row>
        <row r="105">
          <cell r="S105">
            <v>0</v>
          </cell>
        </row>
        <row r="106">
          <cell r="S106">
            <v>0</v>
          </cell>
        </row>
        <row r="107">
          <cell r="S107">
            <v>0</v>
          </cell>
        </row>
        <row r="108">
          <cell r="S108">
            <v>0</v>
          </cell>
        </row>
        <row r="109">
          <cell r="S109">
            <v>0</v>
          </cell>
        </row>
        <row r="110">
          <cell r="S110">
            <v>0</v>
          </cell>
        </row>
        <row r="111">
          <cell r="S111">
            <v>0</v>
          </cell>
        </row>
        <row r="112">
          <cell r="S112">
            <v>0</v>
          </cell>
        </row>
        <row r="113">
          <cell r="S113">
            <v>0</v>
          </cell>
        </row>
        <row r="114">
          <cell r="S114">
            <v>0</v>
          </cell>
        </row>
        <row r="115">
          <cell r="S115">
            <v>0</v>
          </cell>
        </row>
        <row r="116">
          <cell r="S116">
            <v>0</v>
          </cell>
        </row>
        <row r="117">
          <cell r="S117">
            <v>0</v>
          </cell>
        </row>
        <row r="118">
          <cell r="S118">
            <v>0</v>
          </cell>
        </row>
        <row r="119">
          <cell r="S119">
            <v>0</v>
          </cell>
        </row>
        <row r="120">
          <cell r="S120">
            <v>0</v>
          </cell>
        </row>
        <row r="121">
          <cell r="S121">
            <v>0</v>
          </cell>
        </row>
        <row r="122">
          <cell r="S122">
            <v>0</v>
          </cell>
        </row>
        <row r="123">
          <cell r="S123">
            <v>0</v>
          </cell>
        </row>
        <row r="124">
          <cell r="S124">
            <v>0</v>
          </cell>
        </row>
        <row r="125">
          <cell r="S125">
            <v>0</v>
          </cell>
        </row>
        <row r="126">
          <cell r="S126">
            <v>0</v>
          </cell>
        </row>
        <row r="127">
          <cell r="S127">
            <v>0</v>
          </cell>
        </row>
        <row r="128">
          <cell r="S128">
            <v>0</v>
          </cell>
        </row>
        <row r="129">
          <cell r="S129">
            <v>0</v>
          </cell>
        </row>
        <row r="130">
          <cell r="S130">
            <v>0</v>
          </cell>
        </row>
        <row r="131">
          <cell r="S131">
            <v>0</v>
          </cell>
        </row>
        <row r="132">
          <cell r="S132">
            <v>0</v>
          </cell>
        </row>
        <row r="133">
          <cell r="S133">
            <v>0</v>
          </cell>
        </row>
        <row r="134">
          <cell r="S134">
            <v>0</v>
          </cell>
        </row>
        <row r="135">
          <cell r="S135">
            <v>0</v>
          </cell>
        </row>
        <row r="136">
          <cell r="S136">
            <v>0</v>
          </cell>
        </row>
        <row r="137">
          <cell r="S137">
            <v>0</v>
          </cell>
        </row>
        <row r="138">
          <cell r="S138">
            <v>0</v>
          </cell>
        </row>
        <row r="139">
          <cell r="S139">
            <v>0</v>
          </cell>
        </row>
        <row r="140">
          <cell r="S140">
            <v>0</v>
          </cell>
        </row>
        <row r="141">
          <cell r="S141">
            <v>0</v>
          </cell>
        </row>
        <row r="142">
          <cell r="S142">
            <v>0</v>
          </cell>
        </row>
        <row r="143">
          <cell r="S143">
            <v>0</v>
          </cell>
        </row>
        <row r="144">
          <cell r="S144">
            <v>0</v>
          </cell>
        </row>
        <row r="145">
          <cell r="S145">
            <v>0</v>
          </cell>
        </row>
        <row r="146">
          <cell r="S146">
            <v>0</v>
          </cell>
        </row>
        <row r="147">
          <cell r="S147">
            <v>0</v>
          </cell>
        </row>
        <row r="148">
          <cell r="S148">
            <v>0</v>
          </cell>
        </row>
        <row r="149">
          <cell r="S149">
            <v>0</v>
          </cell>
        </row>
        <row r="150">
          <cell r="S150">
            <v>0</v>
          </cell>
        </row>
        <row r="151">
          <cell r="S151">
            <v>0</v>
          </cell>
        </row>
        <row r="152">
          <cell r="S152">
            <v>0</v>
          </cell>
        </row>
        <row r="153">
          <cell r="S153">
            <v>0</v>
          </cell>
        </row>
        <row r="154">
          <cell r="S154">
            <v>0</v>
          </cell>
        </row>
        <row r="155">
          <cell r="S155">
            <v>0</v>
          </cell>
        </row>
        <row r="156">
          <cell r="S156">
            <v>0</v>
          </cell>
        </row>
        <row r="157">
          <cell r="S157">
            <v>0</v>
          </cell>
        </row>
        <row r="158">
          <cell r="S158">
            <v>0</v>
          </cell>
        </row>
        <row r="159">
          <cell r="S159">
            <v>0</v>
          </cell>
        </row>
        <row r="160">
          <cell r="S160">
            <v>0</v>
          </cell>
        </row>
        <row r="161">
          <cell r="S161">
            <v>0</v>
          </cell>
        </row>
        <row r="162">
          <cell r="S162">
            <v>0</v>
          </cell>
        </row>
        <row r="163">
          <cell r="S163">
            <v>0</v>
          </cell>
        </row>
        <row r="164">
          <cell r="S164">
            <v>0</v>
          </cell>
        </row>
        <row r="165">
          <cell r="S165">
            <v>0</v>
          </cell>
        </row>
        <row r="166">
          <cell r="S166">
            <v>0</v>
          </cell>
        </row>
        <row r="167">
          <cell r="S167">
            <v>0</v>
          </cell>
        </row>
        <row r="168">
          <cell r="S168">
            <v>0</v>
          </cell>
        </row>
        <row r="169">
          <cell r="S169">
            <v>0</v>
          </cell>
        </row>
        <row r="170">
          <cell r="S170">
            <v>0</v>
          </cell>
        </row>
        <row r="171">
          <cell r="S171">
            <v>0</v>
          </cell>
        </row>
        <row r="172">
          <cell r="S172">
            <v>0</v>
          </cell>
        </row>
        <row r="173">
          <cell r="S173">
            <v>0</v>
          </cell>
        </row>
        <row r="174">
          <cell r="S174">
            <v>0</v>
          </cell>
        </row>
        <row r="175">
          <cell r="S175">
            <v>0</v>
          </cell>
        </row>
        <row r="176">
          <cell r="S176">
            <v>0</v>
          </cell>
        </row>
        <row r="177">
          <cell r="S177">
            <v>0</v>
          </cell>
        </row>
        <row r="178">
          <cell r="S178">
            <v>0</v>
          </cell>
        </row>
        <row r="179">
          <cell r="S179">
            <v>0</v>
          </cell>
        </row>
        <row r="180">
          <cell r="S180">
            <v>0</v>
          </cell>
        </row>
        <row r="181">
          <cell r="S181">
            <v>0</v>
          </cell>
        </row>
        <row r="182">
          <cell r="S182">
            <v>0</v>
          </cell>
        </row>
        <row r="183">
          <cell r="S183">
            <v>0</v>
          </cell>
        </row>
        <row r="184">
          <cell r="S184">
            <v>0</v>
          </cell>
        </row>
        <row r="185">
          <cell r="S185">
            <v>0</v>
          </cell>
        </row>
        <row r="186">
          <cell r="S186">
            <v>0</v>
          </cell>
        </row>
        <row r="187">
          <cell r="S187">
            <v>0</v>
          </cell>
        </row>
        <row r="188">
          <cell r="S188">
            <v>0</v>
          </cell>
        </row>
        <row r="189">
          <cell r="S189">
            <v>0</v>
          </cell>
        </row>
        <row r="190">
          <cell r="S190">
            <v>0</v>
          </cell>
        </row>
        <row r="191">
          <cell r="S191">
            <v>0</v>
          </cell>
        </row>
        <row r="192">
          <cell r="S192">
            <v>0</v>
          </cell>
        </row>
        <row r="193">
          <cell r="S193">
            <v>0</v>
          </cell>
        </row>
        <row r="194">
          <cell r="S194">
            <v>0</v>
          </cell>
        </row>
        <row r="195">
          <cell r="S195">
            <v>0</v>
          </cell>
        </row>
        <row r="196">
          <cell r="S196">
            <v>0</v>
          </cell>
        </row>
        <row r="197">
          <cell r="S197">
            <v>0</v>
          </cell>
        </row>
        <row r="198">
          <cell r="S198">
            <v>0</v>
          </cell>
        </row>
        <row r="199">
          <cell r="S199">
            <v>0</v>
          </cell>
        </row>
        <row r="200">
          <cell r="S200">
            <v>0</v>
          </cell>
        </row>
        <row r="201">
          <cell r="S201">
            <v>0</v>
          </cell>
        </row>
        <row r="202">
          <cell r="S202">
            <v>0</v>
          </cell>
        </row>
        <row r="203">
          <cell r="S203">
            <v>0</v>
          </cell>
        </row>
        <row r="204">
          <cell r="S204">
            <v>0</v>
          </cell>
        </row>
        <row r="205">
          <cell r="S205">
            <v>0</v>
          </cell>
        </row>
        <row r="206">
          <cell r="S206">
            <v>0</v>
          </cell>
        </row>
        <row r="207">
          <cell r="S207">
            <v>0</v>
          </cell>
        </row>
        <row r="208">
          <cell r="S208">
            <v>0</v>
          </cell>
        </row>
        <row r="209">
          <cell r="S209">
            <v>0</v>
          </cell>
        </row>
        <row r="210">
          <cell r="S210">
            <v>0</v>
          </cell>
        </row>
        <row r="211">
          <cell r="S211">
            <v>0</v>
          </cell>
        </row>
        <row r="212">
          <cell r="S212">
            <v>0</v>
          </cell>
        </row>
        <row r="213">
          <cell r="S213">
            <v>0</v>
          </cell>
        </row>
        <row r="214">
          <cell r="S214">
            <v>0</v>
          </cell>
        </row>
        <row r="215">
          <cell r="S215">
            <v>0</v>
          </cell>
        </row>
        <row r="216">
          <cell r="S216">
            <v>0</v>
          </cell>
        </row>
        <row r="217">
          <cell r="S217">
            <v>0</v>
          </cell>
        </row>
        <row r="218">
          <cell r="S218">
            <v>0</v>
          </cell>
        </row>
        <row r="219">
          <cell r="S219">
            <v>0</v>
          </cell>
        </row>
        <row r="220">
          <cell r="S220">
            <v>0</v>
          </cell>
        </row>
        <row r="221">
          <cell r="S221">
            <v>0</v>
          </cell>
        </row>
        <row r="222">
          <cell r="S222">
            <v>0</v>
          </cell>
        </row>
        <row r="223">
          <cell r="S223">
            <v>0</v>
          </cell>
        </row>
        <row r="224">
          <cell r="S224">
            <v>0</v>
          </cell>
        </row>
        <row r="225">
          <cell r="S225">
            <v>0</v>
          </cell>
        </row>
        <row r="226">
          <cell r="S226">
            <v>0</v>
          </cell>
        </row>
        <row r="227">
          <cell r="S227">
            <v>0</v>
          </cell>
        </row>
        <row r="228">
          <cell r="S228">
            <v>0</v>
          </cell>
        </row>
        <row r="229">
          <cell r="S229">
            <v>0</v>
          </cell>
        </row>
        <row r="230">
          <cell r="S230">
            <v>0</v>
          </cell>
        </row>
        <row r="231">
          <cell r="S231">
            <v>0</v>
          </cell>
        </row>
        <row r="232">
          <cell r="S232">
            <v>0</v>
          </cell>
        </row>
        <row r="233">
          <cell r="S233">
            <v>0</v>
          </cell>
        </row>
        <row r="234">
          <cell r="S234">
            <v>0</v>
          </cell>
        </row>
        <row r="235">
          <cell r="S235">
            <v>0</v>
          </cell>
        </row>
        <row r="236">
          <cell r="S236">
            <v>0</v>
          </cell>
        </row>
        <row r="237">
          <cell r="S237">
            <v>0</v>
          </cell>
        </row>
        <row r="238">
          <cell r="S238">
            <v>0</v>
          </cell>
        </row>
        <row r="239">
          <cell r="S239">
            <v>0</v>
          </cell>
        </row>
        <row r="240">
          <cell r="S240">
            <v>0</v>
          </cell>
        </row>
        <row r="241">
          <cell r="S241">
            <v>0</v>
          </cell>
        </row>
        <row r="242">
          <cell r="S242">
            <v>0</v>
          </cell>
        </row>
        <row r="243">
          <cell r="S243">
            <v>0</v>
          </cell>
        </row>
        <row r="244">
          <cell r="S244">
            <v>0</v>
          </cell>
        </row>
        <row r="245">
          <cell r="S245">
            <v>0</v>
          </cell>
        </row>
        <row r="246">
          <cell r="S246">
            <v>0</v>
          </cell>
        </row>
        <row r="247">
          <cell r="S247">
            <v>0</v>
          </cell>
        </row>
        <row r="248">
          <cell r="S248">
            <v>0</v>
          </cell>
        </row>
        <row r="249">
          <cell r="S249">
            <v>0</v>
          </cell>
        </row>
        <row r="250">
          <cell r="S250">
            <v>0</v>
          </cell>
        </row>
        <row r="251">
          <cell r="S251">
            <v>0</v>
          </cell>
        </row>
        <row r="252">
          <cell r="S252">
            <v>0</v>
          </cell>
        </row>
        <row r="253">
          <cell r="S253">
            <v>0</v>
          </cell>
        </row>
        <row r="254">
          <cell r="S254">
            <v>0</v>
          </cell>
        </row>
        <row r="255">
          <cell r="S255">
            <v>0</v>
          </cell>
        </row>
      </sheetData>
      <sheetData sheetId="15"/>
      <sheetData sheetId="16">
        <row r="3">
          <cell r="D3">
            <v>37257</v>
          </cell>
        </row>
        <row r="3">
          <cell r="N3">
            <v>34683.76171875</v>
          </cell>
          <cell r="O3">
            <v>0</v>
          </cell>
          <cell r="P3">
            <v>0</v>
          </cell>
          <cell r="Q3">
            <v>0</v>
          </cell>
        </row>
        <row r="4">
          <cell r="D4">
            <v>37288</v>
          </cell>
        </row>
        <row r="4">
          <cell r="N4">
            <v>31446.693359375</v>
          </cell>
          <cell r="O4">
            <v>0</v>
          </cell>
          <cell r="P4">
            <v>0</v>
          </cell>
          <cell r="Q4">
            <v>0</v>
          </cell>
        </row>
        <row r="5">
          <cell r="D5">
            <v>37316</v>
          </cell>
        </row>
        <row r="5">
          <cell r="N5">
            <v>32927.16796875</v>
          </cell>
          <cell r="O5">
            <v>0</v>
          </cell>
          <cell r="P5">
            <v>0</v>
          </cell>
          <cell r="Q5">
            <v>0</v>
          </cell>
        </row>
        <row r="6">
          <cell r="D6">
            <v>37347</v>
          </cell>
        </row>
        <row r="6">
          <cell r="N6">
            <v>34387.6953125</v>
          </cell>
          <cell r="O6">
            <v>0</v>
          </cell>
          <cell r="P6">
            <v>0</v>
          </cell>
          <cell r="Q6">
            <v>0</v>
          </cell>
        </row>
        <row r="7">
          <cell r="D7">
            <v>37377</v>
          </cell>
        </row>
        <row r="7">
          <cell r="N7">
            <v>34283.1328125</v>
          </cell>
          <cell r="O7">
            <v>0</v>
          </cell>
          <cell r="P7">
            <v>0</v>
          </cell>
          <cell r="Q7">
            <v>0</v>
          </cell>
        </row>
        <row r="8">
          <cell r="D8">
            <v>37408</v>
          </cell>
        </row>
        <row r="8">
          <cell r="N8">
            <v>31069.0625</v>
          </cell>
          <cell r="O8">
            <v>0</v>
          </cell>
          <cell r="P8">
            <v>0</v>
          </cell>
          <cell r="Q8">
            <v>0</v>
          </cell>
        </row>
        <row r="9">
          <cell r="D9">
            <v>37438</v>
          </cell>
        </row>
        <row r="9">
          <cell r="N9">
            <v>85172.3984375</v>
          </cell>
          <cell r="O9">
            <v>0</v>
          </cell>
          <cell r="P9">
            <v>0</v>
          </cell>
          <cell r="Q9">
            <v>0</v>
          </cell>
        </row>
        <row r="10">
          <cell r="D10">
            <v>37469</v>
          </cell>
        </row>
        <row r="10">
          <cell r="N10">
            <v>84873.765625</v>
          </cell>
          <cell r="O10">
            <v>0</v>
          </cell>
          <cell r="P10">
            <v>0</v>
          </cell>
          <cell r="Q10">
            <v>0</v>
          </cell>
        </row>
        <row r="11">
          <cell r="D11">
            <v>37500</v>
          </cell>
        </row>
        <row r="11">
          <cell r="N11">
            <v>30768.26953125</v>
          </cell>
          <cell r="O11">
            <v>0</v>
          </cell>
          <cell r="P11">
            <v>0</v>
          </cell>
          <cell r="Q11">
            <v>0</v>
          </cell>
        </row>
        <row r="12">
          <cell r="D12">
            <v>37530</v>
          </cell>
        </row>
        <row r="12">
          <cell r="N12">
            <v>35258.61328125</v>
          </cell>
          <cell r="O12">
            <v>0</v>
          </cell>
          <cell r="P12">
            <v>0</v>
          </cell>
          <cell r="Q12">
            <v>0</v>
          </cell>
        </row>
        <row r="13">
          <cell r="D13">
            <v>37561</v>
          </cell>
        </row>
        <row r="13">
          <cell r="N13">
            <v>30556.296875</v>
          </cell>
          <cell r="O13">
            <v>0</v>
          </cell>
          <cell r="P13">
            <v>0</v>
          </cell>
          <cell r="Q13">
            <v>0</v>
          </cell>
        </row>
        <row r="14">
          <cell r="D14">
            <v>37591</v>
          </cell>
        </row>
        <row r="14">
          <cell r="N14">
            <v>31956.65234375</v>
          </cell>
          <cell r="O14">
            <v>0</v>
          </cell>
          <cell r="P14">
            <v>0</v>
          </cell>
          <cell r="Q14">
            <v>0</v>
          </cell>
        </row>
        <row r="15">
          <cell r="D15">
            <v>37140</v>
          </cell>
        </row>
        <row r="15">
          <cell r="N15">
            <v>0</v>
          </cell>
          <cell r="O15">
            <v>0</v>
          </cell>
          <cell r="P15">
            <v>0</v>
          </cell>
        </row>
        <row r="16">
          <cell r="D16">
            <v>37141</v>
          </cell>
        </row>
        <row r="16">
          <cell r="N16">
            <v>-3.99999998401679E-012</v>
          </cell>
          <cell r="O16">
            <v>0</v>
          </cell>
          <cell r="P16">
            <v>0</v>
          </cell>
        </row>
        <row r="17">
          <cell r="D17">
            <v>37144</v>
          </cell>
        </row>
        <row r="17">
          <cell r="N17">
            <v>-10354.779296875</v>
          </cell>
          <cell r="O17">
            <v>0</v>
          </cell>
          <cell r="P17">
            <v>0</v>
          </cell>
        </row>
        <row r="18">
          <cell r="D18">
            <v>37145</v>
          </cell>
        </row>
        <row r="18">
          <cell r="N18">
            <v>-10354.779296875</v>
          </cell>
          <cell r="O18">
            <v>0</v>
          </cell>
          <cell r="P18">
            <v>0</v>
          </cell>
        </row>
        <row r="19">
          <cell r="D19">
            <v>37146</v>
          </cell>
        </row>
        <row r="19">
          <cell r="N19">
            <v>-10354.779296875</v>
          </cell>
          <cell r="O19">
            <v>0</v>
          </cell>
          <cell r="P19">
            <v>0</v>
          </cell>
        </row>
        <row r="20">
          <cell r="D20">
            <v>37147</v>
          </cell>
        </row>
        <row r="20">
          <cell r="N20">
            <v>-10354.779296875</v>
          </cell>
          <cell r="O20">
            <v>0</v>
          </cell>
          <cell r="P20">
            <v>0</v>
          </cell>
        </row>
        <row r="21">
          <cell r="D21">
            <v>37148</v>
          </cell>
        </row>
        <row r="21">
          <cell r="N21">
            <v>-10354.779296875</v>
          </cell>
          <cell r="O21">
            <v>0</v>
          </cell>
          <cell r="P21">
            <v>0</v>
          </cell>
        </row>
        <row r="22">
          <cell r="D22">
            <v>37151</v>
          </cell>
        </row>
        <row r="22">
          <cell r="N22">
            <v>-10354.779296875</v>
          </cell>
          <cell r="O22">
            <v>0</v>
          </cell>
          <cell r="P22">
            <v>0</v>
          </cell>
        </row>
        <row r="23">
          <cell r="D23">
            <v>37152</v>
          </cell>
        </row>
        <row r="23">
          <cell r="N23">
            <v>-10354.779296875</v>
          </cell>
          <cell r="O23">
            <v>0</v>
          </cell>
          <cell r="P23">
            <v>0</v>
          </cell>
        </row>
        <row r="24">
          <cell r="D24">
            <v>37153</v>
          </cell>
        </row>
        <row r="24">
          <cell r="N24">
            <v>-10354.779296875</v>
          </cell>
          <cell r="O24">
            <v>0</v>
          </cell>
          <cell r="P24">
            <v>0</v>
          </cell>
        </row>
        <row r="25">
          <cell r="D25">
            <v>37154</v>
          </cell>
        </row>
        <row r="25">
          <cell r="N25">
            <v>-10354.779296875</v>
          </cell>
          <cell r="O25">
            <v>0</v>
          </cell>
          <cell r="P25">
            <v>0</v>
          </cell>
        </row>
        <row r="26">
          <cell r="D26">
            <v>37155</v>
          </cell>
        </row>
        <row r="26">
          <cell r="N26">
            <v>-10354.779296875</v>
          </cell>
          <cell r="O26">
            <v>0</v>
          </cell>
          <cell r="P26">
            <v>0</v>
          </cell>
        </row>
        <row r="27">
          <cell r="D27">
            <v>37158</v>
          </cell>
        </row>
        <row r="27">
          <cell r="N27">
            <v>-10354.779296875</v>
          </cell>
          <cell r="O27">
            <v>0</v>
          </cell>
          <cell r="P27">
            <v>0</v>
          </cell>
        </row>
        <row r="28">
          <cell r="D28">
            <v>37159</v>
          </cell>
        </row>
        <row r="28">
          <cell r="N28">
            <v>-10354.779296875</v>
          </cell>
          <cell r="O28">
            <v>0</v>
          </cell>
          <cell r="P28">
            <v>0</v>
          </cell>
        </row>
        <row r="29">
          <cell r="D29">
            <v>37160</v>
          </cell>
        </row>
        <row r="29">
          <cell r="N29">
            <v>-10354.779296875</v>
          </cell>
          <cell r="O29">
            <v>0</v>
          </cell>
          <cell r="P29">
            <v>0</v>
          </cell>
        </row>
        <row r="30">
          <cell r="D30">
            <v>37161</v>
          </cell>
        </row>
        <row r="30">
          <cell r="N30">
            <v>-10354.779296875</v>
          </cell>
          <cell r="O30">
            <v>0</v>
          </cell>
          <cell r="P30">
            <v>0</v>
          </cell>
        </row>
        <row r="31">
          <cell r="D31">
            <v>37162</v>
          </cell>
        </row>
        <row r="31">
          <cell r="N31">
            <v>-10354.779296875</v>
          </cell>
          <cell r="O31">
            <v>0</v>
          </cell>
          <cell r="P31">
            <v>0</v>
          </cell>
        </row>
        <row r="32">
          <cell r="D32">
            <v>37165</v>
          </cell>
        </row>
        <row r="32">
          <cell r="N32">
            <v>0</v>
          </cell>
          <cell r="O32">
            <v>0</v>
          </cell>
          <cell r="P32">
            <v>0</v>
          </cell>
        </row>
        <row r="33">
          <cell r="D33">
            <v>37166</v>
          </cell>
        </row>
        <row r="33">
          <cell r="N33">
            <v>0</v>
          </cell>
          <cell r="O33">
            <v>0</v>
          </cell>
          <cell r="P33">
            <v>0</v>
          </cell>
        </row>
        <row r="34">
          <cell r="D34">
            <v>37167</v>
          </cell>
        </row>
        <row r="34">
          <cell r="N34">
            <v>0</v>
          </cell>
          <cell r="O34">
            <v>0</v>
          </cell>
          <cell r="P34">
            <v>0</v>
          </cell>
        </row>
        <row r="35">
          <cell r="D35">
            <v>37168</v>
          </cell>
        </row>
        <row r="35">
          <cell r="N35">
            <v>0</v>
          </cell>
          <cell r="O35">
            <v>0</v>
          </cell>
          <cell r="P35">
            <v>0</v>
          </cell>
        </row>
        <row r="36">
          <cell r="D36">
            <v>37169</v>
          </cell>
        </row>
        <row r="36">
          <cell r="N36">
            <v>0</v>
          </cell>
          <cell r="O36">
            <v>0</v>
          </cell>
          <cell r="P36">
            <v>0</v>
          </cell>
        </row>
        <row r="37">
          <cell r="D37">
            <v>37172</v>
          </cell>
        </row>
        <row r="37">
          <cell r="N37">
            <v>0</v>
          </cell>
          <cell r="O37">
            <v>0</v>
          </cell>
          <cell r="P37">
            <v>0</v>
          </cell>
        </row>
        <row r="38">
          <cell r="D38">
            <v>37195</v>
          </cell>
        </row>
        <row r="38"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D39">
            <v>37196</v>
          </cell>
        </row>
        <row r="39"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D40">
            <v>37226</v>
          </cell>
        </row>
        <row r="40"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D41">
            <v>37257</v>
          </cell>
        </row>
        <row r="41">
          <cell r="N41">
            <v>86602.2109375</v>
          </cell>
          <cell r="O41">
            <v>0</v>
          </cell>
          <cell r="P41">
            <v>0</v>
          </cell>
          <cell r="Q41">
            <v>0</v>
          </cell>
        </row>
        <row r="42">
          <cell r="D42">
            <v>37288</v>
          </cell>
        </row>
        <row r="42">
          <cell r="N42">
            <v>78518.8046875</v>
          </cell>
          <cell r="O42">
            <v>0</v>
          </cell>
          <cell r="P42">
            <v>0</v>
          </cell>
          <cell r="Q42">
            <v>0</v>
          </cell>
        </row>
        <row r="43">
          <cell r="D43">
            <v>37316</v>
          </cell>
        </row>
        <row r="43"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D44">
            <v>37347</v>
          </cell>
        </row>
        <row r="44"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D45">
            <v>37377</v>
          </cell>
        </row>
        <row r="45"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D46">
            <v>37408</v>
          </cell>
        </row>
        <row r="46"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D47">
            <v>37438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D48">
            <v>37469</v>
          </cell>
        </row>
        <row r="48"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D49">
            <v>37500</v>
          </cell>
        </row>
        <row r="49"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D50">
            <v>37530</v>
          </cell>
        </row>
        <row r="50"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D51">
            <v>37561</v>
          </cell>
        </row>
        <row r="51"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D52">
            <v>37591</v>
          </cell>
        </row>
        <row r="52"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D53">
            <v>37622</v>
          </cell>
        </row>
        <row r="53">
          <cell r="N53">
            <v>-16649.09765625</v>
          </cell>
          <cell r="O53">
            <v>0</v>
          </cell>
          <cell r="P53">
            <v>0</v>
          </cell>
          <cell r="Q53">
            <v>0</v>
          </cell>
        </row>
        <row r="54">
          <cell r="D54">
            <v>37653</v>
          </cell>
        </row>
        <row r="54">
          <cell r="N54">
            <v>-15081.2861328125</v>
          </cell>
          <cell r="O54">
            <v>0</v>
          </cell>
          <cell r="P54">
            <v>0</v>
          </cell>
          <cell r="Q54">
            <v>0</v>
          </cell>
        </row>
        <row r="55">
          <cell r="D55">
            <v>37681</v>
          </cell>
        </row>
        <row r="55">
          <cell r="N55">
            <v>-15771.6474609375</v>
          </cell>
          <cell r="O55">
            <v>0</v>
          </cell>
          <cell r="P55">
            <v>0</v>
          </cell>
          <cell r="Q55">
            <v>0</v>
          </cell>
        </row>
        <row r="56">
          <cell r="D56">
            <v>37712</v>
          </cell>
        </row>
        <row r="56">
          <cell r="N56">
            <v>-16457.296875</v>
          </cell>
          <cell r="O56">
            <v>0</v>
          </cell>
          <cell r="P56">
            <v>0</v>
          </cell>
          <cell r="Q56">
            <v>0</v>
          </cell>
        </row>
        <row r="57">
          <cell r="D57">
            <v>37742</v>
          </cell>
        </row>
        <row r="57">
          <cell r="N57">
            <v>-15643.814453125</v>
          </cell>
          <cell r="O57">
            <v>0</v>
          </cell>
          <cell r="P57">
            <v>0</v>
          </cell>
          <cell r="Q57">
            <v>0</v>
          </cell>
        </row>
        <row r="58">
          <cell r="D58">
            <v>37773</v>
          </cell>
        </row>
        <row r="58">
          <cell r="N58">
            <v>-15579.6240234375</v>
          </cell>
          <cell r="O58">
            <v>0</v>
          </cell>
          <cell r="P58">
            <v>0</v>
          </cell>
          <cell r="Q58">
            <v>0</v>
          </cell>
        </row>
        <row r="59">
          <cell r="D59">
            <v>37803</v>
          </cell>
        </row>
        <row r="59">
          <cell r="N59">
            <v>-16251.0751953125</v>
          </cell>
          <cell r="O59">
            <v>0</v>
          </cell>
          <cell r="P59">
            <v>0</v>
          </cell>
          <cell r="Q59">
            <v>0</v>
          </cell>
        </row>
        <row r="60">
          <cell r="D60">
            <v>37834</v>
          </cell>
        </row>
        <row r="60">
          <cell r="N60">
            <v>-15444.431640625</v>
          </cell>
          <cell r="O60">
            <v>0</v>
          </cell>
          <cell r="P60">
            <v>0</v>
          </cell>
          <cell r="Q60">
            <v>0</v>
          </cell>
        </row>
        <row r="61">
          <cell r="D61">
            <v>37865</v>
          </cell>
        </row>
        <row r="61">
          <cell r="N61">
            <v>-15378.1767578125</v>
          </cell>
          <cell r="O61">
            <v>0</v>
          </cell>
          <cell r="P61">
            <v>0</v>
          </cell>
          <cell r="Q61">
            <v>0</v>
          </cell>
        </row>
        <row r="62">
          <cell r="D62">
            <v>37895</v>
          </cell>
        </row>
        <row r="62">
          <cell r="N62">
            <v>-16767.033203125</v>
          </cell>
          <cell r="O62">
            <v>0</v>
          </cell>
          <cell r="P62">
            <v>0</v>
          </cell>
          <cell r="Q62">
            <v>0</v>
          </cell>
        </row>
        <row r="63">
          <cell r="D63">
            <v>37926</v>
          </cell>
        </row>
        <row r="63">
          <cell r="N63">
            <v>-13789.9072265625</v>
          </cell>
          <cell r="O63">
            <v>0</v>
          </cell>
          <cell r="P63">
            <v>0</v>
          </cell>
          <cell r="Q63">
            <v>0</v>
          </cell>
        </row>
        <row r="64">
          <cell r="D64">
            <v>37956</v>
          </cell>
        </row>
        <row r="64">
          <cell r="N64">
            <v>-15893.56640625</v>
          </cell>
          <cell r="O64">
            <v>0</v>
          </cell>
          <cell r="P64">
            <v>0</v>
          </cell>
          <cell r="Q64">
            <v>0</v>
          </cell>
        </row>
        <row r="65">
          <cell r="D65">
            <v>37165</v>
          </cell>
        </row>
        <row r="65">
          <cell r="N65">
            <v>2385.39233398438</v>
          </cell>
          <cell r="O65">
            <v>0</v>
          </cell>
          <cell r="P65">
            <v>0</v>
          </cell>
        </row>
        <row r="66">
          <cell r="D66">
            <v>37166</v>
          </cell>
        </row>
        <row r="66">
          <cell r="N66">
            <v>2385.39233398438</v>
          </cell>
          <cell r="O66">
            <v>0</v>
          </cell>
          <cell r="P66">
            <v>0</v>
          </cell>
        </row>
        <row r="67">
          <cell r="D67">
            <v>37167</v>
          </cell>
        </row>
        <row r="67">
          <cell r="N67">
            <v>2385.39233398438</v>
          </cell>
          <cell r="O67">
            <v>0</v>
          </cell>
          <cell r="P67">
            <v>0</v>
          </cell>
        </row>
        <row r="68">
          <cell r="D68">
            <v>37168</v>
          </cell>
        </row>
        <row r="68">
          <cell r="N68">
            <v>2385.39233398438</v>
          </cell>
          <cell r="O68">
            <v>0</v>
          </cell>
          <cell r="P68">
            <v>0</v>
          </cell>
        </row>
        <row r="69">
          <cell r="D69">
            <v>37169</v>
          </cell>
        </row>
        <row r="69">
          <cell r="N69">
            <v>2385.39233398438</v>
          </cell>
          <cell r="O69">
            <v>0</v>
          </cell>
          <cell r="P69">
            <v>0</v>
          </cell>
        </row>
        <row r="70">
          <cell r="D70">
            <v>37172</v>
          </cell>
        </row>
        <row r="70">
          <cell r="N70">
            <v>2385.39233398438</v>
          </cell>
          <cell r="O70">
            <v>0</v>
          </cell>
          <cell r="P70">
            <v>0</v>
          </cell>
        </row>
        <row r="71">
          <cell r="D71">
            <v>37195</v>
          </cell>
        </row>
        <row r="71">
          <cell r="N71">
            <v>40551.66796875</v>
          </cell>
          <cell r="O71">
            <v>0</v>
          </cell>
          <cell r="P71">
            <v>0</v>
          </cell>
          <cell r="Q71">
            <v>0</v>
          </cell>
        </row>
        <row r="72">
          <cell r="D72">
            <v>37196</v>
          </cell>
        </row>
        <row r="72">
          <cell r="N72">
            <v>49950.2890625</v>
          </cell>
          <cell r="O72">
            <v>0</v>
          </cell>
          <cell r="P72">
            <v>0</v>
          </cell>
          <cell r="Q72">
            <v>0</v>
          </cell>
        </row>
        <row r="73">
          <cell r="D73">
            <v>37226</v>
          </cell>
        </row>
        <row r="73">
          <cell r="N73">
            <v>47431.5234375</v>
          </cell>
          <cell r="O73">
            <v>0</v>
          </cell>
          <cell r="P73">
            <v>0</v>
          </cell>
          <cell r="Q73">
            <v>0</v>
          </cell>
        </row>
        <row r="74">
          <cell r="D74">
            <v>37257</v>
          </cell>
        </row>
        <row r="74">
          <cell r="N74">
            <v>69367.5234375</v>
          </cell>
          <cell r="O74">
            <v>0</v>
          </cell>
          <cell r="P74">
            <v>0</v>
          </cell>
          <cell r="Q74">
            <v>0</v>
          </cell>
        </row>
        <row r="75">
          <cell r="D75">
            <v>37288</v>
          </cell>
        </row>
        <row r="75">
          <cell r="N75">
            <v>62893.38671875</v>
          </cell>
          <cell r="O75">
            <v>0</v>
          </cell>
          <cell r="P75">
            <v>0</v>
          </cell>
          <cell r="Q75">
            <v>0</v>
          </cell>
        </row>
        <row r="76">
          <cell r="D76">
            <v>37316</v>
          </cell>
        </row>
        <row r="76">
          <cell r="N76">
            <v>49390.75</v>
          </cell>
          <cell r="O76">
            <v>0</v>
          </cell>
          <cell r="P76">
            <v>0</v>
          </cell>
          <cell r="Q76">
            <v>0</v>
          </cell>
        </row>
        <row r="77">
          <cell r="D77">
            <v>37347</v>
          </cell>
        </row>
        <row r="77">
          <cell r="N77">
            <v>51581.5390625</v>
          </cell>
          <cell r="O77">
            <v>0</v>
          </cell>
          <cell r="P77">
            <v>0</v>
          </cell>
          <cell r="Q77">
            <v>0</v>
          </cell>
        </row>
        <row r="78">
          <cell r="D78">
            <v>37377</v>
          </cell>
        </row>
        <row r="78">
          <cell r="N78">
            <v>68566.265625</v>
          </cell>
          <cell r="O78">
            <v>0</v>
          </cell>
          <cell r="P78">
            <v>0</v>
          </cell>
          <cell r="Q78">
            <v>0</v>
          </cell>
        </row>
        <row r="79">
          <cell r="D79">
            <v>37408</v>
          </cell>
        </row>
        <row r="79">
          <cell r="N79">
            <v>62138.125</v>
          </cell>
          <cell r="O79">
            <v>0</v>
          </cell>
          <cell r="P79">
            <v>0</v>
          </cell>
          <cell r="Q79">
            <v>0</v>
          </cell>
        </row>
        <row r="80">
          <cell r="D80">
            <v>37438</v>
          </cell>
        </row>
        <row r="80">
          <cell r="N80">
            <v>579172.3125</v>
          </cell>
          <cell r="O80">
            <v>0</v>
          </cell>
          <cell r="P80">
            <v>0</v>
          </cell>
          <cell r="Q80">
            <v>0</v>
          </cell>
        </row>
        <row r="81">
          <cell r="D81">
            <v>37469</v>
          </cell>
        </row>
        <row r="81">
          <cell r="N81">
            <v>577141.625</v>
          </cell>
          <cell r="O81">
            <v>0</v>
          </cell>
          <cell r="P81">
            <v>0</v>
          </cell>
          <cell r="Q81">
            <v>0</v>
          </cell>
        </row>
        <row r="82">
          <cell r="D82">
            <v>37500</v>
          </cell>
        </row>
        <row r="82">
          <cell r="N82">
            <v>46152.40625</v>
          </cell>
          <cell r="O82">
            <v>0</v>
          </cell>
          <cell r="P82">
            <v>0</v>
          </cell>
          <cell r="Q82">
            <v>0</v>
          </cell>
        </row>
        <row r="83">
          <cell r="D83">
            <v>37530</v>
          </cell>
        </row>
        <row r="83">
          <cell r="N83">
            <v>123405.1484375</v>
          </cell>
          <cell r="O83">
            <v>0</v>
          </cell>
          <cell r="P83">
            <v>0</v>
          </cell>
          <cell r="Q83">
            <v>0</v>
          </cell>
        </row>
        <row r="84">
          <cell r="D84">
            <v>37561</v>
          </cell>
        </row>
        <row r="84">
          <cell r="N84">
            <v>106947.0390625</v>
          </cell>
          <cell r="O84">
            <v>0</v>
          </cell>
          <cell r="P84">
            <v>0</v>
          </cell>
          <cell r="Q84">
            <v>0</v>
          </cell>
        </row>
        <row r="85">
          <cell r="D85">
            <v>37591</v>
          </cell>
        </row>
        <row r="85">
          <cell r="N85">
            <v>111848.28125</v>
          </cell>
          <cell r="O85">
            <v>0</v>
          </cell>
          <cell r="P85">
            <v>0</v>
          </cell>
          <cell r="Q85">
            <v>0</v>
          </cell>
        </row>
        <row r="86">
          <cell r="D86">
            <v>37622</v>
          </cell>
        </row>
        <row r="86">
          <cell r="N86">
            <v>16676.56640625</v>
          </cell>
          <cell r="O86">
            <v>0</v>
          </cell>
          <cell r="P86">
            <v>0</v>
          </cell>
          <cell r="Q86">
            <v>0</v>
          </cell>
        </row>
        <row r="87">
          <cell r="D87">
            <v>37653</v>
          </cell>
        </row>
        <row r="87">
          <cell r="N87">
            <v>15106.5498046875</v>
          </cell>
          <cell r="O87">
            <v>0</v>
          </cell>
          <cell r="P87">
            <v>0</v>
          </cell>
          <cell r="Q87">
            <v>0</v>
          </cell>
        </row>
        <row r="88">
          <cell r="D88">
            <v>37681</v>
          </cell>
        </row>
        <row r="88">
          <cell r="N88">
            <v>15798.41015625</v>
          </cell>
          <cell r="O88">
            <v>0</v>
          </cell>
          <cell r="P88">
            <v>0</v>
          </cell>
          <cell r="Q88">
            <v>0</v>
          </cell>
        </row>
        <row r="89">
          <cell r="D89">
            <v>37712</v>
          </cell>
        </row>
        <row r="89">
          <cell r="N89">
            <v>16485.744140625</v>
          </cell>
          <cell r="O89">
            <v>0</v>
          </cell>
          <cell r="P89">
            <v>0</v>
          </cell>
          <cell r="Q89">
            <v>0</v>
          </cell>
        </row>
        <row r="90">
          <cell r="D90">
            <v>37742</v>
          </cell>
        </row>
        <row r="90">
          <cell r="N90">
            <v>15673.4755859375</v>
          </cell>
          <cell r="O90">
            <v>0</v>
          </cell>
          <cell r="P90">
            <v>0</v>
          </cell>
          <cell r="Q90">
            <v>0</v>
          </cell>
        </row>
        <row r="91">
          <cell r="D91">
            <v>37773</v>
          </cell>
        </row>
        <row r="91">
          <cell r="N91">
            <v>15605.4013671875</v>
          </cell>
          <cell r="O91">
            <v>0</v>
          </cell>
          <cell r="P91">
            <v>0</v>
          </cell>
          <cell r="Q91">
            <v>0</v>
          </cell>
        </row>
        <row r="92">
          <cell r="D92">
            <v>37803</v>
          </cell>
        </row>
        <row r="92">
          <cell r="N92">
            <v>16280.7294921875</v>
          </cell>
          <cell r="O92">
            <v>0</v>
          </cell>
          <cell r="P92">
            <v>0</v>
          </cell>
          <cell r="Q92">
            <v>0</v>
          </cell>
        </row>
        <row r="93">
          <cell r="D93">
            <v>37834</v>
          </cell>
        </row>
        <row r="93">
          <cell r="N93">
            <v>15470.798828125</v>
          </cell>
          <cell r="O93">
            <v>0</v>
          </cell>
          <cell r="P93">
            <v>0</v>
          </cell>
          <cell r="Q93">
            <v>0</v>
          </cell>
        </row>
        <row r="94">
          <cell r="D94">
            <v>37865</v>
          </cell>
        </row>
        <row r="94">
          <cell r="N94">
            <v>15406.927734375</v>
          </cell>
          <cell r="O94">
            <v>0</v>
          </cell>
          <cell r="P94">
            <v>0</v>
          </cell>
          <cell r="Q94">
            <v>0</v>
          </cell>
        </row>
        <row r="95">
          <cell r="D95">
            <v>37895</v>
          </cell>
        </row>
        <row r="95">
          <cell r="N95">
            <v>16798.90234375</v>
          </cell>
          <cell r="O95">
            <v>0</v>
          </cell>
          <cell r="P95">
            <v>0</v>
          </cell>
          <cell r="Q95">
            <v>0</v>
          </cell>
        </row>
        <row r="96">
          <cell r="D96">
            <v>37926</v>
          </cell>
        </row>
        <row r="96">
          <cell r="N96">
            <v>13820.515625</v>
          </cell>
          <cell r="O96">
            <v>0</v>
          </cell>
          <cell r="P96">
            <v>0</v>
          </cell>
          <cell r="Q96">
            <v>0</v>
          </cell>
        </row>
        <row r="97">
          <cell r="D97">
            <v>37956</v>
          </cell>
        </row>
        <row r="97">
          <cell r="N97">
            <v>15922.1494140625</v>
          </cell>
          <cell r="O97">
            <v>0</v>
          </cell>
          <cell r="P97">
            <v>0</v>
          </cell>
          <cell r="Q97">
            <v>0</v>
          </cell>
        </row>
        <row r="98">
          <cell r="D98">
            <v>37140</v>
          </cell>
        </row>
        <row r="98">
          <cell r="N98">
            <v>0</v>
          </cell>
          <cell r="O98">
            <v>0</v>
          </cell>
          <cell r="P98">
            <v>0</v>
          </cell>
        </row>
        <row r="99">
          <cell r="D99">
            <v>37141</v>
          </cell>
        </row>
        <row r="99">
          <cell r="N99">
            <v>1.30000003817354E-011</v>
          </cell>
          <cell r="O99">
            <v>-398.2607421875</v>
          </cell>
          <cell r="P99">
            <v>0</v>
          </cell>
        </row>
        <row r="100">
          <cell r="D100">
            <v>37142</v>
          </cell>
        </row>
        <row r="100">
          <cell r="N100">
            <v>0</v>
          </cell>
          <cell r="O100">
            <v>-1194.7822265625</v>
          </cell>
          <cell r="P100">
            <v>0</v>
          </cell>
        </row>
        <row r="101">
          <cell r="D101">
            <v>37143</v>
          </cell>
        </row>
        <row r="101">
          <cell r="N101">
            <v>0</v>
          </cell>
          <cell r="O101">
            <v>-398.2607421875</v>
          </cell>
          <cell r="P101">
            <v>-796.521484375</v>
          </cell>
        </row>
        <row r="102">
          <cell r="D102">
            <v>37144</v>
          </cell>
        </row>
        <row r="102">
          <cell r="N102">
            <v>-15133.908203125</v>
          </cell>
          <cell r="O102">
            <v>-398.2607421875</v>
          </cell>
          <cell r="P102">
            <v>0</v>
          </cell>
        </row>
        <row r="103">
          <cell r="D103">
            <v>37145</v>
          </cell>
        </row>
        <row r="103">
          <cell r="N103">
            <v>-15133.908203125</v>
          </cell>
          <cell r="O103">
            <v>-398.2607421875</v>
          </cell>
          <cell r="P103">
            <v>0</v>
          </cell>
        </row>
        <row r="104">
          <cell r="D104">
            <v>37146</v>
          </cell>
        </row>
        <row r="104">
          <cell r="N104">
            <v>-15133.908203125</v>
          </cell>
          <cell r="O104">
            <v>-398.2607421875</v>
          </cell>
          <cell r="P104">
            <v>0</v>
          </cell>
        </row>
        <row r="105">
          <cell r="D105">
            <v>37147</v>
          </cell>
        </row>
        <row r="105">
          <cell r="N105">
            <v>-15133.908203125</v>
          </cell>
          <cell r="O105">
            <v>-398.2607421875</v>
          </cell>
          <cell r="P105">
            <v>0</v>
          </cell>
        </row>
        <row r="106">
          <cell r="D106">
            <v>37148</v>
          </cell>
        </row>
        <row r="106">
          <cell r="N106">
            <v>-15133.908203125</v>
          </cell>
          <cell r="O106">
            <v>-398.2607421875</v>
          </cell>
          <cell r="P106">
            <v>0</v>
          </cell>
        </row>
        <row r="107">
          <cell r="D107">
            <v>37149</v>
          </cell>
        </row>
        <row r="107">
          <cell r="N107">
            <v>0</v>
          </cell>
          <cell r="O107">
            <v>-1194.7822265625</v>
          </cell>
          <cell r="P107">
            <v>0</v>
          </cell>
        </row>
        <row r="108">
          <cell r="D108">
            <v>37150</v>
          </cell>
        </row>
        <row r="108">
          <cell r="N108">
            <v>0</v>
          </cell>
          <cell r="O108">
            <v>-398.2607421875</v>
          </cell>
          <cell r="P108">
            <v>-796.521484375</v>
          </cell>
        </row>
        <row r="109">
          <cell r="D109">
            <v>37151</v>
          </cell>
        </row>
        <row r="109">
          <cell r="N109">
            <v>-15133.908203125</v>
          </cell>
          <cell r="O109">
            <v>-398.2607421875</v>
          </cell>
          <cell r="P109">
            <v>0</v>
          </cell>
        </row>
        <row r="110">
          <cell r="D110">
            <v>37152</v>
          </cell>
        </row>
        <row r="110">
          <cell r="N110">
            <v>-15133.908203125</v>
          </cell>
          <cell r="O110">
            <v>-398.2607421875</v>
          </cell>
          <cell r="P110">
            <v>0</v>
          </cell>
        </row>
        <row r="111">
          <cell r="D111">
            <v>37153</v>
          </cell>
        </row>
        <row r="111">
          <cell r="N111">
            <v>-15133.908203125</v>
          </cell>
          <cell r="O111">
            <v>-398.2607421875</v>
          </cell>
          <cell r="P111">
            <v>0</v>
          </cell>
        </row>
        <row r="112">
          <cell r="D112">
            <v>37154</v>
          </cell>
        </row>
        <row r="112">
          <cell r="N112">
            <v>-15133.908203125</v>
          </cell>
          <cell r="O112">
            <v>-398.2607421875</v>
          </cell>
          <cell r="P112">
            <v>0</v>
          </cell>
        </row>
        <row r="113">
          <cell r="D113">
            <v>37155</v>
          </cell>
        </row>
        <row r="113">
          <cell r="N113">
            <v>-15133.908203125</v>
          </cell>
          <cell r="O113">
            <v>-398.2607421875</v>
          </cell>
          <cell r="P113">
            <v>0</v>
          </cell>
        </row>
        <row r="114">
          <cell r="D114">
            <v>37156</v>
          </cell>
        </row>
        <row r="114">
          <cell r="N114">
            <v>0</v>
          </cell>
          <cell r="O114">
            <v>-1194.7822265625</v>
          </cell>
          <cell r="P114">
            <v>0</v>
          </cell>
        </row>
        <row r="115">
          <cell r="D115">
            <v>37157</v>
          </cell>
        </row>
        <row r="115">
          <cell r="N115">
            <v>0</v>
          </cell>
          <cell r="O115">
            <v>-398.2607421875</v>
          </cell>
          <cell r="P115">
            <v>-796.521484375</v>
          </cell>
        </row>
        <row r="116">
          <cell r="D116">
            <v>37158</v>
          </cell>
        </row>
        <row r="116">
          <cell r="N116">
            <v>-15133.908203125</v>
          </cell>
          <cell r="O116">
            <v>-398.2607421875</v>
          </cell>
          <cell r="P116">
            <v>0</v>
          </cell>
        </row>
        <row r="117">
          <cell r="D117">
            <v>37159</v>
          </cell>
        </row>
        <row r="117">
          <cell r="N117">
            <v>-15133.908203125</v>
          </cell>
          <cell r="O117">
            <v>-398.2607421875</v>
          </cell>
          <cell r="P117">
            <v>0</v>
          </cell>
        </row>
        <row r="118">
          <cell r="D118">
            <v>37160</v>
          </cell>
        </row>
        <row r="118">
          <cell r="N118">
            <v>-15133.908203125</v>
          </cell>
          <cell r="O118">
            <v>-398.2607421875</v>
          </cell>
          <cell r="P118">
            <v>0</v>
          </cell>
        </row>
        <row r="119">
          <cell r="D119">
            <v>37161</v>
          </cell>
        </row>
        <row r="119">
          <cell r="N119">
            <v>-15133.908203125</v>
          </cell>
          <cell r="O119">
            <v>-398.2607421875</v>
          </cell>
          <cell r="P119">
            <v>0</v>
          </cell>
        </row>
        <row r="120">
          <cell r="D120">
            <v>37162</v>
          </cell>
        </row>
        <row r="120">
          <cell r="N120">
            <v>-15133.908203125</v>
          </cell>
          <cell r="O120">
            <v>-398.2607421875</v>
          </cell>
          <cell r="P120">
            <v>0</v>
          </cell>
        </row>
        <row r="121">
          <cell r="D121">
            <v>37163</v>
          </cell>
        </row>
        <row r="121">
          <cell r="N121">
            <v>0</v>
          </cell>
          <cell r="O121">
            <v>-1194.7822265625</v>
          </cell>
          <cell r="P121">
            <v>0</v>
          </cell>
        </row>
        <row r="122">
          <cell r="D122">
            <v>37164</v>
          </cell>
        </row>
        <row r="122">
          <cell r="N122">
            <v>0</v>
          </cell>
          <cell r="O122">
            <v>-398.2607421875</v>
          </cell>
          <cell r="P122">
            <v>-796.521484375</v>
          </cell>
        </row>
        <row r="123">
          <cell r="D123">
            <v>37165</v>
          </cell>
        </row>
        <row r="123">
          <cell r="N123">
            <v>7941.37255859375</v>
          </cell>
          <cell r="O123">
            <v>0</v>
          </cell>
          <cell r="P123">
            <v>0</v>
          </cell>
        </row>
        <row r="124">
          <cell r="D124">
            <v>37166</v>
          </cell>
        </row>
        <row r="124">
          <cell r="N124">
            <v>7941.37255859375</v>
          </cell>
          <cell r="O124">
            <v>0</v>
          </cell>
          <cell r="P124">
            <v>0</v>
          </cell>
        </row>
        <row r="125">
          <cell r="D125">
            <v>37167</v>
          </cell>
        </row>
        <row r="125">
          <cell r="N125">
            <v>7941.37255859375</v>
          </cell>
          <cell r="O125">
            <v>0</v>
          </cell>
          <cell r="P125">
            <v>0</v>
          </cell>
        </row>
        <row r="126">
          <cell r="D126">
            <v>37168</v>
          </cell>
        </row>
        <row r="126">
          <cell r="N126">
            <v>7941.37255859375</v>
          </cell>
          <cell r="O126">
            <v>0</v>
          </cell>
          <cell r="P126">
            <v>0</v>
          </cell>
        </row>
        <row r="127">
          <cell r="D127">
            <v>37169</v>
          </cell>
        </row>
        <row r="127">
          <cell r="N127">
            <v>7941.37255859375</v>
          </cell>
          <cell r="O127">
            <v>0</v>
          </cell>
          <cell r="P127">
            <v>0</v>
          </cell>
        </row>
        <row r="128">
          <cell r="D128">
            <v>37170</v>
          </cell>
        </row>
        <row r="128">
          <cell r="N128">
            <v>0</v>
          </cell>
          <cell r="O128">
            <v>9.99999996004197E-012</v>
          </cell>
          <cell r="P128">
            <v>0</v>
          </cell>
        </row>
        <row r="129">
          <cell r="D129">
            <v>37171</v>
          </cell>
        </row>
        <row r="129">
          <cell r="N129">
            <v>0</v>
          </cell>
          <cell r="O129">
            <v>1.19999999520504E-011</v>
          </cell>
          <cell r="P129">
            <v>-1.99999999200839E-012</v>
          </cell>
        </row>
        <row r="130">
          <cell r="D130">
            <v>37172</v>
          </cell>
        </row>
        <row r="130">
          <cell r="N130">
            <v>7941.37255859375</v>
          </cell>
          <cell r="O130">
            <v>9.99999996004197E-013</v>
          </cell>
          <cell r="P130">
            <v>0</v>
          </cell>
        </row>
        <row r="131">
          <cell r="D131">
            <v>37195</v>
          </cell>
        </row>
        <row r="131">
          <cell r="N131">
            <v>135003.328125</v>
          </cell>
          <cell r="O131">
            <v>6.99999988529321E-011</v>
          </cell>
          <cell r="P131">
            <v>-5.99999997602518E-012</v>
          </cell>
          <cell r="Q131">
            <v>0</v>
          </cell>
        </row>
        <row r="132">
          <cell r="D132">
            <v>37196</v>
          </cell>
        </row>
        <row r="132">
          <cell r="N132">
            <v>166302.109375</v>
          </cell>
          <cell r="O132">
            <v>-1.00000001335143E-010</v>
          </cell>
          <cell r="P132">
            <v>0</v>
          </cell>
          <cell r="Q132">
            <v>0</v>
          </cell>
        </row>
        <row r="133">
          <cell r="D133">
            <v>37226</v>
          </cell>
        </row>
        <row r="133">
          <cell r="N133">
            <v>157924.109375</v>
          </cell>
          <cell r="O133">
            <v>0</v>
          </cell>
          <cell r="P133">
            <v>0</v>
          </cell>
          <cell r="Q133">
            <v>0</v>
          </cell>
        </row>
        <row r="134">
          <cell r="D134">
            <v>37257</v>
          </cell>
        </row>
        <row r="134">
          <cell r="N134">
            <v>1.00000001335143E-010</v>
          </cell>
          <cell r="O134">
            <v>-30704.421875</v>
          </cell>
          <cell r="P134">
            <v>-7872.9287109375</v>
          </cell>
          <cell r="Q134">
            <v>0</v>
          </cell>
        </row>
        <row r="135">
          <cell r="D135">
            <v>37288</v>
          </cell>
        </row>
        <row r="135">
          <cell r="N135">
            <v>-1.00000001335143E-010</v>
          </cell>
          <cell r="O135">
            <v>-28266.76953125</v>
          </cell>
          <cell r="P135">
            <v>-6281.50439453125</v>
          </cell>
          <cell r="Q135">
            <v>0</v>
          </cell>
        </row>
        <row r="136">
          <cell r="D136">
            <v>37316</v>
          </cell>
        </row>
        <row r="136">
          <cell r="N136">
            <v>0</v>
          </cell>
          <cell r="O136">
            <v>-32096.27734375</v>
          </cell>
          <cell r="P136">
            <v>-7828.3603515625</v>
          </cell>
          <cell r="Q136">
            <v>0</v>
          </cell>
        </row>
        <row r="137">
          <cell r="D137">
            <v>37347</v>
          </cell>
        </row>
        <row r="137">
          <cell r="N137">
            <v>0</v>
          </cell>
          <cell r="O137">
            <v>-29563.16796875</v>
          </cell>
          <cell r="P137">
            <v>-6244.36572265625</v>
          </cell>
          <cell r="Q137">
            <v>0</v>
          </cell>
        </row>
        <row r="138">
          <cell r="D138">
            <v>37377</v>
          </cell>
        </row>
        <row r="138">
          <cell r="N138">
            <v>17119.28125</v>
          </cell>
          <cell r="O138">
            <v>-30347.818359375</v>
          </cell>
          <cell r="P138">
            <v>-7781.49169921875</v>
          </cell>
          <cell r="Q138">
            <v>0</v>
          </cell>
        </row>
        <row r="139">
          <cell r="D139">
            <v>37408</v>
          </cell>
        </row>
        <row r="139">
          <cell r="N139">
            <v>93090.8046875</v>
          </cell>
          <cell r="O139">
            <v>-31030.267578125</v>
          </cell>
          <cell r="P139">
            <v>-7757.56689453125</v>
          </cell>
          <cell r="Q139">
            <v>0</v>
          </cell>
        </row>
        <row r="140">
          <cell r="D140">
            <v>37438</v>
          </cell>
        </row>
        <row r="140">
          <cell r="N140">
            <v>425278.15625</v>
          </cell>
          <cell r="O140">
            <v>-30156.087890625</v>
          </cell>
          <cell r="P140">
            <v>-7732.33056640625</v>
          </cell>
          <cell r="Q140">
            <v>0</v>
          </cell>
        </row>
        <row r="141">
          <cell r="D141">
            <v>37469</v>
          </cell>
        </row>
        <row r="141">
          <cell r="N141">
            <v>423860.59375</v>
          </cell>
          <cell r="O141">
            <v>-31596.87890625</v>
          </cell>
          <cell r="P141">
            <v>-6165.24462890625</v>
          </cell>
          <cell r="Q141">
            <v>0</v>
          </cell>
        </row>
        <row r="142">
          <cell r="D142">
            <v>37500</v>
          </cell>
        </row>
        <row r="142">
          <cell r="N142">
            <v>15361.46484375</v>
          </cell>
          <cell r="O142">
            <v>-29186.783203125</v>
          </cell>
          <cell r="P142">
            <v>-9216.87890625</v>
          </cell>
          <cell r="Q142">
            <v>0</v>
          </cell>
        </row>
        <row r="143">
          <cell r="D143">
            <v>37530</v>
          </cell>
        </row>
        <row r="143">
          <cell r="N143">
            <v>17602.833984375</v>
          </cell>
          <cell r="O143">
            <v>-29943.94921875</v>
          </cell>
          <cell r="P143">
            <v>-6122.724609375</v>
          </cell>
          <cell r="Q143">
            <v>0</v>
          </cell>
        </row>
        <row r="144">
          <cell r="D144">
            <v>37561</v>
          </cell>
        </row>
        <row r="144">
          <cell r="N144">
            <v>15252.6259765625</v>
          </cell>
          <cell r="O144">
            <v>-30505.251953125</v>
          </cell>
          <cell r="P144">
            <v>-7626.31298828125</v>
          </cell>
          <cell r="Q144">
            <v>0</v>
          </cell>
        </row>
        <row r="145">
          <cell r="D145">
            <v>37591</v>
          </cell>
        </row>
        <row r="145">
          <cell r="N145">
            <v>15954.5341796875</v>
          </cell>
          <cell r="O145">
            <v>-29629.849609375</v>
          </cell>
          <cell r="P145">
            <v>-9116.876953125</v>
          </cell>
          <cell r="Q145">
            <v>0</v>
          </cell>
        </row>
        <row r="146">
          <cell r="D146">
            <v>37622</v>
          </cell>
        </row>
        <row r="146">
          <cell r="N146">
            <v>149841.890625</v>
          </cell>
          <cell r="O146">
            <v>0</v>
          </cell>
          <cell r="P146">
            <v>0</v>
          </cell>
          <cell r="Q146">
            <v>0</v>
          </cell>
        </row>
        <row r="147">
          <cell r="D147">
            <v>37653</v>
          </cell>
        </row>
        <row r="147">
          <cell r="N147">
            <v>135731.578125</v>
          </cell>
          <cell r="O147">
            <v>0</v>
          </cell>
          <cell r="P147">
            <v>0</v>
          </cell>
          <cell r="Q147">
            <v>0</v>
          </cell>
        </row>
        <row r="148">
          <cell r="D148">
            <v>37681</v>
          </cell>
        </row>
        <row r="148">
          <cell r="N148">
            <v>141944.828125</v>
          </cell>
          <cell r="O148">
            <v>0</v>
          </cell>
          <cell r="P148">
            <v>0</v>
          </cell>
          <cell r="Q148">
            <v>0</v>
          </cell>
        </row>
        <row r="149">
          <cell r="D149">
            <v>37712</v>
          </cell>
        </row>
        <row r="149">
          <cell r="N149">
            <v>148115.671875</v>
          </cell>
          <cell r="O149">
            <v>0</v>
          </cell>
          <cell r="P149">
            <v>0</v>
          </cell>
          <cell r="Q149">
            <v>0</v>
          </cell>
        </row>
        <row r="150">
          <cell r="D150">
            <v>37742</v>
          </cell>
        </row>
        <row r="150">
          <cell r="N150">
            <v>219013.40625</v>
          </cell>
          <cell r="O150">
            <v>0</v>
          </cell>
          <cell r="P150">
            <v>0</v>
          </cell>
          <cell r="Q150">
            <v>0</v>
          </cell>
        </row>
        <row r="151">
          <cell r="Q151">
            <v>0</v>
          </cell>
        </row>
        <row r="152">
          <cell r="Q152">
            <v>0</v>
          </cell>
        </row>
        <row r="153">
          <cell r="Q153">
            <v>0</v>
          </cell>
        </row>
        <row r="154">
          <cell r="Q154">
            <v>0</v>
          </cell>
        </row>
        <row r="155">
          <cell r="Q155">
            <v>0</v>
          </cell>
        </row>
        <row r="156">
          <cell r="Q156">
            <v>0</v>
          </cell>
        </row>
        <row r="157">
          <cell r="Q157">
            <v>0</v>
          </cell>
        </row>
        <row r="158">
          <cell r="Q158">
            <v>0</v>
          </cell>
        </row>
        <row r="159">
          <cell r="Q159">
            <v>0</v>
          </cell>
        </row>
        <row r="160">
          <cell r="Q160">
            <v>0</v>
          </cell>
        </row>
        <row r="161">
          <cell r="Q161">
            <v>0</v>
          </cell>
        </row>
        <row r="162">
          <cell r="Q162">
            <v>0</v>
          </cell>
        </row>
        <row r="163">
          <cell r="Q163">
            <v>0</v>
          </cell>
        </row>
        <row r="164">
          <cell r="Q164">
            <v>0</v>
          </cell>
        </row>
        <row r="165">
          <cell r="Q165">
            <v>0</v>
          </cell>
        </row>
        <row r="166">
          <cell r="Q166">
            <v>0</v>
          </cell>
        </row>
        <row r="167">
          <cell r="Q167">
            <v>0</v>
          </cell>
        </row>
        <row r="168">
          <cell r="Q168">
            <v>0</v>
          </cell>
        </row>
        <row r="169">
          <cell r="Q169">
            <v>0</v>
          </cell>
        </row>
        <row r="170">
          <cell r="Q170">
            <v>0</v>
          </cell>
        </row>
        <row r="171">
          <cell r="Q171">
            <v>0</v>
          </cell>
        </row>
        <row r="172">
          <cell r="Q172">
            <v>0</v>
          </cell>
        </row>
        <row r="173">
          <cell r="Q173">
            <v>0</v>
          </cell>
        </row>
        <row r="174">
          <cell r="Q174">
            <v>0</v>
          </cell>
        </row>
        <row r="175">
          <cell r="Q175">
            <v>0</v>
          </cell>
        </row>
        <row r="176">
          <cell r="Q176">
            <v>0</v>
          </cell>
        </row>
        <row r="177">
          <cell r="Q177">
            <v>0</v>
          </cell>
        </row>
        <row r="178">
          <cell r="Q178">
            <v>0</v>
          </cell>
        </row>
        <row r="179">
          <cell r="Q179">
            <v>0</v>
          </cell>
        </row>
        <row r="180">
          <cell r="Q180">
            <v>0</v>
          </cell>
        </row>
        <row r="181">
          <cell r="Q181">
            <v>0</v>
          </cell>
        </row>
        <row r="182">
          <cell r="Q182">
            <v>0</v>
          </cell>
        </row>
        <row r="183">
          <cell r="Q183">
            <v>0</v>
          </cell>
        </row>
        <row r="184">
          <cell r="Q184">
            <v>0</v>
          </cell>
        </row>
        <row r="185">
          <cell r="Q185">
            <v>0</v>
          </cell>
        </row>
        <row r="186">
          <cell r="Q186">
            <v>0</v>
          </cell>
        </row>
        <row r="187">
          <cell r="Q187">
            <v>0</v>
          </cell>
        </row>
        <row r="188">
          <cell r="Q188">
            <v>0</v>
          </cell>
        </row>
        <row r="189">
          <cell r="Q189">
            <v>0</v>
          </cell>
        </row>
        <row r="190">
          <cell r="Q190">
            <v>0</v>
          </cell>
        </row>
        <row r="191">
          <cell r="Q191">
            <v>0</v>
          </cell>
        </row>
        <row r="192">
          <cell r="Q192">
            <v>0</v>
          </cell>
        </row>
        <row r="193">
          <cell r="Q193">
            <v>0</v>
          </cell>
        </row>
        <row r="217">
          <cell r="Q217">
            <v>0</v>
          </cell>
        </row>
        <row r="218">
          <cell r="Q218">
            <v>0</v>
          </cell>
        </row>
        <row r="219">
          <cell r="Q219">
            <v>0</v>
          </cell>
        </row>
        <row r="220">
          <cell r="Q220">
            <v>0</v>
          </cell>
        </row>
        <row r="221">
          <cell r="Q221">
            <v>0</v>
          </cell>
        </row>
        <row r="222">
          <cell r="Q222">
            <v>0</v>
          </cell>
        </row>
        <row r="223">
          <cell r="Q223">
            <v>0</v>
          </cell>
        </row>
        <row r="224">
          <cell r="Q224">
            <v>0</v>
          </cell>
        </row>
        <row r="225">
          <cell r="Q225">
            <v>0</v>
          </cell>
        </row>
        <row r="226">
          <cell r="Q226">
            <v>0</v>
          </cell>
        </row>
        <row r="227">
          <cell r="Q227">
            <v>0</v>
          </cell>
        </row>
        <row r="228">
          <cell r="Q228">
            <v>0</v>
          </cell>
        </row>
        <row r="229">
          <cell r="Q229">
            <v>0</v>
          </cell>
        </row>
        <row r="230">
          <cell r="Q230">
            <v>0</v>
          </cell>
        </row>
        <row r="231">
          <cell r="Q231">
            <v>0</v>
          </cell>
        </row>
        <row r="232">
          <cell r="Q232">
            <v>0</v>
          </cell>
        </row>
        <row r="233">
          <cell r="Q233">
            <v>0</v>
          </cell>
        </row>
        <row r="234">
          <cell r="Q234">
            <v>0</v>
          </cell>
        </row>
        <row r="235">
          <cell r="Q235">
            <v>0</v>
          </cell>
        </row>
        <row r="236">
          <cell r="Q236">
            <v>0</v>
          </cell>
        </row>
        <row r="237">
          <cell r="Q237">
            <v>0</v>
          </cell>
        </row>
        <row r="238">
          <cell r="Q238">
            <v>0</v>
          </cell>
        </row>
        <row r="239">
          <cell r="Q239">
            <v>0</v>
          </cell>
        </row>
        <row r="240">
          <cell r="Q240">
            <v>0</v>
          </cell>
        </row>
        <row r="241">
          <cell r="Q241">
            <v>0</v>
          </cell>
        </row>
        <row r="242">
          <cell r="Q242">
            <v>0</v>
          </cell>
        </row>
        <row r="243">
          <cell r="Q243">
            <v>0</v>
          </cell>
        </row>
      </sheetData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TradeSum"/>
      <sheetName val="NYMEX"/>
      <sheetName val="GencoPosn"/>
      <sheetName val="OthNewDeals"/>
      <sheetName val="NymexData"/>
      <sheetName val="Interest"/>
      <sheetName val="FuturesPosn"/>
      <sheetName val="Price Summary-Entergy"/>
      <sheetName val="Price Summary-TVA"/>
      <sheetName val="trading_days"/>
      <sheetName val="All Region Sum and Gas"/>
      <sheetName val="pwr and gas data"/>
      <sheetName val="Cd"/>
      <sheetName val="Module1"/>
      <sheetName val="Module2"/>
    </sheetNames>
    <sheetDataSet>
      <sheetData sheetId="0"/>
      <sheetData sheetId="1">
        <row r="3">
          <cell r="A3">
            <v>37140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10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4.xml"/><Relationship Id="rId4" Type="http://schemas.openxmlformats.org/officeDocument/2006/relationships/ctrlProp" Target="../ctrlProps/ctrlProps15.xml"/><Relationship Id="rId5" Type="http://schemas.openxmlformats.org/officeDocument/2006/relationships/ctrlProp" Target="../ctrlProps/ctrlProps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6:IW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1" width="9.14"/>
    <col collapsed="false" customWidth="false" hidden="false" outlineLevel="0" max="3" min="3" style="2" width="9.14"/>
    <col collapsed="false" customWidth="false" hidden="false" outlineLevel="0" max="4" min="4" style="1" width="9.14"/>
    <col collapsed="false" customWidth="true" hidden="false" outlineLevel="0" max="5" min="5" style="1" width="10.13"/>
    <col collapsed="false" customWidth="true" hidden="false" outlineLevel="0" max="6" min="6" style="1" width="9.85"/>
    <col collapsed="false" customWidth="false" hidden="false" outlineLevel="0" max="9" min="7" style="1" width="9.14"/>
    <col collapsed="false" customWidth="true" hidden="false" outlineLevel="0" max="10" min="10" style="1" width="10.28"/>
    <col collapsed="false" customWidth="false" hidden="false" outlineLevel="0" max="11" min="11" style="1" width="9.14"/>
    <col collapsed="false" customWidth="false" hidden="false" outlineLevel="0" max="12" min="12" style="3" width="9.14"/>
    <col collapsed="false" customWidth="false" hidden="false" outlineLevel="0" max="257" min="13" style="1" width="9.14"/>
  </cols>
  <sheetData>
    <row r="6" customFormat="false" ht="12.75" hidden="false" customHeight="false" outlineLevel="0" collapsed="false">
      <c r="A6" s="4"/>
      <c r="B6" s="4"/>
      <c r="D6" s="4"/>
      <c r="E6" s="4"/>
      <c r="F6" s="4"/>
      <c r="G6" s="4"/>
      <c r="H6" s="4"/>
      <c r="I6" s="4"/>
      <c r="J6" s="4"/>
      <c r="K6" s="4"/>
      <c r="L6" s="5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12.75" hidden="false" customHeight="false" outlineLevel="0" collapsed="false">
      <c r="A7" s="4"/>
      <c r="B7" s="4"/>
      <c r="D7" s="4"/>
      <c r="E7" s="4"/>
      <c r="F7" s="4"/>
      <c r="G7" s="4"/>
      <c r="H7" s="4"/>
      <c r="I7" s="4"/>
      <c r="J7" s="4"/>
      <c r="K7" s="4"/>
      <c r="L7" s="4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12.75" hidden="false" customHeight="false" outlineLevel="0" collapsed="false">
      <c r="A8" s="4"/>
      <c r="B8" s="4"/>
      <c r="D8" s="4"/>
      <c r="E8" s="4" t="s">
        <v>0</v>
      </c>
      <c r="F8" s="4" t="s">
        <v>1</v>
      </c>
      <c r="G8" s="4"/>
      <c r="H8" s="4"/>
      <c r="I8" s="4" t="s">
        <v>0</v>
      </c>
      <c r="J8" s="6"/>
      <c r="K8" s="7" t="s">
        <v>2</v>
      </c>
      <c r="L8" s="4"/>
      <c r="M8" s="5"/>
      <c r="N8" s="4"/>
      <c r="O8" s="4"/>
      <c r="P8" s="4" t="s">
        <v>3</v>
      </c>
      <c r="Q8" s="4"/>
      <c r="R8" s="7" t="s">
        <v>4</v>
      </c>
      <c r="S8" s="4"/>
      <c r="T8" s="5"/>
      <c r="U8" s="4"/>
      <c r="V8" s="4"/>
      <c r="W8" s="4" t="s">
        <v>3</v>
      </c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</row>
    <row r="9" customFormat="false" ht="12.75" hidden="false" customHeight="false" outlineLevel="0" collapsed="false">
      <c r="A9" s="4"/>
      <c r="B9" s="8"/>
      <c r="C9" s="9"/>
      <c r="D9" s="8" t="s">
        <v>5</v>
      </c>
      <c r="E9" s="8" t="s">
        <v>6</v>
      </c>
      <c r="F9" s="8" t="s">
        <v>7</v>
      </c>
      <c r="G9" s="8" t="s">
        <v>8</v>
      </c>
      <c r="H9" s="8" t="s">
        <v>9</v>
      </c>
      <c r="I9" s="8" t="s">
        <v>6</v>
      </c>
      <c r="J9" s="10" t="s">
        <v>10</v>
      </c>
      <c r="K9" s="11"/>
      <c r="L9" s="4"/>
      <c r="M9" s="5" t="s">
        <v>11</v>
      </c>
      <c r="N9" s="4" t="s">
        <v>12</v>
      </c>
      <c r="O9" s="4" t="s">
        <v>13</v>
      </c>
      <c r="P9" s="4" t="s">
        <v>14</v>
      </c>
      <c r="Q9" s="4"/>
      <c r="R9" s="11"/>
      <c r="S9" s="4"/>
      <c r="T9" s="5" t="s">
        <v>11</v>
      </c>
      <c r="U9" s="4" t="s">
        <v>12</v>
      </c>
      <c r="V9" s="4" t="s">
        <v>13</v>
      </c>
      <c r="W9" s="4" t="s">
        <v>14</v>
      </c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</row>
    <row r="10" customFormat="false" ht="12.75" hidden="false" customHeight="false" outlineLevel="0" collapsed="false">
      <c r="C10" s="2" t="s">
        <v>15</v>
      </c>
      <c r="D10" s="12"/>
      <c r="E10" s="12"/>
      <c r="F10" s="13" t="n">
        <v>12.838</v>
      </c>
      <c r="G10" s="12" t="n">
        <f aca="false">+Master!H21</f>
        <v>-415.138506799571</v>
      </c>
      <c r="H10" s="12" t="n">
        <f aca="false">SUM(Master!D60:I60)</f>
        <v>2197.85901639345</v>
      </c>
      <c r="I10" s="12"/>
      <c r="J10" s="14" t="n">
        <f aca="false">+I10+H10+G10</f>
        <v>1782.72050959388</v>
      </c>
      <c r="K10" s="15"/>
      <c r="L10" s="12"/>
      <c r="M10" s="16"/>
      <c r="N10" s="17"/>
      <c r="O10" s="17"/>
      <c r="R10" s="15"/>
      <c r="S10" s="12"/>
      <c r="T10" s="16"/>
      <c r="U10" s="17"/>
      <c r="V10" s="17"/>
      <c r="AE10" s="18" t="n">
        <v>37074</v>
      </c>
      <c r="AF10" s="3" t="n">
        <f aca="false">+Master!B64</f>
        <v>0</v>
      </c>
      <c r="AG10" s="3"/>
      <c r="AH10" s="3"/>
      <c r="AI10" s="3"/>
      <c r="AJ10" s="3"/>
    </row>
    <row r="11" customFormat="false" ht="12.75" hidden="false" customHeight="false" outlineLevel="0" collapsed="false">
      <c r="C11" s="2" t="s">
        <v>16</v>
      </c>
      <c r="D11" s="12"/>
      <c r="E11" s="12"/>
      <c r="F11" s="13" t="n">
        <v>10.37</v>
      </c>
      <c r="G11" s="12" t="n">
        <f aca="false">+Master!H34</f>
        <v>-208.823822349328</v>
      </c>
      <c r="H11" s="12" t="n">
        <f aca="false">+Total!U61</f>
        <v>-965.700234192035</v>
      </c>
      <c r="I11" s="12"/>
      <c r="J11" s="14" t="n">
        <f aca="false">+I11+H11+G11</f>
        <v>-1174.52405654136</v>
      </c>
      <c r="K11" s="2" t="s">
        <v>16</v>
      </c>
      <c r="L11" s="12"/>
      <c r="M11" s="16" t="n">
        <v>45.26</v>
      </c>
      <c r="N11" s="16" t="n">
        <f aca="false">+(P11/2)+M11</f>
        <v>44.76</v>
      </c>
      <c r="O11" s="16" t="n">
        <f aca="false">+N11-P11</f>
        <v>45.76</v>
      </c>
      <c r="P11" s="16" t="n">
        <v>-1</v>
      </c>
      <c r="R11" s="2" t="s">
        <v>16</v>
      </c>
      <c r="S11" s="12"/>
      <c r="T11" s="16" t="n">
        <v>23.31</v>
      </c>
      <c r="U11" s="16" t="n">
        <f aca="false">+(W11/2)+T11</f>
        <v>22.81</v>
      </c>
      <c r="V11" s="16" t="n">
        <f aca="false">+U11-W11</f>
        <v>23.81</v>
      </c>
      <c r="W11" s="16" t="n">
        <v>-1</v>
      </c>
      <c r="AE11" s="18" t="n">
        <v>37075</v>
      </c>
      <c r="AF11" s="3" t="n">
        <f aca="false">+AF10</f>
        <v>0</v>
      </c>
      <c r="AG11" s="3"/>
      <c r="AH11" s="3" t="s">
        <v>17</v>
      </c>
      <c r="AI11" s="3" t="n">
        <v>24</v>
      </c>
      <c r="AJ11" s="3"/>
    </row>
    <row r="12" customFormat="false" ht="12.75" hidden="false" customHeight="false" outlineLevel="0" collapsed="false">
      <c r="C12" s="2" t="s">
        <v>18</v>
      </c>
      <c r="D12" s="12"/>
      <c r="E12" s="12"/>
      <c r="F12" s="13" t="n">
        <v>10.028</v>
      </c>
      <c r="G12" s="12" t="n">
        <f aca="false">+Master!H47</f>
        <v>-2266.56301837023</v>
      </c>
      <c r="H12" s="12" t="n">
        <f aca="false">+Total!U73</f>
        <v>723</v>
      </c>
      <c r="I12" s="12"/>
      <c r="J12" s="14" t="n">
        <f aca="false">+I12+H12+G12</f>
        <v>-1543.56301837023</v>
      </c>
      <c r="K12" s="2" t="s">
        <v>18</v>
      </c>
      <c r="L12" s="13" t="n">
        <f aca="false">+M12-M11</f>
        <v>-4.51</v>
      </c>
      <c r="M12" s="16" t="n">
        <v>40.75</v>
      </c>
      <c r="N12" s="16" t="n">
        <f aca="false">+(P12/2)+M12</f>
        <v>40.25</v>
      </c>
      <c r="O12" s="16" t="n">
        <f aca="false">+N12-P12</f>
        <v>41.25</v>
      </c>
      <c r="P12" s="16" t="n">
        <v>-1</v>
      </c>
      <c r="R12" s="2" t="s">
        <v>18</v>
      </c>
      <c r="S12" s="13" t="n">
        <v>-4.76000000000001</v>
      </c>
      <c r="T12" s="16" t="n">
        <v>23.75</v>
      </c>
      <c r="U12" s="16" t="n">
        <f aca="false">+(W12/2)+T12</f>
        <v>23.25</v>
      </c>
      <c r="V12" s="16" t="n">
        <f aca="false">+U12-W12</f>
        <v>24.25</v>
      </c>
      <c r="W12" s="16" t="n">
        <v>-1</v>
      </c>
      <c r="AE12" s="18" t="n">
        <v>37077</v>
      </c>
      <c r="AF12" s="3" t="n">
        <f aca="false">+AF11</f>
        <v>0</v>
      </c>
      <c r="AG12" s="3"/>
      <c r="AH12" s="3" t="s">
        <v>19</v>
      </c>
      <c r="AI12" s="3" t="n">
        <f aca="false">+AI11</f>
        <v>24</v>
      </c>
      <c r="AJ12" s="3"/>
      <c r="AM12" s="19"/>
      <c r="AN12" s="19"/>
      <c r="AO12" s="19" t="n">
        <v>41275</v>
      </c>
      <c r="AP12" s="20" t="n">
        <f aca="false">VLOOKUP(AO12,Interest!$X$8:$AC$367,6)</f>
        <v>0.517221038850451</v>
      </c>
      <c r="AQ12" s="1" t="n">
        <v>36.2823867797852</v>
      </c>
      <c r="AR12" s="21" t="n">
        <f aca="false">+TradeSum!CD61*AP12</f>
        <v>173.786269053751</v>
      </c>
      <c r="AS12" s="21" t="n">
        <f aca="false">+AR12*AQ12</f>
        <v>6305.38063082401</v>
      </c>
    </row>
    <row r="13" customFormat="false" ht="12.75" hidden="false" customHeight="false" outlineLevel="0" collapsed="false">
      <c r="C13" s="2" t="s">
        <v>20</v>
      </c>
      <c r="D13" s="12"/>
      <c r="E13" s="12"/>
      <c r="F13" s="13" t="n">
        <v>9.772</v>
      </c>
      <c r="G13" s="12" t="n">
        <v>243</v>
      </c>
      <c r="H13" s="12" t="n">
        <f aca="false">+Total!U85</f>
        <v>0</v>
      </c>
      <c r="I13" s="12"/>
      <c r="J13" s="14" t="n">
        <f aca="false">+I13+H13+G13</f>
        <v>243</v>
      </c>
      <c r="K13" s="2" t="s">
        <v>20</v>
      </c>
      <c r="L13" s="13" t="n">
        <f aca="false">+M13-M12</f>
        <v>-1.26</v>
      </c>
      <c r="M13" s="16" t="n">
        <v>39.49</v>
      </c>
      <c r="N13" s="16" t="n">
        <f aca="false">+(P13/2)+M13</f>
        <v>38.74</v>
      </c>
      <c r="O13" s="16" t="n">
        <f aca="false">+N13-P13</f>
        <v>40.24</v>
      </c>
      <c r="P13" s="16" t="n">
        <v>-1.5</v>
      </c>
      <c r="R13" s="2" t="s">
        <v>20</v>
      </c>
      <c r="S13" s="13" t="n">
        <v>-1.31</v>
      </c>
      <c r="T13" s="16" t="n">
        <f aca="false">+T12+0.25</f>
        <v>24</v>
      </c>
      <c r="U13" s="16" t="n">
        <f aca="false">+(W13/2)+T13</f>
        <v>23.25</v>
      </c>
      <c r="V13" s="16" t="n">
        <f aca="false">+U13-W13</f>
        <v>24.75</v>
      </c>
      <c r="W13" s="16" t="n">
        <v>-1.5</v>
      </c>
      <c r="AD13" s="22"/>
      <c r="AE13" s="23" t="n">
        <v>37078</v>
      </c>
      <c r="AF13" s="3" t="n">
        <f aca="false">+AF12</f>
        <v>0</v>
      </c>
      <c r="AG13" s="24" t="n">
        <f aca="false">AVERAGE(AF10:AF13)</f>
        <v>0</v>
      </c>
      <c r="AH13" s="24" t="s">
        <v>21</v>
      </c>
      <c r="AI13" s="3" t="n">
        <f aca="false">+AI12</f>
        <v>24</v>
      </c>
      <c r="AJ13" s="24"/>
      <c r="AM13" s="19"/>
      <c r="AO13" s="19" t="n">
        <v>41306</v>
      </c>
      <c r="AP13" s="20" t="n">
        <f aca="false">VLOOKUP(AO13,Interest!$X$8:$AC$367,6)</f>
        <v>0.514717497120035</v>
      </c>
      <c r="AQ13" s="1" t="n">
        <v>35.6823844909668</v>
      </c>
      <c r="AR13" s="21" t="n">
        <f aca="false">+TradeSum!CD62*AP13</f>
        <v>181.180558986253</v>
      </c>
      <c r="AS13" s="21" t="n">
        <f aca="false">+AR13*AQ13</f>
        <v>6464.95436803575</v>
      </c>
    </row>
    <row r="14" customFormat="false" ht="12.75" hidden="false" customHeight="false" outlineLevel="0" collapsed="false">
      <c r="C14" s="2" t="s">
        <v>22</v>
      </c>
      <c r="D14" s="12"/>
      <c r="E14" s="12"/>
      <c r="F14" s="13" t="n">
        <v>9.63</v>
      </c>
      <c r="G14" s="12" t="n">
        <v>1407</v>
      </c>
      <c r="H14" s="12" t="n">
        <f aca="false">+Total!U97</f>
        <v>0</v>
      </c>
      <c r="I14" s="12"/>
      <c r="J14" s="14" t="n">
        <f aca="false">+I14+H14+G14</f>
        <v>1407</v>
      </c>
      <c r="K14" s="2" t="s">
        <v>22</v>
      </c>
      <c r="L14" s="13" t="n">
        <f aca="false">+M14-M13</f>
        <v>-0.410000000000004</v>
      </c>
      <c r="M14" s="16" t="n">
        <v>39.08</v>
      </c>
      <c r="N14" s="16" t="n">
        <f aca="false">+(P14/2)+M14</f>
        <v>38.33</v>
      </c>
      <c r="O14" s="16" t="n">
        <f aca="false">+N14-P14</f>
        <v>39.83</v>
      </c>
      <c r="P14" s="16" t="n">
        <v>-1.5</v>
      </c>
      <c r="Q14" s="16"/>
      <c r="R14" s="2" t="s">
        <v>22</v>
      </c>
      <c r="S14" s="13" t="n">
        <v>-0.420000000000002</v>
      </c>
      <c r="T14" s="16" t="n">
        <f aca="false">+T13+0.25</f>
        <v>24.25</v>
      </c>
      <c r="U14" s="16" t="n">
        <f aca="false">+(W14/2)+T14</f>
        <v>23.5</v>
      </c>
      <c r="V14" s="16" t="n">
        <f aca="false">+U14-W14</f>
        <v>25</v>
      </c>
      <c r="W14" s="16" t="n">
        <v>-1.5</v>
      </c>
      <c r="AE14" s="18" t="n">
        <v>37081</v>
      </c>
      <c r="AF14" s="3" t="e">
        <f aca="false">+#REF!</f>
        <v>#REF!</v>
      </c>
      <c r="AG14" s="25" t="n">
        <v>27</v>
      </c>
      <c r="AH14" s="3" t="s">
        <v>23</v>
      </c>
      <c r="AI14" s="3" t="n">
        <f aca="false">+AI13+5</f>
        <v>29</v>
      </c>
      <c r="AJ14" s="3"/>
      <c r="AM14" s="19"/>
      <c r="AO14" s="19" t="n">
        <v>41334</v>
      </c>
      <c r="AP14" s="20" t="n">
        <f aca="false">VLOOKUP(AO14,Interest!$X$8:$AC$367,6)</f>
        <v>0.512002747780821</v>
      </c>
      <c r="AQ14" s="1" t="n">
        <v>34.8972854614258</v>
      </c>
      <c r="AR14" s="21" t="n">
        <f aca="false">+TradeSum!CD63*AP14</f>
        <v>180.224967218849</v>
      </c>
      <c r="AS14" s="21" t="n">
        <f aca="false">+AR14*AQ14</f>
        <v>6289.36212831228</v>
      </c>
    </row>
    <row r="15" customFormat="false" ht="12.75" hidden="false" customHeight="false" outlineLevel="0" collapsed="false">
      <c r="C15" s="2" t="s">
        <v>24</v>
      </c>
      <c r="D15" s="12"/>
      <c r="E15" s="12"/>
      <c r="F15" s="13" t="n">
        <v>9.399</v>
      </c>
      <c r="G15" s="12" t="n">
        <v>-759</v>
      </c>
      <c r="H15" s="12" t="n">
        <f aca="false">+Total!U109</f>
        <v>0</v>
      </c>
      <c r="I15" s="12"/>
      <c r="J15" s="14" t="n">
        <f aca="false">+I15+H15+G15</f>
        <v>-759</v>
      </c>
      <c r="K15" s="2" t="s">
        <v>24</v>
      </c>
      <c r="L15" s="13" t="n">
        <f aca="false">+M15-M14</f>
        <v>0.450000000000003</v>
      </c>
      <c r="M15" s="16" t="n">
        <v>39.53</v>
      </c>
      <c r="N15" s="16" t="n">
        <f aca="false">+(P15/2)+M15</f>
        <v>38.53</v>
      </c>
      <c r="O15" s="16" t="n">
        <f aca="false">+N15-P15</f>
        <v>40.53</v>
      </c>
      <c r="P15" s="16" t="n">
        <v>-2</v>
      </c>
      <c r="Q15" s="16"/>
      <c r="R15" s="2" t="s">
        <v>24</v>
      </c>
      <c r="S15" s="13" t="n">
        <v>0.449999999999996</v>
      </c>
      <c r="T15" s="16" t="n">
        <f aca="false">+T14+0.25</f>
        <v>24.5</v>
      </c>
      <c r="U15" s="16" t="n">
        <f aca="false">+(W15/2)+T15</f>
        <v>23.5</v>
      </c>
      <c r="V15" s="16" t="n">
        <f aca="false">+U15-W15</f>
        <v>25.5</v>
      </c>
      <c r="W15" s="16" t="n">
        <v>-2</v>
      </c>
      <c r="AE15" s="18" t="n">
        <v>37082</v>
      </c>
      <c r="AF15" s="3" t="e">
        <f aca="false">+AF14</f>
        <v>#REF!</v>
      </c>
      <c r="AG15" s="3"/>
      <c r="AH15" s="3" t="s">
        <v>25</v>
      </c>
      <c r="AI15" s="3" t="n">
        <f aca="false">+AI14</f>
        <v>29</v>
      </c>
      <c r="AJ15" s="3"/>
      <c r="AM15" s="19"/>
      <c r="AO15" s="19" t="n">
        <v>41365</v>
      </c>
      <c r="AP15" s="20" t="n">
        <f aca="false">VLOOKUP(AO15,Interest!$X$8:$AC$367,6)</f>
        <v>0.509357663384883</v>
      </c>
      <c r="AQ15" s="1" t="n">
        <v>35.0972862243652</v>
      </c>
      <c r="AR15" s="21" t="n">
        <f aca="false">+TradeSum!CD64*AP15</f>
        <v>162.994452283163</v>
      </c>
      <c r="AS15" s="21" t="n">
        <f aca="false">+AR15*AQ15</f>
        <v>5720.6629447658</v>
      </c>
    </row>
    <row r="16" customFormat="false" ht="12.75" hidden="false" customHeight="false" outlineLevel="0" collapsed="false">
      <c r="C16" s="2" t="s">
        <v>26</v>
      </c>
      <c r="D16" s="12"/>
      <c r="E16" s="12"/>
      <c r="F16" s="13" t="n">
        <v>9.386</v>
      </c>
      <c r="G16" s="12" t="n">
        <v>-427</v>
      </c>
      <c r="H16" s="12" t="n">
        <f aca="false">+Total!U121</f>
        <v>0</v>
      </c>
      <c r="I16" s="12"/>
      <c r="J16" s="14" t="n">
        <f aca="false">+I16+H16+G16</f>
        <v>-427</v>
      </c>
      <c r="K16" s="2" t="s">
        <v>26</v>
      </c>
      <c r="L16" s="13" t="n">
        <v>0.32</v>
      </c>
      <c r="M16" s="16" t="n">
        <f aca="false">+M15+L16</f>
        <v>39.85</v>
      </c>
      <c r="N16" s="16" t="n">
        <f aca="false">+(P16/2)+M16</f>
        <v>38.85</v>
      </c>
      <c r="O16" s="16" t="n">
        <f aca="false">+N16-P16</f>
        <v>40.85</v>
      </c>
      <c r="P16" s="16" t="n">
        <v>-2</v>
      </c>
      <c r="Q16" s="16"/>
      <c r="R16" s="2" t="s">
        <v>26</v>
      </c>
      <c r="S16" s="13" t="n">
        <v>0.32</v>
      </c>
      <c r="T16" s="16" t="n">
        <f aca="false">+T15+0.25</f>
        <v>24.75</v>
      </c>
      <c r="U16" s="16" t="n">
        <f aca="false">+(W16/2)+T16</f>
        <v>23.75</v>
      </c>
      <c r="V16" s="16" t="n">
        <f aca="false">+U16-W16</f>
        <v>25.75</v>
      </c>
      <c r="W16" s="16" t="n">
        <v>-2</v>
      </c>
      <c r="AE16" s="18" t="n">
        <v>37083</v>
      </c>
      <c r="AF16" s="3" t="e">
        <f aca="false">+AF15</f>
        <v>#REF!</v>
      </c>
      <c r="AG16" s="3"/>
      <c r="AH16" s="3" t="s">
        <v>27</v>
      </c>
      <c r="AI16" s="3" t="n">
        <f aca="false">+AI15+10</f>
        <v>39</v>
      </c>
      <c r="AJ16" s="3"/>
      <c r="AM16" s="19"/>
      <c r="AO16" s="19" t="n">
        <v>41395</v>
      </c>
      <c r="AP16" s="20" t="n">
        <f aca="false">VLOOKUP(AO16,Interest!$X$8:$AC$367,6)</f>
        <v>0.506650404025698</v>
      </c>
      <c r="AQ16" s="1" t="n">
        <v>41.0035705566406</v>
      </c>
      <c r="AR16" s="21" t="n">
        <f aca="false">+TradeSum!CD65*AP16</f>
        <v>178.340942217046</v>
      </c>
      <c r="AS16" s="21" t="n">
        <f aca="false">+AR16*AQ16</f>
        <v>7312.6154073344</v>
      </c>
    </row>
    <row r="17" customFormat="false" ht="12.75" hidden="false" customHeight="false" outlineLevel="0" collapsed="false">
      <c r="C17" s="2" t="s">
        <v>28</v>
      </c>
      <c r="D17" s="12"/>
      <c r="E17" s="12"/>
      <c r="F17" s="13" t="n">
        <v>9.323</v>
      </c>
      <c r="G17" s="12" t="n">
        <v>-168</v>
      </c>
      <c r="H17" s="12" t="n">
        <f aca="false">+Total!U133</f>
        <v>0</v>
      </c>
      <c r="I17" s="12"/>
      <c r="J17" s="14" t="n">
        <f aca="false">+I17+H17+G17</f>
        <v>-168</v>
      </c>
      <c r="K17" s="2" t="s">
        <v>28</v>
      </c>
      <c r="L17" s="13" t="n">
        <v>0.200000000000003</v>
      </c>
      <c r="M17" s="16" t="n">
        <f aca="false">+M16+L17</f>
        <v>40.05</v>
      </c>
      <c r="N17" s="16" t="n">
        <f aca="false">+(P17/2)+M17</f>
        <v>38.55</v>
      </c>
      <c r="O17" s="16" t="n">
        <f aca="false">+N17-P17</f>
        <v>41.55</v>
      </c>
      <c r="P17" s="16" t="n">
        <v>-3</v>
      </c>
      <c r="Q17" s="16"/>
      <c r="R17" s="2" t="s">
        <v>28</v>
      </c>
      <c r="S17" s="13" t="n">
        <v>0.200000000000003</v>
      </c>
      <c r="T17" s="16" t="n">
        <f aca="false">+T16+0.25</f>
        <v>25</v>
      </c>
      <c r="U17" s="16" t="n">
        <f aca="false">+(W17/2)+T17</f>
        <v>23.5</v>
      </c>
      <c r="V17" s="16" t="n">
        <f aca="false">+U17-W17</f>
        <v>26.5</v>
      </c>
      <c r="W17" s="16" t="n">
        <v>-3</v>
      </c>
      <c r="AE17" s="18" t="n">
        <v>37084</v>
      </c>
      <c r="AF17" s="3" t="e">
        <f aca="false">+AF16</f>
        <v>#REF!</v>
      </c>
      <c r="AG17" s="3"/>
      <c r="AH17" s="3" t="s">
        <v>29</v>
      </c>
      <c r="AI17" s="3" t="n">
        <f aca="false">+AI16+5</f>
        <v>44</v>
      </c>
      <c r="AJ17" s="3"/>
      <c r="AM17" s="19"/>
      <c r="AO17" s="19" t="n">
        <v>41426</v>
      </c>
      <c r="AP17" s="20" t="n">
        <f aca="false">VLOOKUP(AO17,Interest!$X$8:$AC$367,6)</f>
        <v>0.504026644667677</v>
      </c>
      <c r="AQ17" s="1" t="n">
        <v>55.002857208252</v>
      </c>
      <c r="AR17" s="21" t="n">
        <f aca="false">+TradeSum!CD66*AP17</f>
        <v>177.417378923022</v>
      </c>
      <c r="AS17" s="21" t="n">
        <f aca="false">+AR17*AQ17</f>
        <v>9758.46275916533</v>
      </c>
    </row>
    <row r="18" customFormat="false" ht="12.75" hidden="false" customHeight="false" outlineLevel="0" collapsed="false">
      <c r="C18" s="2" t="s">
        <v>30</v>
      </c>
      <c r="D18" s="12"/>
      <c r="E18" s="12"/>
      <c r="F18" s="13" t="n">
        <v>9.289</v>
      </c>
      <c r="G18" s="12" t="n">
        <v>-738</v>
      </c>
      <c r="H18" s="12" t="n">
        <f aca="false">+Total!U145</f>
        <v>0</v>
      </c>
      <c r="I18" s="12"/>
      <c r="J18" s="14" t="n">
        <f aca="false">+I18+H18+G18</f>
        <v>-738</v>
      </c>
      <c r="K18" s="2" t="s">
        <v>30</v>
      </c>
      <c r="L18" s="13" t="n">
        <v>0.35</v>
      </c>
      <c r="M18" s="16" t="n">
        <f aca="false">+M17+L18</f>
        <v>40.4</v>
      </c>
      <c r="N18" s="16" t="n">
        <f aca="false">+(P18/2)+M18</f>
        <v>38.9</v>
      </c>
      <c r="O18" s="16" t="n">
        <f aca="false">+N18-P18</f>
        <v>41.9</v>
      </c>
      <c r="P18" s="16" t="n">
        <v>-3</v>
      </c>
      <c r="Q18" s="16"/>
      <c r="R18" s="2" t="s">
        <v>30</v>
      </c>
      <c r="S18" s="13" t="n">
        <v>0.380000000000003</v>
      </c>
      <c r="T18" s="16" t="n">
        <f aca="false">+T17+0.25</f>
        <v>25.25</v>
      </c>
      <c r="U18" s="16" t="n">
        <f aca="false">+(W18/2)+T18</f>
        <v>23.75</v>
      </c>
      <c r="V18" s="16" t="n">
        <f aca="false">+U18-W18</f>
        <v>26.75</v>
      </c>
      <c r="W18" s="16" t="n">
        <v>-3</v>
      </c>
      <c r="AD18" s="22"/>
      <c r="AE18" s="23" t="n">
        <v>37085</v>
      </c>
      <c r="AF18" s="3" t="e">
        <f aca="false">+AF17</f>
        <v>#REF!</v>
      </c>
      <c r="AG18" s="24" t="e">
        <f aca="false">AVERAGE(AF14:AF18)</f>
        <v>#REF!</v>
      </c>
      <c r="AH18" s="24" t="s">
        <v>31</v>
      </c>
      <c r="AI18" s="3" t="n">
        <f aca="false">+AI17+10</f>
        <v>54</v>
      </c>
      <c r="AJ18" s="24"/>
      <c r="AM18" s="19"/>
      <c r="AO18" s="19" t="n">
        <v>41456</v>
      </c>
      <c r="AP18" s="20" t="n">
        <f aca="false">VLOOKUP(AO18,Interest!$X$8:$AC$367,6)</f>
        <v>0.501341427535418</v>
      </c>
      <c r="AQ18" s="1" t="n">
        <v>61.7471466064453</v>
      </c>
      <c r="AR18" s="21" t="n">
        <f aca="false">+TradeSum!CD67*AP18</f>
        <v>160.429256811334</v>
      </c>
      <c r="AS18" s="21" t="n">
        <f aca="false">+AR18*AQ18</f>
        <v>9906.0488402925</v>
      </c>
    </row>
    <row r="19" customFormat="false" ht="12.75" hidden="false" customHeight="false" outlineLevel="0" collapsed="false">
      <c r="C19" s="2" t="s">
        <v>32</v>
      </c>
      <c r="D19" s="12"/>
      <c r="E19" s="12"/>
      <c r="F19" s="13" t="n">
        <v>9.232</v>
      </c>
      <c r="G19" s="12" t="n">
        <v>-278</v>
      </c>
      <c r="H19" s="12" t="n">
        <f aca="false">+Total!U157</f>
        <v>0</v>
      </c>
      <c r="I19" s="12"/>
      <c r="J19" s="14" t="n">
        <f aca="false">+I19+H19+G19</f>
        <v>-278</v>
      </c>
      <c r="K19" s="2" t="s">
        <v>32</v>
      </c>
      <c r="L19" s="13" t="n">
        <v>0.42</v>
      </c>
      <c r="M19" s="16" t="n">
        <f aca="false">+M18+L19</f>
        <v>40.82</v>
      </c>
      <c r="N19" s="16" t="n">
        <f aca="false">+(P19/2)+M19</f>
        <v>39.32</v>
      </c>
      <c r="O19" s="16" t="n">
        <f aca="false">+N19-P19</f>
        <v>42.32</v>
      </c>
      <c r="P19" s="16" t="n">
        <v>-3</v>
      </c>
      <c r="R19" s="2" t="s">
        <v>32</v>
      </c>
      <c r="S19" s="13" t="n">
        <v>0.399999999999999</v>
      </c>
      <c r="T19" s="16" t="n">
        <f aca="false">+T18+0.25</f>
        <v>25.5</v>
      </c>
      <c r="U19" s="16" t="n">
        <f aca="false">+(W19/2)+T19</f>
        <v>24</v>
      </c>
      <c r="V19" s="16" t="n">
        <f aca="false">+U19-W19</f>
        <v>27</v>
      </c>
      <c r="W19" s="16" t="n">
        <v>-3</v>
      </c>
      <c r="AE19" s="18" t="n">
        <v>37088</v>
      </c>
      <c r="AF19" s="3" t="e">
        <f aca="false">+#REF!</f>
        <v>#REF!</v>
      </c>
      <c r="AG19" s="25" t="n">
        <v>25</v>
      </c>
      <c r="AH19" s="3" t="s">
        <v>33</v>
      </c>
      <c r="AI19" s="3" t="n">
        <f aca="false">+AI18+25</f>
        <v>79</v>
      </c>
      <c r="AJ19" s="3"/>
      <c r="AM19" s="19"/>
      <c r="AO19" s="19" t="n">
        <v>41487</v>
      </c>
      <c r="AP19" s="20" t="n">
        <f aca="false">VLOOKUP(AO19,Interest!$X$8:$AC$367,6)</f>
        <v>0.498659982363899</v>
      </c>
      <c r="AQ19" s="1" t="n">
        <v>61.7471466064453</v>
      </c>
      <c r="AR19" s="21" t="n">
        <f aca="false">+TradeSum!CD68*AP19</f>
        <v>183.506873509915</v>
      </c>
      <c r="AS19" s="21" t="n">
        <f aca="false">+AR19*AQ19</f>
        <v>11331.0258219071</v>
      </c>
    </row>
    <row r="20" customFormat="false" ht="12.75" hidden="false" customHeight="false" outlineLevel="0" collapsed="false">
      <c r="D20" s="12"/>
      <c r="E20" s="12"/>
      <c r="F20" s="13"/>
      <c r="G20" s="12"/>
      <c r="H20" s="12"/>
      <c r="I20" s="12"/>
      <c r="J20" s="12"/>
      <c r="K20" s="2" t="s">
        <v>34</v>
      </c>
      <c r="L20" s="13" t="n">
        <v>0.859999999999999</v>
      </c>
      <c r="M20" s="16" t="n">
        <f aca="false">+M19+L20</f>
        <v>41.68</v>
      </c>
      <c r="N20" s="16" t="n">
        <f aca="false">+(P20/2)+M20</f>
        <v>39.68</v>
      </c>
      <c r="O20" s="16" t="n">
        <f aca="false">+N20-P20</f>
        <v>43.68</v>
      </c>
      <c r="P20" s="16" t="n">
        <v>-4</v>
      </c>
      <c r="R20" s="2" t="s">
        <v>34</v>
      </c>
      <c r="S20" s="13" t="n">
        <v>0.859999999999999</v>
      </c>
      <c r="T20" s="16" t="n">
        <f aca="false">+T19+0.25</f>
        <v>25.75</v>
      </c>
      <c r="U20" s="16" t="n">
        <f aca="false">+(W20/2)+T20</f>
        <v>23.75</v>
      </c>
      <c r="V20" s="16" t="n">
        <f aca="false">+U20-W20</f>
        <v>27.75</v>
      </c>
      <c r="W20" s="16" t="n">
        <v>-4</v>
      </c>
      <c r="AE20" s="18" t="n">
        <v>37089</v>
      </c>
      <c r="AF20" s="3" t="e">
        <f aca="false">+AF19</f>
        <v>#REF!</v>
      </c>
      <c r="AG20" s="3"/>
      <c r="AH20" s="3" t="s">
        <v>35</v>
      </c>
      <c r="AI20" s="3" t="n">
        <f aca="false">+AI19+25</f>
        <v>104</v>
      </c>
      <c r="AJ20" s="3"/>
      <c r="AM20" s="19"/>
      <c r="AO20" s="19" t="n">
        <v>41518</v>
      </c>
      <c r="AP20" s="20" t="n">
        <f aca="false">VLOOKUP(AO20,Interest!$X$8:$AC$367,6)</f>
        <v>0.496068212963219</v>
      </c>
      <c r="AQ20" s="1" t="n">
        <v>31.252140045166</v>
      </c>
      <c r="AR20" s="21" t="n">
        <f aca="false">+TradeSum!CD69*AP20</f>
        <v>158.74182814823</v>
      </c>
      <c r="AS20" s="21" t="n">
        <f aca="false">+AR20*AQ20</f>
        <v>4961.02184431417</v>
      </c>
    </row>
    <row r="21" customFormat="false" ht="12.75" hidden="false" customHeight="false" outlineLevel="0" collapsed="false">
      <c r="D21" s="12"/>
      <c r="E21" s="12" t="n">
        <f aca="false">SUM(E11:E19)*4000</f>
        <v>0</v>
      </c>
      <c r="F21" s="13"/>
      <c r="G21" s="12" t="n">
        <f aca="false">SUM(G10:G19)</f>
        <v>-3610.52534751913</v>
      </c>
      <c r="H21" s="12" t="n">
        <f aca="false">SUM(H10:H19)</f>
        <v>1955.15878220142</v>
      </c>
      <c r="I21" s="12" t="n">
        <f aca="false">SUM(I10:I19)</f>
        <v>0</v>
      </c>
      <c r="J21" s="12" t="n">
        <f aca="false">SUM(J10:J19)</f>
        <v>-1655.36656531772</v>
      </c>
      <c r="K21" s="2" t="s">
        <v>36</v>
      </c>
      <c r="L21" s="13" t="n">
        <v>0.920000000000002</v>
      </c>
      <c r="M21" s="16" t="n">
        <f aca="false">+M20+L21</f>
        <v>42.6</v>
      </c>
      <c r="N21" s="16" t="n">
        <f aca="false">+(P21/2)+M21</f>
        <v>40.6</v>
      </c>
      <c r="O21" s="16" t="n">
        <f aca="false">+N21-P21</f>
        <v>44.6</v>
      </c>
      <c r="P21" s="16" t="n">
        <f aca="false">+P20</f>
        <v>-4</v>
      </c>
      <c r="R21" s="2" t="s">
        <v>36</v>
      </c>
      <c r="S21" s="13" t="n">
        <v>0.920000000000002</v>
      </c>
      <c r="T21" s="16" t="n">
        <f aca="false">+T20+0.25</f>
        <v>26</v>
      </c>
      <c r="U21" s="16" t="n">
        <f aca="false">+(W21/2)+T21</f>
        <v>24</v>
      </c>
      <c r="V21" s="16" t="n">
        <f aca="false">+U21-W21</f>
        <v>28</v>
      </c>
      <c r="W21" s="16" t="n">
        <f aca="false">+W20</f>
        <v>-4</v>
      </c>
      <c r="AE21" s="18" t="n">
        <v>37090</v>
      </c>
      <c r="AF21" s="3" t="e">
        <f aca="false">+AF20</f>
        <v>#REF!</v>
      </c>
      <c r="AG21" s="3"/>
      <c r="AH21" s="3" t="s">
        <v>37</v>
      </c>
      <c r="AI21" s="3" t="n">
        <f aca="false">+AI20+50</f>
        <v>154</v>
      </c>
      <c r="AJ21" s="3"/>
      <c r="AM21" s="19"/>
      <c r="AO21" s="19" t="n">
        <v>41548</v>
      </c>
      <c r="AP21" s="20" t="n">
        <f aca="false">VLOOKUP(AO21,Interest!$X$8:$AC$367,6)</f>
        <v>0.493416055115704</v>
      </c>
      <c r="AQ21" s="1" t="n">
        <v>33.9051818847656</v>
      </c>
      <c r="AR21" s="21" t="n">
        <f aca="false">+TradeSum!CD70*AP21</f>
        <v>165.787794518877</v>
      </c>
      <c r="AS21" s="21" t="n">
        <f aca="false">+AR21*AQ21</f>
        <v>5621.06532743666</v>
      </c>
    </row>
    <row r="22" customFormat="false" ht="12.75" hidden="false" customHeight="false" outlineLevel="0" collapsed="false">
      <c r="D22" s="12"/>
      <c r="E22" s="12"/>
      <c r="F22" s="13"/>
      <c r="G22" s="12"/>
      <c r="H22" s="12"/>
      <c r="I22" s="12"/>
      <c r="J22" s="12"/>
      <c r="K22" s="2" t="s">
        <v>38</v>
      </c>
      <c r="L22" s="13" t="n">
        <v>0.759999999999998</v>
      </c>
      <c r="M22" s="16" t="n">
        <f aca="false">+M21+L22</f>
        <v>43.36</v>
      </c>
      <c r="N22" s="16" t="n">
        <f aca="false">+(P22/2)+M22</f>
        <v>41.36</v>
      </c>
      <c r="O22" s="16" t="n">
        <f aca="false">+N22-P22</f>
        <v>45.36</v>
      </c>
      <c r="P22" s="16" t="n">
        <f aca="false">+P21</f>
        <v>-4</v>
      </c>
      <c r="R22" s="2" t="s">
        <v>38</v>
      </c>
      <c r="S22" s="13" t="n">
        <v>0.759999999999998</v>
      </c>
      <c r="T22" s="16" t="n">
        <f aca="false">+T21+0.25</f>
        <v>26.25</v>
      </c>
      <c r="U22" s="16" t="n">
        <f aca="false">+(W22/2)+T22</f>
        <v>24.25</v>
      </c>
      <c r="V22" s="16" t="n">
        <f aca="false">+U22-W22</f>
        <v>28.25</v>
      </c>
      <c r="W22" s="16" t="n">
        <f aca="false">+W21</f>
        <v>-4</v>
      </c>
      <c r="AE22" s="18" t="n">
        <v>37091</v>
      </c>
      <c r="AF22" s="3" t="e">
        <f aca="false">+AF21</f>
        <v>#REF!</v>
      </c>
      <c r="AG22" s="3"/>
      <c r="AH22" s="3" t="s">
        <v>39</v>
      </c>
      <c r="AI22" s="3" t="n">
        <f aca="false">+AI21</f>
        <v>154</v>
      </c>
      <c r="AJ22" s="3"/>
      <c r="AM22" s="19"/>
      <c r="AO22" s="19" t="n">
        <v>41579</v>
      </c>
      <c r="AP22" s="20" t="n">
        <f aca="false">VLOOKUP(AO22,Interest!$X$8:$AC$367,6)</f>
        <v>0.490845381185188</v>
      </c>
      <c r="AQ22" s="1" t="n">
        <v>34.0051803588867</v>
      </c>
      <c r="AR22" s="21" t="n">
        <f aca="false">+TradeSum!CD71*AP22</f>
        <v>172.777574177186</v>
      </c>
      <c r="AS22" s="21" t="n">
        <f aca="false">+AR22*AQ22</f>
        <v>5875.33257186614</v>
      </c>
    </row>
    <row r="23" customFormat="false" ht="12.75" hidden="false" customHeight="false" outlineLevel="0" collapsed="false">
      <c r="D23" s="12"/>
      <c r="E23" s="12"/>
      <c r="F23" s="13"/>
      <c r="G23" s="12"/>
      <c r="H23" s="12"/>
      <c r="I23" s="12"/>
      <c r="J23" s="12"/>
      <c r="K23" s="2" t="s">
        <v>40</v>
      </c>
      <c r="L23" s="13" t="n">
        <v>0.689999999999998</v>
      </c>
      <c r="M23" s="16" t="n">
        <f aca="false">+M22+L23</f>
        <v>44.05</v>
      </c>
      <c r="N23" s="16" t="n">
        <f aca="false">+(P23/2)+M23</f>
        <v>42.05</v>
      </c>
      <c r="O23" s="16" t="n">
        <f aca="false">+N23-P23</f>
        <v>46.05</v>
      </c>
      <c r="P23" s="16" t="n">
        <f aca="false">+P22</f>
        <v>-4</v>
      </c>
      <c r="Q23" s="16"/>
      <c r="R23" s="2" t="s">
        <v>40</v>
      </c>
      <c r="S23" s="13" t="n">
        <v>0.689999999999998</v>
      </c>
      <c r="T23" s="16" t="n">
        <f aca="false">+T22+0.25</f>
        <v>26.5</v>
      </c>
      <c r="U23" s="16" t="n">
        <f aca="false">+(W23/2)+T23</f>
        <v>24.5</v>
      </c>
      <c r="V23" s="16" t="n">
        <f aca="false">+U23-W23</f>
        <v>28.5</v>
      </c>
      <c r="W23" s="16" t="n">
        <f aca="false">+W22</f>
        <v>-4</v>
      </c>
      <c r="AD23" s="22"/>
      <c r="AE23" s="23" t="n">
        <v>37092</v>
      </c>
      <c r="AF23" s="3" t="e">
        <f aca="false">+AF22</f>
        <v>#REF!</v>
      </c>
      <c r="AG23" s="24" t="e">
        <f aca="false">AVERAGE(AF19:AF23)</f>
        <v>#REF!</v>
      </c>
      <c r="AH23" s="24" t="s">
        <v>41</v>
      </c>
      <c r="AI23" s="3" t="n">
        <f aca="false">+AI22-50</f>
        <v>104</v>
      </c>
      <c r="AJ23" s="24"/>
      <c r="AM23" s="19"/>
      <c r="AO23" s="19" t="n">
        <v>41609</v>
      </c>
      <c r="AP23" s="20" t="n">
        <f aca="false">VLOOKUP(AO23,Interest!$X$8:$AC$367,6)</f>
        <v>0.488215019691905</v>
      </c>
      <c r="AQ23" s="1" t="n">
        <v>34.1051788330078</v>
      </c>
      <c r="AR23" s="21" t="n">
        <f aca="false">+TradeSum!CD72*AP23</f>
        <v>156.22880630141</v>
      </c>
      <c r="AS23" s="21" t="n">
        <f aca="false">+AR23*AQ23</f>
        <v>5328.21137777692</v>
      </c>
    </row>
    <row r="24" customFormat="false" ht="12.75" hidden="false" customHeight="false" outlineLevel="0" collapsed="false">
      <c r="D24" s="12"/>
      <c r="E24" s="12"/>
      <c r="F24" s="13"/>
      <c r="G24" s="12"/>
      <c r="H24" s="12"/>
      <c r="I24" s="12"/>
      <c r="J24" s="12"/>
      <c r="K24" s="2" t="s">
        <v>42</v>
      </c>
      <c r="L24" s="13" t="n">
        <v>0.910000000000004</v>
      </c>
      <c r="M24" s="16" t="n">
        <f aca="false">+M23+L24</f>
        <v>44.96</v>
      </c>
      <c r="N24" s="16" t="n">
        <f aca="false">+(P24/2)+M24</f>
        <v>42.96</v>
      </c>
      <c r="O24" s="16" t="n">
        <f aca="false">+N24-P24</f>
        <v>46.96</v>
      </c>
      <c r="P24" s="16" t="n">
        <f aca="false">+P23</f>
        <v>-4</v>
      </c>
      <c r="Q24" s="16"/>
      <c r="R24" s="2" t="s">
        <v>42</v>
      </c>
      <c r="S24" s="13" t="n">
        <v>0.910000000000004</v>
      </c>
      <c r="T24" s="16" t="n">
        <f aca="false">+T23+0.25</f>
        <v>26.75</v>
      </c>
      <c r="U24" s="16" t="n">
        <f aca="false">+(W24/2)+T24</f>
        <v>24.75</v>
      </c>
      <c r="V24" s="16" t="n">
        <f aca="false">+U24-W24</f>
        <v>28.75</v>
      </c>
      <c r="W24" s="16" t="n">
        <f aca="false">+W23</f>
        <v>-4</v>
      </c>
      <c r="AE24" s="18" t="n">
        <v>37095</v>
      </c>
      <c r="AF24" s="3" t="e">
        <f aca="false">+#REF!</f>
        <v>#REF!</v>
      </c>
      <c r="AG24" s="25" t="n">
        <v>-10</v>
      </c>
      <c r="AH24" s="3" t="s">
        <v>43</v>
      </c>
      <c r="AI24" s="3" t="n">
        <f aca="false">+AI23-25</f>
        <v>79</v>
      </c>
      <c r="AJ24" s="3"/>
    </row>
    <row r="25" customFormat="false" ht="12.75" hidden="false" customHeight="false" outlineLevel="0" collapsed="false">
      <c r="D25" s="12"/>
      <c r="E25" s="12"/>
      <c r="F25" s="13"/>
      <c r="G25" s="12"/>
      <c r="H25" s="12"/>
      <c r="I25" s="26"/>
      <c r="J25" s="12"/>
      <c r="K25" s="2"/>
      <c r="L25" s="12"/>
      <c r="M25" s="16"/>
      <c r="N25" s="16"/>
      <c r="O25" s="16"/>
      <c r="P25" s="16"/>
      <c r="Q25" s="16"/>
      <c r="R25" s="2"/>
      <c r="S25" s="12"/>
      <c r="T25" s="16"/>
      <c r="U25" s="16"/>
      <c r="V25" s="16"/>
      <c r="W25" s="16"/>
      <c r="AE25" s="18" t="n">
        <v>37096</v>
      </c>
      <c r="AF25" s="3" t="e">
        <f aca="false">+AF24</f>
        <v>#REF!</v>
      </c>
      <c r="AG25" s="3"/>
      <c r="AH25" s="3" t="s">
        <v>44</v>
      </c>
      <c r="AI25" s="3" t="n">
        <f aca="false">+AI24-25</f>
        <v>54</v>
      </c>
      <c r="AJ25" s="3"/>
      <c r="AQ25" s="1" t="n">
        <f aca="false">+AS25/AR25</f>
        <v>41.3734293637749</v>
      </c>
      <c r="AR25" s="21" t="n">
        <f aca="false">SUM(AR12:AR24)</f>
        <v>2051.41670214903</v>
      </c>
      <c r="AS25" s="21" t="n">
        <f aca="false">SUM(AS12:AS24)</f>
        <v>84874.1440220311</v>
      </c>
    </row>
    <row r="26" customFormat="false" ht="12.75" hidden="false" customHeight="false" outlineLevel="0" collapsed="false">
      <c r="C26" s="8"/>
      <c r="D26" s="27" t="s">
        <v>45</v>
      </c>
      <c r="E26" s="27" t="s">
        <v>46</v>
      </c>
      <c r="F26" s="27" t="s">
        <v>47</v>
      </c>
      <c r="G26" s="27" t="s">
        <v>48</v>
      </c>
      <c r="H26" s="27" t="s">
        <v>49</v>
      </c>
      <c r="I26" s="28" t="s">
        <v>50</v>
      </c>
      <c r="J26" s="29"/>
      <c r="K26" s="2" t="s">
        <v>51</v>
      </c>
      <c r="L26" s="13"/>
      <c r="M26" s="16" t="n">
        <f aca="false">AVERAGE(M11:M15)</f>
        <v>40.822</v>
      </c>
      <c r="N26" s="16" t="n">
        <f aca="false">AVERAGE(N11:N15)</f>
        <v>40.122</v>
      </c>
      <c r="O26" s="16" t="n">
        <f aca="false">AVERAGE(O11:O15)</f>
        <v>41.522</v>
      </c>
      <c r="P26" s="16"/>
      <c r="Q26" s="16"/>
      <c r="R26" s="2" t="s">
        <v>51</v>
      </c>
      <c r="S26" s="13"/>
      <c r="T26" s="16" t="n">
        <f aca="false">AVERAGE(T11:T15)</f>
        <v>23.962</v>
      </c>
      <c r="U26" s="16" t="n">
        <f aca="false">AVERAGE(U11:U15)</f>
        <v>23.262</v>
      </c>
      <c r="V26" s="16" t="n">
        <f aca="false">AVERAGE(V11:V15)</f>
        <v>24.662</v>
      </c>
      <c r="W26" s="16"/>
      <c r="AE26" s="18" t="n">
        <v>37097</v>
      </c>
      <c r="AF26" s="3" t="e">
        <f aca="false">+AF25</f>
        <v>#REF!</v>
      </c>
      <c r="AG26" s="3"/>
      <c r="AH26" s="3" t="s">
        <v>52</v>
      </c>
      <c r="AI26" s="3" t="n">
        <f aca="false">+AI25-25</f>
        <v>29</v>
      </c>
      <c r="AJ26" s="3"/>
    </row>
    <row r="27" customFormat="false" ht="12.75" hidden="false" customHeight="false" outlineLevel="0" collapsed="false">
      <c r="C27" s="2" t="s">
        <v>20</v>
      </c>
      <c r="D27" s="30" t="n">
        <v>125</v>
      </c>
      <c r="E27" s="30"/>
      <c r="F27" s="30" t="n">
        <v>50</v>
      </c>
      <c r="G27" s="30" t="n">
        <v>52</v>
      </c>
      <c r="H27" s="30"/>
      <c r="I27" s="31" t="n">
        <f aca="false">SUM(D27:H27)</f>
        <v>227</v>
      </c>
      <c r="J27" s="15" t="n">
        <f aca="false">(I27*4080*Total!S13)</f>
        <v>-167885.433438316</v>
      </c>
      <c r="K27" s="2" t="s">
        <v>53</v>
      </c>
      <c r="L27" s="13"/>
      <c r="M27" s="16" t="n">
        <f aca="false">AVERAGE(M13:M14)</f>
        <v>39.285</v>
      </c>
      <c r="N27" s="16" t="n">
        <f aca="false">AVERAGE(N13:N14)</f>
        <v>38.535</v>
      </c>
      <c r="O27" s="16" t="n">
        <f aca="false">AVERAGE(O13:O14)</f>
        <v>40.035</v>
      </c>
      <c r="P27" s="16"/>
      <c r="Q27" s="16"/>
      <c r="R27" s="2" t="s">
        <v>53</v>
      </c>
      <c r="S27" s="13"/>
      <c r="T27" s="16" t="n">
        <f aca="false">AVERAGE(T13:T14)</f>
        <v>24.125</v>
      </c>
      <c r="U27" s="16" t="n">
        <f aca="false">AVERAGE(U13:U14)</f>
        <v>23.375</v>
      </c>
      <c r="V27" s="16" t="n">
        <f aca="false">AVERAGE(V13:V14)</f>
        <v>24.875</v>
      </c>
      <c r="W27" s="16"/>
      <c r="AE27" s="18" t="n">
        <v>37098</v>
      </c>
      <c r="AF27" s="3" t="e">
        <f aca="false">+AF26</f>
        <v>#REF!</v>
      </c>
      <c r="AG27" s="3"/>
      <c r="AH27" s="3"/>
      <c r="AI27" s="3"/>
      <c r="AJ27" s="3"/>
    </row>
    <row r="28" customFormat="false" ht="12.75" hidden="false" customHeight="false" outlineLevel="0" collapsed="false">
      <c r="C28" s="2" t="s">
        <v>22</v>
      </c>
      <c r="D28" s="30"/>
      <c r="E28" s="30"/>
      <c r="F28" s="30" t="n">
        <v>-75</v>
      </c>
      <c r="G28" s="30" t="n">
        <v>142</v>
      </c>
      <c r="H28" s="30"/>
      <c r="I28" s="31" t="n">
        <f aca="false">SUM(D28:H28)</f>
        <v>67</v>
      </c>
      <c r="J28" s="15" t="n">
        <f aca="false">(I28*4080*Total!S14)</f>
        <v>-68797.2363998182</v>
      </c>
      <c r="K28" s="2" t="s">
        <v>54</v>
      </c>
      <c r="L28" s="13"/>
      <c r="M28" s="16" t="n">
        <f aca="false">AVERAGE(M13:M15)</f>
        <v>39.3666666666667</v>
      </c>
      <c r="N28" s="16" t="n">
        <f aca="false">AVERAGE(N13:N15)</f>
        <v>38.5333333333333</v>
      </c>
      <c r="O28" s="16" t="n">
        <f aca="false">AVERAGE(O13:O15)</f>
        <v>40.2</v>
      </c>
      <c r="P28" s="16"/>
      <c r="R28" s="2" t="s">
        <v>54</v>
      </c>
      <c r="S28" s="13"/>
      <c r="T28" s="16" t="n">
        <f aca="false">AVERAGE(T13:T15)</f>
        <v>24.25</v>
      </c>
      <c r="U28" s="16" t="n">
        <f aca="false">AVERAGE(U13:U15)</f>
        <v>23.4166666666667</v>
      </c>
      <c r="V28" s="16" t="n">
        <f aca="false">AVERAGE(V13:V15)</f>
        <v>25.0833333333333</v>
      </c>
      <c r="W28" s="16"/>
      <c r="AD28" s="22"/>
      <c r="AE28" s="23" t="n">
        <v>37099</v>
      </c>
      <c r="AF28" s="3" t="e">
        <f aca="false">+AF27</f>
        <v>#REF!</v>
      </c>
      <c r="AG28" s="24" t="e">
        <f aca="false">AVERAGE(AF24:AF28)</f>
        <v>#REF!</v>
      </c>
      <c r="AH28" s="24"/>
      <c r="AI28" s="32" t="n">
        <f aca="false">AVERAGE(AI10:AI26)</f>
        <v>64</v>
      </c>
      <c r="AJ28" s="24"/>
    </row>
    <row r="29" customFormat="false" ht="12.75" hidden="false" customHeight="false" outlineLevel="0" collapsed="false">
      <c r="C29" s="2" t="s">
        <v>24</v>
      </c>
      <c r="D29" s="30"/>
      <c r="E29" s="30"/>
      <c r="F29" s="30" t="n">
        <v>-25</v>
      </c>
      <c r="G29" s="30" t="n">
        <v>95</v>
      </c>
      <c r="H29" s="30"/>
      <c r="I29" s="31" t="n">
        <f aca="false">SUM(D29:H29)</f>
        <v>70</v>
      </c>
      <c r="J29" s="15" t="n">
        <f aca="false">(I29*4080*Total!S15)</f>
        <v>-75606.6802727204</v>
      </c>
      <c r="K29" s="2" t="s">
        <v>55</v>
      </c>
      <c r="L29" s="13"/>
      <c r="M29" s="16" t="n">
        <f aca="false">AVERAGE(M15:M19)</f>
        <v>40.13</v>
      </c>
      <c r="N29" s="16" t="n">
        <f aca="false">AVERAGE(N15:N19)</f>
        <v>38.83</v>
      </c>
      <c r="O29" s="16" t="n">
        <f aca="false">AVERAGE(O15:O19)</f>
        <v>41.43</v>
      </c>
      <c r="P29" s="16"/>
      <c r="R29" s="2" t="s">
        <v>55</v>
      </c>
      <c r="S29" s="13"/>
      <c r="T29" s="16" t="n">
        <f aca="false">AVERAGE(T15:T19)</f>
        <v>25</v>
      </c>
      <c r="U29" s="16" t="n">
        <f aca="false">AVERAGE(U15:U19)</f>
        <v>23.7</v>
      </c>
      <c r="V29" s="16" t="n">
        <f aca="false">AVERAGE(V15:V19)</f>
        <v>26.3</v>
      </c>
      <c r="W29" s="16"/>
      <c r="AE29" s="18" t="n">
        <v>37102</v>
      </c>
      <c r="AF29" s="3" t="n">
        <f aca="false">+'EOL LINKS'!H19</f>
        <v>54</v>
      </c>
      <c r="AG29" s="25" t="n">
        <v>-15</v>
      </c>
      <c r="AH29" s="3"/>
      <c r="AI29" s="3"/>
      <c r="AJ29" s="3"/>
    </row>
    <row r="30" customFormat="false" ht="12.75" hidden="false" customHeight="false" outlineLevel="0" collapsed="false">
      <c r="C30" s="2" t="s">
        <v>26</v>
      </c>
      <c r="D30" s="30"/>
      <c r="E30" s="30"/>
      <c r="F30" s="30" t="n">
        <v>-25</v>
      </c>
      <c r="G30" s="30" t="n">
        <v>16</v>
      </c>
      <c r="H30" s="30"/>
      <c r="I30" s="31" t="n">
        <f aca="false">SUM(D30:H30)</f>
        <v>-9</v>
      </c>
      <c r="J30" s="15" t="n">
        <f aca="false">(I30*4080*Total!S16)</f>
        <v>8967.14641893583</v>
      </c>
      <c r="K30" s="2" t="s">
        <v>56</v>
      </c>
      <c r="L30" s="13"/>
      <c r="M30" s="16" t="n">
        <f aca="false">AVERAGE(M20:M24)</f>
        <v>43.33</v>
      </c>
      <c r="N30" s="16" t="n">
        <f aca="false">AVERAGE(N20:N24)</f>
        <v>41.33</v>
      </c>
      <c r="O30" s="16" t="n">
        <f aca="false">AVERAGE(O20:O24)</f>
        <v>45.33</v>
      </c>
      <c r="P30" s="16"/>
      <c r="R30" s="2" t="s">
        <v>56</v>
      </c>
      <c r="S30" s="13"/>
      <c r="T30" s="16" t="n">
        <f aca="false">AVERAGE(T20:T24)</f>
        <v>26.25</v>
      </c>
      <c r="U30" s="16" t="n">
        <f aca="false">AVERAGE(U20:U24)</f>
        <v>24.25</v>
      </c>
      <c r="V30" s="16" t="n">
        <f aca="false">AVERAGE(V20:V24)</f>
        <v>28.25</v>
      </c>
      <c r="W30" s="16"/>
      <c r="AE30" s="18" t="n">
        <v>37103</v>
      </c>
      <c r="AF30" s="3" t="n">
        <f aca="false">+AF29</f>
        <v>54</v>
      </c>
      <c r="AG30" s="3" t="n">
        <f aca="false">AVERAGE(AF29:AF30)</f>
        <v>54</v>
      </c>
      <c r="AH30" s="3"/>
      <c r="AI30" s="3"/>
      <c r="AJ30" s="3"/>
    </row>
    <row r="31" customFormat="false" ht="12.75" hidden="false" customHeight="false" outlineLevel="0" collapsed="false">
      <c r="C31" s="2" t="s">
        <v>28</v>
      </c>
      <c r="D31" s="30"/>
      <c r="E31" s="30"/>
      <c r="F31" s="30" t="n">
        <v>-25</v>
      </c>
      <c r="G31" s="30" t="n">
        <v>15</v>
      </c>
      <c r="H31" s="30"/>
      <c r="I31" s="31" t="n">
        <f aca="false">SUM(D31:H31)</f>
        <v>-10</v>
      </c>
      <c r="J31" s="15" t="n">
        <f aca="false">(I31*4080*Total!S17)</f>
        <v>8240.09306718334</v>
      </c>
      <c r="K31" s="2" t="s">
        <v>57</v>
      </c>
      <c r="L31" s="13"/>
      <c r="M31" s="16" t="n">
        <f aca="false">AVERAGE(M11:M19)</f>
        <v>40.5811111111111</v>
      </c>
      <c r="N31" s="16" t="n">
        <f aca="false">AVERAGE(N11:N19)</f>
        <v>39.5811111111111</v>
      </c>
      <c r="O31" s="16" t="n">
        <f aca="false">AVERAGE(O11:O19)</f>
        <v>41.5811111111111</v>
      </c>
      <c r="P31" s="16"/>
      <c r="R31" s="2" t="s">
        <v>57</v>
      </c>
      <c r="S31" s="13"/>
      <c r="T31" s="16" t="n">
        <f aca="false">AVERAGE(T11:T19)</f>
        <v>24.4788888888889</v>
      </c>
      <c r="U31" s="16" t="n">
        <f aca="false">AVERAGE(U11:U19)</f>
        <v>23.4788888888889</v>
      </c>
      <c r="V31" s="16" t="n">
        <f aca="false">AVERAGE(V11:V19)</f>
        <v>25.4788888888889</v>
      </c>
      <c r="W31" s="16"/>
      <c r="AF31" s="32" t="e">
        <f aca="false">AVERAGE(AF10:AF30)</f>
        <v>#REF!</v>
      </c>
      <c r="AG31" s="3"/>
      <c r="AH31" s="3"/>
      <c r="AI31" s="3"/>
      <c r="AJ31" s="3"/>
    </row>
    <row r="32" customFormat="false" ht="12.75" hidden="false" customHeight="false" outlineLevel="0" collapsed="false">
      <c r="C32" s="2" t="s">
        <v>30</v>
      </c>
      <c r="D32" s="30"/>
      <c r="E32" s="30"/>
      <c r="F32" s="30"/>
      <c r="G32" s="30"/>
      <c r="H32" s="30"/>
      <c r="I32" s="31" t="n">
        <f aca="false">SUM(D32:H32)</f>
        <v>0</v>
      </c>
      <c r="J32" s="15" t="n">
        <f aca="false">(I32*4080*Total!S18)</f>
        <v>-0</v>
      </c>
      <c r="K32" s="2" t="s">
        <v>58</v>
      </c>
      <c r="L32" s="13"/>
      <c r="M32" s="16" t="n">
        <f aca="false">AVERAGE(M11:M24)</f>
        <v>41.5628571428572</v>
      </c>
      <c r="N32" s="16" t="n">
        <f aca="false">AVERAGE(N11:N24)</f>
        <v>40.2057142857143</v>
      </c>
      <c r="O32" s="16" t="n">
        <f aca="false">AVERAGE(O11:O24)</f>
        <v>42.92</v>
      </c>
      <c r="P32" s="16"/>
      <c r="Q32" s="16"/>
      <c r="R32" s="2" t="s">
        <v>58</v>
      </c>
      <c r="S32" s="13"/>
      <c r="T32" s="16" t="n">
        <f aca="false">AVERAGE(T11:T24)</f>
        <v>25.1114285714286</v>
      </c>
      <c r="U32" s="16" t="n">
        <f aca="false">AVERAGE(U11:U24)</f>
        <v>23.7542857142857</v>
      </c>
      <c r="V32" s="16" t="n">
        <f aca="false">AVERAGE(V11:V24)</f>
        <v>26.4685714285714</v>
      </c>
      <c r="W32" s="16"/>
      <c r="AF32" s="3"/>
      <c r="AG32" s="3"/>
      <c r="AH32" s="3"/>
      <c r="AI32" s="3"/>
      <c r="AJ32" s="3"/>
    </row>
    <row r="33" customFormat="false" ht="12.75" hidden="false" customHeight="false" outlineLevel="0" collapsed="false">
      <c r="C33" s="2" t="s">
        <v>32</v>
      </c>
      <c r="D33" s="30"/>
      <c r="E33" s="30"/>
      <c r="F33" s="30"/>
      <c r="G33" s="30"/>
      <c r="H33" s="30"/>
      <c r="I33" s="31" t="n">
        <f aca="false">SUM(D33:H33)</f>
        <v>0</v>
      </c>
      <c r="J33" s="15" t="n">
        <f aca="false">(I33*4080*Total!S19)</f>
        <v>-0</v>
      </c>
      <c r="K33" s="2" t="s">
        <v>59</v>
      </c>
      <c r="L33" s="13"/>
      <c r="M33" s="16" t="n">
        <f aca="false">AVERAGE(M15:M24)</f>
        <v>41.73</v>
      </c>
      <c r="N33" s="16" t="n">
        <f aca="false">AVERAGE(N15:N24)</f>
        <v>40.08</v>
      </c>
      <c r="O33" s="16" t="n">
        <f aca="false">AVERAGE(O15:O24)</f>
        <v>43.38</v>
      </c>
      <c r="P33" s="16"/>
      <c r="Q33" s="16"/>
      <c r="R33" s="2" t="s">
        <v>59</v>
      </c>
      <c r="S33" s="13"/>
      <c r="T33" s="16" t="n">
        <f aca="false">AVERAGE(T15:T24)</f>
        <v>25.625</v>
      </c>
      <c r="U33" s="16" t="n">
        <f aca="false">AVERAGE(U15:U24)</f>
        <v>23.975</v>
      </c>
      <c r="V33" s="16" t="n">
        <f aca="false">AVERAGE(V15:V24)</f>
        <v>27.275</v>
      </c>
      <c r="W33" s="16"/>
      <c r="AA33" s="1" t="n">
        <v>0</v>
      </c>
      <c r="AF33" s="3"/>
      <c r="AG33" s="3"/>
      <c r="AH33" s="3"/>
      <c r="AI33" s="3"/>
      <c r="AJ33" s="3"/>
    </row>
    <row r="34" customFormat="false" ht="12.75" hidden="false" customHeight="false" outlineLevel="0" collapsed="false">
      <c r="I34" s="33"/>
      <c r="K34" s="2"/>
      <c r="L34" s="13"/>
      <c r="M34" s="16"/>
      <c r="N34" s="16"/>
      <c r="O34" s="16"/>
      <c r="P34" s="16"/>
      <c r="Q34" s="16"/>
      <c r="R34" s="3"/>
      <c r="AA34" s="1" t="n">
        <v>0</v>
      </c>
      <c r="AF34" s="3"/>
      <c r="AG34" s="3"/>
      <c r="AH34" s="3"/>
      <c r="AI34" s="3"/>
      <c r="AJ34" s="3"/>
    </row>
    <row r="35" customFormat="false" ht="12.75" hidden="false" customHeight="false" outlineLevel="0" collapsed="false">
      <c r="I35" s="33"/>
      <c r="J35" s="15" t="n">
        <f aca="false">SUM(J27:J33)</f>
        <v>-295082.110624735</v>
      </c>
      <c r="K35" s="2"/>
      <c r="L35" s="13"/>
      <c r="M35" s="16"/>
      <c r="N35" s="16"/>
      <c r="O35" s="16"/>
      <c r="P35" s="16"/>
      <c r="AA35" s="1" t="n">
        <v>0</v>
      </c>
      <c r="AF35" s="3"/>
      <c r="AG35" s="3"/>
      <c r="AH35" s="3"/>
      <c r="AI35" s="3"/>
      <c r="AJ35" s="3"/>
    </row>
    <row r="36" customFormat="false" ht="12.75" hidden="false" customHeight="false" outlineLevel="0" collapsed="false">
      <c r="K36" s="2"/>
      <c r="L36" s="13"/>
      <c r="M36" s="16"/>
      <c r="N36" s="16"/>
      <c r="O36" s="16"/>
      <c r="P36" s="16"/>
      <c r="AA36" s="1" t="n">
        <v>0</v>
      </c>
      <c r="AH36" s="3"/>
      <c r="AI36" s="3"/>
      <c r="AJ36" s="3"/>
    </row>
    <row r="37" customFormat="false" ht="12.75" hidden="false" customHeight="false" outlineLevel="0" collapsed="false">
      <c r="K37" s="2"/>
      <c r="L37" s="13"/>
      <c r="M37" s="16"/>
      <c r="N37" s="16"/>
      <c r="O37" s="16"/>
      <c r="P37" s="16"/>
      <c r="AA37" s="1" t="n">
        <v>0</v>
      </c>
      <c r="AH37" s="3"/>
      <c r="AI37" s="3"/>
      <c r="AJ37" s="3"/>
    </row>
    <row r="38" customFormat="false" ht="12.75" hidden="false" customHeight="false" outlineLevel="0" collapsed="false">
      <c r="K38" s="2"/>
      <c r="L38" s="13"/>
      <c r="M38" s="16"/>
      <c r="N38" s="16"/>
      <c r="O38" s="16"/>
      <c r="P38" s="16"/>
      <c r="AA38" s="1" t="n">
        <v>0</v>
      </c>
      <c r="AH38" s="3"/>
      <c r="AI38" s="3"/>
      <c r="AJ38" s="3"/>
    </row>
    <row r="39" customFormat="false" ht="12.75" hidden="false" customHeight="false" outlineLevel="0" collapsed="false">
      <c r="L39" s="16"/>
      <c r="M39" s="17"/>
      <c r="N39" s="17"/>
      <c r="AA39" s="1" t="n">
        <v>0</v>
      </c>
      <c r="AH39" s="3"/>
      <c r="AI39" s="3"/>
      <c r="AJ39" s="3"/>
    </row>
    <row r="40" customFormat="false" ht="12.75" hidden="false" customHeight="false" outlineLevel="0" collapsed="false">
      <c r="L40" s="16"/>
      <c r="M40" s="17"/>
      <c r="N40" s="17"/>
      <c r="AA40" s="1" t="n">
        <v>0</v>
      </c>
      <c r="AH40" s="3"/>
      <c r="AI40" s="3"/>
      <c r="AJ40" s="3"/>
    </row>
    <row r="41" customFormat="false" ht="12.75" hidden="false" customHeight="false" outlineLevel="0" collapsed="false">
      <c r="L41" s="16"/>
      <c r="M41" s="16"/>
      <c r="N41" s="16"/>
      <c r="O41" s="16"/>
      <c r="P41" s="16"/>
      <c r="Q41" s="3"/>
      <c r="AA41" s="1" t="n">
        <v>0</v>
      </c>
      <c r="AH41" s="3"/>
      <c r="AI41" s="3"/>
      <c r="AJ41" s="3"/>
    </row>
    <row r="42" customFormat="false" ht="12.75" hidden="false" customHeight="false" outlineLevel="0" collapsed="false">
      <c r="L42" s="16"/>
      <c r="M42" s="16"/>
      <c r="N42" s="16"/>
      <c r="O42" s="16"/>
      <c r="P42" s="16"/>
      <c r="Q42" s="3"/>
      <c r="AA42" s="1" t="n">
        <v>0</v>
      </c>
      <c r="AH42" s="3"/>
      <c r="AI42" s="3"/>
      <c r="AJ42" s="3"/>
    </row>
    <row r="43" customFormat="false" ht="12.75" hidden="false" customHeight="false" outlineLevel="0" collapsed="false">
      <c r="L43" s="16"/>
      <c r="M43" s="16"/>
      <c r="N43" s="16"/>
      <c r="O43" s="16"/>
      <c r="P43" s="16"/>
      <c r="Q43" s="3"/>
      <c r="AH43" s="3"/>
      <c r="AI43" s="3"/>
      <c r="AJ43" s="3"/>
    </row>
    <row r="44" customFormat="false" ht="12.75" hidden="false" customHeight="false" outlineLevel="0" collapsed="false">
      <c r="L44" s="16"/>
      <c r="M44" s="16"/>
      <c r="N44" s="16"/>
      <c r="O44" s="16"/>
      <c r="P44" s="16"/>
      <c r="AH44" s="3"/>
      <c r="AI44" s="3"/>
      <c r="AJ44" s="3"/>
    </row>
    <row r="45" customFormat="false" ht="12.75" hidden="false" customHeight="false" outlineLevel="0" collapsed="false">
      <c r="L45" s="16"/>
      <c r="M45" s="16"/>
      <c r="N45" s="16"/>
      <c r="O45" s="16"/>
      <c r="P45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0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6" topLeftCell="E7" activePane="bottomRight" state="frozen"/>
      <selection pane="topLeft" activeCell="A1" activeCellId="0" sqref="A1"/>
      <selection pane="topRight" activeCell="E1" activeCellId="0" sqref="E1"/>
      <selection pane="bottomLeft" activeCell="A7" activeCellId="0" sqref="A7"/>
      <selection pane="bottomRight" activeCell="D15" activeCellId="0" sqref="D15"/>
    </sheetView>
  </sheetViews>
  <sheetFormatPr defaultColWidth="9.0546875" defaultRowHeight="12.75" customHeight="true" zeroHeight="false" outlineLevelRow="1" outlineLevelCol="0"/>
  <cols>
    <col collapsed="false" customWidth="true" hidden="false" outlineLevel="0" max="1" min="1" style="0" width="12.14"/>
    <col collapsed="false" customWidth="true" hidden="false" outlineLevel="0" max="2" min="2" style="0" width="6.13"/>
    <col collapsed="false" customWidth="true" hidden="false" outlineLevel="0" max="3" min="3" style="0" width="9.41"/>
    <col collapsed="false" customWidth="true" hidden="false" outlineLevel="0" max="4" min="4" style="0" width="10.28"/>
    <col collapsed="false" customWidth="true" hidden="false" outlineLevel="0" max="5" min="5" style="0" width="9.7"/>
    <col collapsed="false" customWidth="true" hidden="false" outlineLevel="0" max="6" min="6" style="898" width="11.99"/>
    <col collapsed="false" customWidth="true" hidden="false" outlineLevel="0" max="7" min="7" style="898" width="11.13"/>
    <col collapsed="false" customWidth="true" hidden="false" outlineLevel="0" max="8" min="8" style="898" width="11.42"/>
    <col collapsed="false" customWidth="true" hidden="false" outlineLevel="0" max="9" min="9" style="897" width="9.14"/>
  </cols>
  <sheetData>
    <row r="1" customFormat="false" ht="12.75" hidden="false" customHeight="false" outlineLevel="0" collapsed="false">
      <c r="A1" s="965" t="s">
        <v>450</v>
      </c>
      <c r="B1" s="0" t="s">
        <v>451</v>
      </c>
      <c r="C1" s="965"/>
      <c r="D1" s="965"/>
      <c r="F1" s="783"/>
      <c r="G1" s="783"/>
      <c r="H1" s="783"/>
    </row>
    <row r="2" customFormat="false" ht="12.75" hidden="false" customHeight="false" outlineLevel="0" collapsed="false">
      <c r="A2" s="965" t="s">
        <v>452</v>
      </c>
      <c r="B2" s="233" t="n">
        <v>1</v>
      </c>
      <c r="C2" s="965"/>
      <c r="D2" s="965"/>
      <c r="F2" s="783"/>
      <c r="G2" s="783"/>
      <c r="H2" s="783"/>
    </row>
    <row r="3" customFormat="false" ht="12.75" hidden="false" customHeight="false" outlineLevel="0" collapsed="false">
      <c r="A3" s="965" t="s">
        <v>453</v>
      </c>
      <c r="B3" s="0" t="s">
        <v>454</v>
      </c>
      <c r="C3" s="965"/>
      <c r="D3" s="965"/>
      <c r="F3" s="783"/>
      <c r="G3" s="783"/>
      <c r="H3" s="783"/>
    </row>
    <row r="4" customFormat="false" ht="12.75" hidden="false" customHeight="false" outlineLevel="0" collapsed="false">
      <c r="A4" s="965" t="s">
        <v>455</v>
      </c>
      <c r="B4" s="0" t="s">
        <v>456</v>
      </c>
      <c r="C4" s="965"/>
      <c r="D4" s="965"/>
      <c r="F4" s="783"/>
      <c r="G4" s="783"/>
      <c r="H4" s="783"/>
    </row>
    <row r="5" customFormat="false" ht="12.75" hidden="false" customHeight="false" outlineLevel="0" collapsed="false">
      <c r="A5" s="966"/>
      <c r="B5" s="966"/>
      <c r="C5" s="967"/>
      <c r="D5" s="967"/>
      <c r="E5" s="967"/>
      <c r="F5" s="968" t="n">
        <f aca="false">SUM(F8:F4003)</f>
        <v>0</v>
      </c>
      <c r="G5" s="968" t="n">
        <f aca="false">SUM(G8:G4003)</f>
        <v>0</v>
      </c>
      <c r="H5" s="968" t="n">
        <f aca="false">SUM(H8:H4003)</f>
        <v>0</v>
      </c>
      <c r="I5" s="969"/>
    </row>
    <row r="6" customFormat="false" ht="12.75" hidden="false" customHeight="false" outlineLevel="1" collapsed="false">
      <c r="A6" s="970"/>
      <c r="B6" s="971"/>
      <c r="C6" s="971"/>
      <c r="D6" s="971"/>
      <c r="E6" s="971"/>
      <c r="F6" s="972" t="s">
        <v>83</v>
      </c>
      <c r="G6" s="971"/>
      <c r="H6" s="971"/>
      <c r="I6" s="969"/>
    </row>
    <row r="7" customFormat="false" ht="15" hidden="false" customHeight="true" outlineLevel="1" collapsed="false">
      <c r="A7" s="973" t="s">
        <v>457</v>
      </c>
      <c r="B7" s="973" t="s">
        <v>182</v>
      </c>
      <c r="C7" s="973" t="s">
        <v>458</v>
      </c>
      <c r="D7" s="973" t="s">
        <v>459</v>
      </c>
      <c r="E7" s="973" t="s">
        <v>460</v>
      </c>
      <c r="F7" s="974" t="s">
        <v>273</v>
      </c>
      <c r="G7" s="975" t="s">
        <v>461</v>
      </c>
      <c r="H7" s="975" t="s">
        <v>462</v>
      </c>
      <c r="I7" s="969" t="s">
        <v>463</v>
      </c>
    </row>
    <row r="8" customFormat="false" ht="12.75" hidden="false" customHeight="false" outlineLevel="1" collapsed="false">
      <c r="A8" s="897"/>
      <c r="E8" s="897"/>
    </row>
    <row r="9" customFormat="false" ht="12.75" hidden="false" customHeight="false" outlineLevel="1" collapsed="false">
      <c r="A9" s="897"/>
      <c r="E9" s="897"/>
    </row>
    <row r="10" customFormat="false" ht="12.75" hidden="false" customHeight="false" outlineLevel="1" collapsed="false">
      <c r="A10" s="897"/>
      <c r="E10" s="897"/>
    </row>
    <row r="11" customFormat="false" ht="12.75" hidden="false" customHeight="false" outlineLevel="1" collapsed="false">
      <c r="A11" s="897"/>
      <c r="E11" s="897"/>
    </row>
    <row r="12" customFormat="false" ht="12.75" hidden="false" customHeight="false" outlineLevel="1" collapsed="false">
      <c r="A12" s="897"/>
      <c r="E12" s="897"/>
    </row>
    <row r="13" customFormat="false" ht="12.75" hidden="false" customHeight="false" outlineLevel="1" collapsed="false">
      <c r="A13" s="897"/>
      <c r="E13" s="897"/>
    </row>
    <row r="14" customFormat="false" ht="12.75" hidden="false" customHeight="false" outlineLevel="1" collapsed="false">
      <c r="A14" s="897"/>
      <c r="E14" s="897"/>
    </row>
    <row r="15" customFormat="false" ht="12.75" hidden="false" customHeight="false" outlineLevel="1" collapsed="false">
      <c r="A15" s="897"/>
      <c r="E15" s="897"/>
    </row>
    <row r="16" customFormat="false" ht="12.75" hidden="false" customHeight="false" outlineLevel="1" collapsed="false">
      <c r="A16" s="897"/>
      <c r="E16" s="897"/>
    </row>
    <row r="17" customFormat="false" ht="12.75" hidden="false" customHeight="false" outlineLevel="1" collapsed="false">
      <c r="A17" s="897"/>
      <c r="E17" s="897"/>
    </row>
    <row r="18" customFormat="false" ht="12.75" hidden="false" customHeight="false" outlineLevel="1" collapsed="false">
      <c r="A18" s="897"/>
      <c r="E18" s="897"/>
    </row>
    <row r="19" customFormat="false" ht="12.75" hidden="false" customHeight="false" outlineLevel="1" collapsed="false">
      <c r="A19" s="897"/>
      <c r="E19" s="897"/>
    </row>
    <row r="20" customFormat="false" ht="12.75" hidden="false" customHeight="false" outlineLevel="1" collapsed="false">
      <c r="A20" s="897"/>
      <c r="E20" s="897"/>
    </row>
    <row r="21" customFormat="false" ht="12.75" hidden="false" customHeight="false" outlineLevel="1" collapsed="false">
      <c r="A21" s="897"/>
      <c r="E21" s="897"/>
    </row>
    <row r="22" customFormat="false" ht="12.75" hidden="false" customHeight="false" outlineLevel="1" collapsed="false">
      <c r="A22" s="897"/>
      <c r="E22" s="897"/>
    </row>
    <row r="23" customFormat="false" ht="12.75" hidden="false" customHeight="false" outlineLevel="1" collapsed="false">
      <c r="A23" s="897"/>
      <c r="E23" s="897"/>
    </row>
    <row r="24" customFormat="false" ht="12.75" hidden="false" customHeight="false" outlineLevel="1" collapsed="false">
      <c r="A24" s="897"/>
      <c r="E24" s="897"/>
    </row>
    <row r="25" customFormat="false" ht="12.75" hidden="false" customHeight="false" outlineLevel="1" collapsed="false">
      <c r="A25" s="897"/>
      <c r="E25" s="897"/>
    </row>
    <row r="26" customFormat="false" ht="12.75" hidden="false" customHeight="false" outlineLevel="1" collapsed="false">
      <c r="A26" s="897"/>
      <c r="E26" s="897"/>
    </row>
    <row r="27" customFormat="false" ht="12.75" hidden="false" customHeight="false" outlineLevel="1" collapsed="false">
      <c r="A27" s="897"/>
      <c r="E27" s="897"/>
    </row>
    <row r="28" customFormat="false" ht="12.75" hidden="false" customHeight="false" outlineLevel="1" collapsed="false">
      <c r="A28" s="897"/>
      <c r="E28" s="897"/>
    </row>
    <row r="29" customFormat="false" ht="12.75" hidden="false" customHeight="false" outlineLevel="1" collapsed="false">
      <c r="A29" s="897"/>
      <c r="E29" s="897"/>
    </row>
    <row r="30" customFormat="false" ht="12.75" hidden="false" customHeight="false" outlineLevel="1" collapsed="false">
      <c r="A30" s="897"/>
      <c r="E30" s="897"/>
    </row>
    <row r="31" customFormat="false" ht="12.75" hidden="false" customHeight="false" outlineLevel="1" collapsed="false">
      <c r="A31" s="897"/>
      <c r="E31" s="897"/>
    </row>
    <row r="32" customFormat="false" ht="12.75" hidden="false" customHeight="false" outlineLevel="1" collapsed="false">
      <c r="A32" s="897"/>
      <c r="E32" s="897"/>
    </row>
    <row r="33" customFormat="false" ht="12.75" hidden="false" customHeight="false" outlineLevel="1" collapsed="false">
      <c r="A33" s="897"/>
      <c r="E33" s="897"/>
    </row>
    <row r="34" customFormat="false" ht="12.75" hidden="false" customHeight="false" outlineLevel="1" collapsed="false">
      <c r="A34" s="897"/>
      <c r="E34" s="897"/>
    </row>
    <row r="35" customFormat="false" ht="12.75" hidden="false" customHeight="false" outlineLevel="1" collapsed="false">
      <c r="A35" s="897"/>
      <c r="E35" s="897"/>
    </row>
    <row r="36" customFormat="false" ht="12.75" hidden="false" customHeight="false" outlineLevel="1" collapsed="false">
      <c r="A36" s="897"/>
      <c r="E36" s="897"/>
    </row>
    <row r="37" customFormat="false" ht="12.75" hidden="false" customHeight="false" outlineLevel="1" collapsed="false">
      <c r="A37" s="897"/>
      <c r="E37" s="897"/>
    </row>
    <row r="38" customFormat="false" ht="12.75" hidden="false" customHeight="false" outlineLevel="1" collapsed="false">
      <c r="A38" s="897"/>
      <c r="E38" s="897"/>
    </row>
    <row r="39" customFormat="false" ht="12.75" hidden="false" customHeight="false" outlineLevel="1" collapsed="false">
      <c r="A39" s="897"/>
      <c r="E39" s="897"/>
    </row>
    <row r="40" customFormat="false" ht="12.75" hidden="false" customHeight="false" outlineLevel="1" collapsed="false">
      <c r="A40" s="897"/>
      <c r="E40" s="897"/>
    </row>
    <row r="41" customFormat="false" ht="12.75" hidden="false" customHeight="false" outlineLevel="1" collapsed="false">
      <c r="A41" s="897"/>
      <c r="E41" s="897"/>
    </row>
    <row r="42" customFormat="false" ht="12.75" hidden="false" customHeight="false" outlineLevel="1" collapsed="false">
      <c r="A42" s="897"/>
      <c r="E42" s="897"/>
    </row>
    <row r="43" customFormat="false" ht="12.75" hidden="false" customHeight="false" outlineLevel="1" collapsed="false">
      <c r="A43" s="897"/>
      <c r="E43" s="897"/>
    </row>
    <row r="44" customFormat="false" ht="12.75" hidden="false" customHeight="false" outlineLevel="1" collapsed="false">
      <c r="A44" s="897"/>
      <c r="E44" s="897"/>
    </row>
    <row r="45" customFormat="false" ht="12.75" hidden="false" customHeight="false" outlineLevel="1" collapsed="false">
      <c r="A45" s="897"/>
      <c r="E45" s="897"/>
    </row>
    <row r="46" customFormat="false" ht="12.75" hidden="false" customHeight="false" outlineLevel="1" collapsed="false">
      <c r="A46" s="897"/>
      <c r="E46" s="897"/>
    </row>
    <row r="47" customFormat="false" ht="12.75" hidden="false" customHeight="false" outlineLevel="1" collapsed="false">
      <c r="A47" s="897"/>
      <c r="E47" s="897"/>
    </row>
    <row r="48" customFormat="false" ht="12.75" hidden="false" customHeight="false" outlineLevel="1" collapsed="false">
      <c r="A48" s="897"/>
      <c r="E48" s="897"/>
    </row>
    <row r="49" customFormat="false" ht="12.75" hidden="false" customHeight="false" outlineLevel="1" collapsed="false">
      <c r="A49" s="897"/>
      <c r="E49" s="897"/>
    </row>
    <row r="50" customFormat="false" ht="12.75" hidden="false" customHeight="false" outlineLevel="1" collapsed="false">
      <c r="A50" s="897"/>
      <c r="E50" s="897"/>
    </row>
    <row r="51" customFormat="false" ht="12.75" hidden="false" customHeight="false" outlineLevel="1" collapsed="false">
      <c r="A51" s="897"/>
      <c r="E51" s="897"/>
    </row>
    <row r="52" customFormat="false" ht="12.75" hidden="false" customHeight="false" outlineLevel="1" collapsed="false">
      <c r="A52" s="897"/>
      <c r="E52" s="897"/>
    </row>
    <row r="53" customFormat="false" ht="12.75" hidden="false" customHeight="false" outlineLevel="1" collapsed="false">
      <c r="A53" s="897"/>
      <c r="E53" s="897"/>
    </row>
    <row r="54" customFormat="false" ht="12.75" hidden="false" customHeight="false" outlineLevel="1" collapsed="false">
      <c r="A54" s="897"/>
      <c r="E54" s="897"/>
    </row>
    <row r="55" customFormat="false" ht="12.75" hidden="false" customHeight="false" outlineLevel="1" collapsed="false">
      <c r="A55" s="897"/>
      <c r="E55" s="897"/>
    </row>
    <row r="56" customFormat="false" ht="12.75" hidden="false" customHeight="false" outlineLevel="1" collapsed="false">
      <c r="A56" s="897"/>
      <c r="E56" s="897"/>
    </row>
    <row r="57" customFormat="false" ht="12.75" hidden="false" customHeight="false" outlineLevel="1" collapsed="false">
      <c r="A57" s="897"/>
      <c r="E57" s="897"/>
    </row>
    <row r="58" customFormat="false" ht="12.75" hidden="false" customHeight="false" outlineLevel="1" collapsed="false">
      <c r="A58" s="897"/>
      <c r="E58" s="897"/>
    </row>
    <row r="59" customFormat="false" ht="12.75" hidden="false" customHeight="false" outlineLevel="1" collapsed="false">
      <c r="A59" s="897"/>
      <c r="E59" s="897"/>
    </row>
    <row r="60" customFormat="false" ht="12.75" hidden="false" customHeight="false" outlineLevel="1" collapsed="false">
      <c r="A60" s="897"/>
      <c r="E60" s="897"/>
    </row>
    <row r="61" customFormat="false" ht="12.75" hidden="false" customHeight="false" outlineLevel="1" collapsed="false">
      <c r="A61" s="897"/>
      <c r="E61" s="897"/>
    </row>
    <row r="62" customFormat="false" ht="12.75" hidden="false" customHeight="false" outlineLevel="1" collapsed="false">
      <c r="A62" s="897"/>
      <c r="E62" s="897"/>
    </row>
    <row r="63" customFormat="false" ht="12.75" hidden="false" customHeight="false" outlineLevel="1" collapsed="false">
      <c r="A63" s="897"/>
      <c r="E63" s="897"/>
    </row>
    <row r="64" customFormat="false" ht="12.75" hidden="false" customHeight="false" outlineLevel="1" collapsed="false">
      <c r="A64" s="897"/>
      <c r="E64" s="897"/>
    </row>
    <row r="65" customFormat="false" ht="12.75" hidden="false" customHeight="false" outlineLevel="1" collapsed="false">
      <c r="A65" s="897"/>
      <c r="E65" s="897"/>
    </row>
    <row r="66" customFormat="false" ht="12.75" hidden="false" customHeight="false" outlineLevel="1" collapsed="false">
      <c r="A66" s="897"/>
      <c r="E66" s="897"/>
    </row>
    <row r="67" customFormat="false" ht="12.75" hidden="false" customHeight="false" outlineLevel="1" collapsed="false">
      <c r="A67" s="897"/>
      <c r="E67" s="897"/>
    </row>
    <row r="68" customFormat="false" ht="12.75" hidden="false" customHeight="false" outlineLevel="1" collapsed="false">
      <c r="A68" s="897"/>
      <c r="E68" s="897"/>
    </row>
    <row r="69" customFormat="false" ht="12.75" hidden="false" customHeight="false" outlineLevel="1" collapsed="false">
      <c r="A69" s="897"/>
      <c r="E69" s="897"/>
    </row>
    <row r="70" customFormat="false" ht="12.75" hidden="false" customHeight="false" outlineLevel="1" collapsed="false">
      <c r="A70" s="897"/>
      <c r="E70" s="897"/>
    </row>
    <row r="71" customFormat="false" ht="12.75" hidden="false" customHeight="false" outlineLevel="1" collapsed="false">
      <c r="A71" s="897"/>
      <c r="E71" s="897"/>
    </row>
    <row r="72" customFormat="false" ht="12.75" hidden="false" customHeight="false" outlineLevel="1" collapsed="false">
      <c r="A72" s="897"/>
      <c r="E72" s="897"/>
    </row>
    <row r="73" customFormat="false" ht="12.75" hidden="false" customHeight="false" outlineLevel="1" collapsed="false">
      <c r="A73" s="897"/>
      <c r="E73" s="897"/>
    </row>
    <row r="74" customFormat="false" ht="12.75" hidden="false" customHeight="false" outlineLevel="1" collapsed="false">
      <c r="A74" s="897"/>
      <c r="E74" s="897"/>
    </row>
    <row r="75" customFormat="false" ht="12.75" hidden="false" customHeight="false" outlineLevel="1" collapsed="false">
      <c r="A75" s="897"/>
      <c r="E75" s="897"/>
    </row>
    <row r="76" customFormat="false" ht="12.75" hidden="false" customHeight="false" outlineLevel="1" collapsed="false">
      <c r="A76" s="897"/>
      <c r="E76" s="897"/>
    </row>
    <row r="77" customFormat="false" ht="12.75" hidden="false" customHeight="false" outlineLevel="1" collapsed="false">
      <c r="A77" s="897"/>
      <c r="E77" s="897"/>
    </row>
    <row r="78" customFormat="false" ht="12.75" hidden="false" customHeight="false" outlineLevel="1" collapsed="false">
      <c r="A78" s="897"/>
      <c r="E78" s="897"/>
    </row>
    <row r="79" customFormat="false" ht="12.75" hidden="false" customHeight="false" outlineLevel="1" collapsed="false">
      <c r="A79" s="897"/>
      <c r="E79" s="897"/>
    </row>
    <row r="80" customFormat="false" ht="12.75" hidden="false" customHeight="false" outlineLevel="1" collapsed="false">
      <c r="A80" s="897"/>
      <c r="E80" s="897"/>
    </row>
    <row r="81" customFormat="false" ht="12.75" hidden="false" customHeight="false" outlineLevel="1" collapsed="false">
      <c r="A81" s="897"/>
      <c r="E81" s="897"/>
    </row>
    <row r="82" customFormat="false" ht="12.75" hidden="false" customHeight="false" outlineLevel="1" collapsed="false">
      <c r="A82" s="897"/>
      <c r="E82" s="897"/>
    </row>
    <row r="83" customFormat="false" ht="12.75" hidden="false" customHeight="false" outlineLevel="1" collapsed="false">
      <c r="A83" s="897"/>
      <c r="E83" s="897"/>
    </row>
    <row r="84" customFormat="false" ht="12.75" hidden="false" customHeight="false" outlineLevel="1" collapsed="false">
      <c r="A84" s="897"/>
      <c r="E84" s="897"/>
    </row>
    <row r="85" customFormat="false" ht="12.75" hidden="false" customHeight="false" outlineLevel="1" collapsed="false">
      <c r="A85" s="897"/>
      <c r="E85" s="897"/>
    </row>
    <row r="86" customFormat="false" ht="12.75" hidden="false" customHeight="false" outlineLevel="1" collapsed="false">
      <c r="A86" s="897"/>
      <c r="E86" s="897"/>
    </row>
    <row r="87" customFormat="false" ht="12.75" hidden="false" customHeight="false" outlineLevel="1" collapsed="false">
      <c r="A87" s="897"/>
      <c r="E87" s="897"/>
    </row>
    <row r="88" customFormat="false" ht="12.75" hidden="false" customHeight="false" outlineLevel="1" collapsed="false">
      <c r="A88" s="897"/>
      <c r="E88" s="897"/>
    </row>
    <row r="89" customFormat="false" ht="12.75" hidden="false" customHeight="false" outlineLevel="1" collapsed="false">
      <c r="A89" s="897"/>
      <c r="E89" s="897"/>
    </row>
    <row r="90" customFormat="false" ht="12.75" hidden="false" customHeight="false" outlineLevel="1" collapsed="false">
      <c r="A90" s="897"/>
      <c r="E90" s="897"/>
    </row>
    <row r="91" customFormat="false" ht="12.75" hidden="false" customHeight="false" outlineLevel="1" collapsed="false">
      <c r="A91" s="897"/>
      <c r="E91" s="897"/>
    </row>
    <row r="92" customFormat="false" ht="12.75" hidden="false" customHeight="false" outlineLevel="1" collapsed="false">
      <c r="A92" s="897"/>
      <c r="E92" s="897"/>
    </row>
    <row r="93" customFormat="false" ht="12.75" hidden="false" customHeight="false" outlineLevel="1" collapsed="false">
      <c r="A93" s="897"/>
      <c r="E93" s="897"/>
    </row>
    <row r="94" customFormat="false" ht="12.75" hidden="false" customHeight="false" outlineLevel="1" collapsed="false">
      <c r="A94" s="897"/>
      <c r="E94" s="897"/>
    </row>
    <row r="95" customFormat="false" ht="12.75" hidden="false" customHeight="false" outlineLevel="1" collapsed="false">
      <c r="A95" s="897"/>
      <c r="E95" s="897"/>
    </row>
    <row r="96" customFormat="false" ht="12.75" hidden="false" customHeight="false" outlineLevel="1" collapsed="false">
      <c r="A96" s="897"/>
      <c r="E96" s="897"/>
    </row>
    <row r="97" customFormat="false" ht="12.75" hidden="false" customHeight="false" outlineLevel="1" collapsed="false">
      <c r="A97" s="897"/>
      <c r="E97" s="897"/>
    </row>
    <row r="98" customFormat="false" ht="12.75" hidden="false" customHeight="false" outlineLevel="1" collapsed="false">
      <c r="A98" s="897"/>
      <c r="E98" s="897"/>
    </row>
    <row r="99" customFormat="false" ht="12.75" hidden="false" customHeight="false" outlineLevel="1" collapsed="false">
      <c r="A99" s="897"/>
      <c r="E99" s="897"/>
    </row>
    <row r="100" customFormat="false" ht="12.75" hidden="false" customHeight="false" outlineLevel="1" collapsed="false">
      <c r="A100" s="897"/>
      <c r="E100" s="897"/>
    </row>
    <row r="101" customFormat="false" ht="12.75" hidden="false" customHeight="false" outlineLevel="1" collapsed="false">
      <c r="A101" s="897"/>
      <c r="E101" s="897"/>
    </row>
    <row r="102" customFormat="false" ht="12.75" hidden="false" customHeight="false" outlineLevel="1" collapsed="false">
      <c r="A102" s="897"/>
      <c r="E102" s="897"/>
    </row>
    <row r="103" customFormat="false" ht="12.75" hidden="false" customHeight="false" outlineLevel="1" collapsed="false">
      <c r="A103" s="897"/>
      <c r="E103" s="897"/>
    </row>
    <row r="104" customFormat="false" ht="12.75" hidden="false" customHeight="false" outlineLevel="1" collapsed="false">
      <c r="A104" s="897"/>
      <c r="E104" s="897"/>
    </row>
    <row r="105" customFormat="false" ht="12.75" hidden="false" customHeight="false" outlineLevel="1" collapsed="false">
      <c r="A105" s="897"/>
      <c r="E105" s="897"/>
    </row>
    <row r="106" customFormat="false" ht="12.75" hidden="false" customHeight="false" outlineLevel="1" collapsed="false">
      <c r="A106" s="897"/>
      <c r="E106" s="897"/>
    </row>
    <row r="107" customFormat="false" ht="12.75" hidden="false" customHeight="false" outlineLevel="1" collapsed="false">
      <c r="A107" s="897"/>
      <c r="E107" s="897"/>
    </row>
    <row r="108" customFormat="false" ht="12.75" hidden="false" customHeight="false" outlineLevel="1" collapsed="false">
      <c r="A108" s="897"/>
      <c r="E108" s="897"/>
    </row>
    <row r="109" customFormat="false" ht="12.75" hidden="false" customHeight="false" outlineLevel="1" collapsed="false">
      <c r="A109" s="897"/>
      <c r="E109" s="897"/>
    </row>
    <row r="110" customFormat="false" ht="12.75" hidden="false" customHeight="false" outlineLevel="1" collapsed="false">
      <c r="A110" s="897"/>
      <c r="E110" s="897"/>
    </row>
    <row r="111" customFormat="false" ht="12.75" hidden="false" customHeight="false" outlineLevel="1" collapsed="false">
      <c r="A111" s="897"/>
      <c r="E111" s="897"/>
    </row>
    <row r="112" customFormat="false" ht="12.75" hidden="false" customHeight="false" outlineLevel="1" collapsed="false">
      <c r="A112" s="897"/>
      <c r="E112" s="897"/>
    </row>
    <row r="113" customFormat="false" ht="12.75" hidden="false" customHeight="false" outlineLevel="1" collapsed="false">
      <c r="A113" s="897"/>
      <c r="E113" s="897"/>
    </row>
    <row r="114" customFormat="false" ht="12.75" hidden="false" customHeight="false" outlineLevel="1" collapsed="false">
      <c r="A114" s="897"/>
      <c r="E114" s="897"/>
    </row>
    <row r="115" customFormat="false" ht="12.75" hidden="false" customHeight="false" outlineLevel="1" collapsed="false">
      <c r="A115" s="897"/>
      <c r="E115" s="897"/>
    </row>
    <row r="116" customFormat="false" ht="12.75" hidden="false" customHeight="false" outlineLevel="1" collapsed="false">
      <c r="A116" s="897"/>
      <c r="E116" s="897"/>
    </row>
    <row r="117" customFormat="false" ht="12.75" hidden="false" customHeight="false" outlineLevel="1" collapsed="false">
      <c r="A117" s="897"/>
      <c r="E117" s="897"/>
    </row>
    <row r="118" customFormat="false" ht="12.75" hidden="false" customHeight="false" outlineLevel="1" collapsed="false">
      <c r="A118" s="897"/>
      <c r="E118" s="897"/>
    </row>
    <row r="119" customFormat="false" ht="12.75" hidden="false" customHeight="false" outlineLevel="1" collapsed="false">
      <c r="A119" s="897"/>
      <c r="E119" s="897"/>
    </row>
    <row r="120" customFormat="false" ht="12.75" hidden="false" customHeight="false" outlineLevel="1" collapsed="false">
      <c r="A120" s="897"/>
      <c r="E120" s="897"/>
    </row>
    <row r="121" customFormat="false" ht="12.75" hidden="false" customHeight="false" outlineLevel="1" collapsed="false">
      <c r="A121" s="897"/>
      <c r="E121" s="897"/>
    </row>
    <row r="122" customFormat="false" ht="12.75" hidden="false" customHeight="false" outlineLevel="1" collapsed="false">
      <c r="A122" s="897"/>
      <c r="E122" s="897"/>
    </row>
    <row r="123" customFormat="false" ht="12.75" hidden="false" customHeight="false" outlineLevel="1" collapsed="false">
      <c r="A123" s="897"/>
      <c r="E123" s="897"/>
    </row>
    <row r="124" customFormat="false" ht="12.75" hidden="false" customHeight="false" outlineLevel="1" collapsed="false">
      <c r="A124" s="897"/>
      <c r="E124" s="897"/>
    </row>
    <row r="125" customFormat="false" ht="12.75" hidden="false" customHeight="false" outlineLevel="1" collapsed="false">
      <c r="A125" s="897"/>
      <c r="E125" s="897"/>
    </row>
    <row r="126" customFormat="false" ht="12.75" hidden="false" customHeight="false" outlineLevel="1" collapsed="false">
      <c r="A126" s="897"/>
      <c r="E126" s="897"/>
    </row>
    <row r="127" customFormat="false" ht="12.75" hidden="false" customHeight="false" outlineLevel="1" collapsed="false">
      <c r="A127" s="897"/>
      <c r="E127" s="897"/>
    </row>
    <row r="128" customFormat="false" ht="12.75" hidden="false" customHeight="false" outlineLevel="1" collapsed="false">
      <c r="A128" s="897"/>
      <c r="E128" s="897"/>
    </row>
    <row r="129" customFormat="false" ht="12.75" hidden="false" customHeight="false" outlineLevel="1" collapsed="false">
      <c r="A129" s="897"/>
      <c r="E129" s="897"/>
    </row>
    <row r="130" customFormat="false" ht="12.75" hidden="false" customHeight="false" outlineLevel="1" collapsed="false">
      <c r="A130" s="897"/>
      <c r="E130" s="897"/>
    </row>
    <row r="131" customFormat="false" ht="12.75" hidden="false" customHeight="false" outlineLevel="1" collapsed="false">
      <c r="A131" s="897"/>
      <c r="E131" s="897"/>
    </row>
    <row r="132" customFormat="false" ht="12.75" hidden="false" customHeight="false" outlineLevel="1" collapsed="false">
      <c r="A132" s="897"/>
      <c r="E132" s="897"/>
    </row>
    <row r="133" customFormat="false" ht="12.75" hidden="false" customHeight="false" outlineLevel="1" collapsed="false">
      <c r="A133" s="897"/>
      <c r="E133" s="897"/>
    </row>
    <row r="134" customFormat="false" ht="12.75" hidden="false" customHeight="false" outlineLevel="1" collapsed="false">
      <c r="A134" s="897"/>
      <c r="E134" s="897"/>
    </row>
    <row r="135" customFormat="false" ht="12.75" hidden="false" customHeight="false" outlineLevel="1" collapsed="false">
      <c r="A135" s="897"/>
      <c r="E135" s="897"/>
    </row>
    <row r="136" customFormat="false" ht="12.75" hidden="false" customHeight="false" outlineLevel="1" collapsed="false">
      <c r="A136" s="897"/>
      <c r="E136" s="897"/>
    </row>
    <row r="137" customFormat="false" ht="12.75" hidden="false" customHeight="false" outlineLevel="1" collapsed="false">
      <c r="A137" s="897"/>
      <c r="E137" s="897"/>
    </row>
    <row r="138" customFormat="false" ht="12.75" hidden="false" customHeight="false" outlineLevel="1" collapsed="false">
      <c r="A138" s="897"/>
      <c r="E138" s="897"/>
    </row>
    <row r="139" customFormat="false" ht="12.75" hidden="false" customHeight="false" outlineLevel="1" collapsed="false">
      <c r="A139" s="897"/>
      <c r="E139" s="897"/>
    </row>
    <row r="140" customFormat="false" ht="12.75" hidden="false" customHeight="false" outlineLevel="1" collapsed="false">
      <c r="A140" s="897"/>
      <c r="E140" s="897"/>
    </row>
    <row r="141" customFormat="false" ht="12.75" hidden="false" customHeight="false" outlineLevel="1" collapsed="false">
      <c r="A141" s="897"/>
      <c r="E141" s="897"/>
    </row>
    <row r="142" customFormat="false" ht="12.75" hidden="false" customHeight="false" outlineLevel="1" collapsed="false">
      <c r="A142" s="897"/>
      <c r="E142" s="897"/>
    </row>
    <row r="143" customFormat="false" ht="12.75" hidden="false" customHeight="false" outlineLevel="1" collapsed="false">
      <c r="A143" s="897"/>
      <c r="E143" s="897"/>
    </row>
    <row r="144" customFormat="false" ht="12.75" hidden="false" customHeight="false" outlineLevel="1" collapsed="false">
      <c r="A144" s="897"/>
      <c r="E144" s="897"/>
    </row>
    <row r="145" customFormat="false" ht="12.75" hidden="false" customHeight="false" outlineLevel="1" collapsed="false">
      <c r="A145" s="897"/>
      <c r="E145" s="897"/>
    </row>
    <row r="146" customFormat="false" ht="12.75" hidden="false" customHeight="false" outlineLevel="1" collapsed="false">
      <c r="A146" s="897"/>
      <c r="E146" s="897"/>
    </row>
    <row r="147" customFormat="false" ht="12.75" hidden="false" customHeight="false" outlineLevel="1" collapsed="false">
      <c r="A147" s="897"/>
      <c r="E147" s="897"/>
    </row>
    <row r="148" customFormat="false" ht="12.75" hidden="false" customHeight="false" outlineLevel="1" collapsed="false">
      <c r="A148" s="897"/>
      <c r="E148" s="897"/>
    </row>
    <row r="149" customFormat="false" ht="12.75" hidden="false" customHeight="false" outlineLevel="1" collapsed="false">
      <c r="A149" s="897"/>
      <c r="E149" s="897"/>
    </row>
    <row r="150" customFormat="false" ht="12.75" hidden="false" customHeight="false" outlineLevel="1" collapsed="false">
      <c r="A150" s="897"/>
      <c r="E150" s="897"/>
    </row>
    <row r="151" customFormat="false" ht="12.75" hidden="false" customHeight="false" outlineLevel="1" collapsed="false">
      <c r="A151" s="897"/>
      <c r="E151" s="897"/>
    </row>
    <row r="152" customFormat="false" ht="12.75" hidden="false" customHeight="false" outlineLevel="1" collapsed="false">
      <c r="A152" s="897"/>
      <c r="E152" s="897"/>
    </row>
    <row r="153" customFormat="false" ht="12.75" hidden="false" customHeight="false" outlineLevel="1" collapsed="false">
      <c r="A153" s="897"/>
      <c r="E153" s="897"/>
    </row>
    <row r="154" customFormat="false" ht="12.75" hidden="false" customHeight="false" outlineLevel="1" collapsed="false">
      <c r="A154" s="897"/>
      <c r="E154" s="897"/>
    </row>
    <row r="155" customFormat="false" ht="12.75" hidden="false" customHeight="false" outlineLevel="1" collapsed="false">
      <c r="A155" s="897"/>
      <c r="E155" s="897"/>
    </row>
    <row r="156" customFormat="false" ht="12.75" hidden="false" customHeight="false" outlineLevel="1" collapsed="false">
      <c r="A156" s="897"/>
      <c r="E156" s="897"/>
    </row>
    <row r="157" customFormat="false" ht="12.75" hidden="false" customHeight="false" outlineLevel="1" collapsed="false">
      <c r="A157" s="897"/>
      <c r="E157" s="897"/>
    </row>
    <row r="158" customFormat="false" ht="12.75" hidden="false" customHeight="false" outlineLevel="1" collapsed="false">
      <c r="A158" s="897"/>
      <c r="E158" s="897"/>
    </row>
    <row r="159" customFormat="false" ht="12.75" hidden="false" customHeight="false" outlineLevel="1" collapsed="false">
      <c r="A159" s="897"/>
      <c r="E159" s="897"/>
    </row>
    <row r="160" customFormat="false" ht="12.75" hidden="false" customHeight="false" outlineLevel="1" collapsed="false">
      <c r="A160" s="897"/>
      <c r="E160" s="897"/>
    </row>
    <row r="161" customFormat="false" ht="12.75" hidden="false" customHeight="false" outlineLevel="1" collapsed="false">
      <c r="A161" s="897"/>
      <c r="E161" s="897"/>
    </row>
    <row r="162" customFormat="false" ht="12.75" hidden="false" customHeight="false" outlineLevel="1" collapsed="false">
      <c r="A162" s="897"/>
      <c r="E162" s="897"/>
    </row>
    <row r="163" customFormat="false" ht="12.75" hidden="false" customHeight="false" outlineLevel="1" collapsed="false">
      <c r="A163" s="897"/>
      <c r="E163" s="897"/>
    </row>
    <row r="164" customFormat="false" ht="12.75" hidden="false" customHeight="false" outlineLevel="1" collapsed="false">
      <c r="A164" s="897"/>
      <c r="E164" s="897"/>
    </row>
    <row r="165" customFormat="false" ht="12.75" hidden="false" customHeight="false" outlineLevel="1" collapsed="false">
      <c r="A165" s="897"/>
      <c r="E165" s="897"/>
    </row>
    <row r="166" customFormat="false" ht="12.75" hidden="false" customHeight="false" outlineLevel="1" collapsed="false">
      <c r="A166" s="897"/>
      <c r="E166" s="897"/>
    </row>
    <row r="167" customFormat="false" ht="12.75" hidden="false" customHeight="false" outlineLevel="1" collapsed="false">
      <c r="A167" s="897"/>
      <c r="E167" s="897"/>
    </row>
    <row r="168" customFormat="false" ht="12.75" hidden="false" customHeight="false" outlineLevel="1" collapsed="false">
      <c r="A168" s="897"/>
      <c r="E168" s="897"/>
    </row>
    <row r="169" customFormat="false" ht="12.75" hidden="false" customHeight="false" outlineLevel="1" collapsed="false">
      <c r="A169" s="897"/>
      <c r="E169" s="897"/>
    </row>
    <row r="170" customFormat="false" ht="12.75" hidden="false" customHeight="false" outlineLevel="1" collapsed="false">
      <c r="A170" s="897"/>
      <c r="E170" s="897"/>
    </row>
    <row r="171" customFormat="false" ht="12.75" hidden="false" customHeight="false" outlineLevel="1" collapsed="false">
      <c r="A171" s="897"/>
      <c r="E171" s="897"/>
    </row>
    <row r="172" customFormat="false" ht="12.75" hidden="false" customHeight="false" outlineLevel="1" collapsed="false">
      <c r="A172" s="897"/>
      <c r="E172" s="897"/>
    </row>
    <row r="173" customFormat="false" ht="12.75" hidden="false" customHeight="false" outlineLevel="1" collapsed="false">
      <c r="A173" s="897"/>
      <c r="E173" s="897"/>
    </row>
    <row r="174" customFormat="false" ht="12.75" hidden="false" customHeight="false" outlineLevel="1" collapsed="false">
      <c r="A174" s="897"/>
      <c r="E174" s="897"/>
    </row>
    <row r="175" customFormat="false" ht="12.75" hidden="false" customHeight="false" outlineLevel="1" collapsed="false">
      <c r="A175" s="897"/>
      <c r="E175" s="897"/>
    </row>
    <row r="176" customFormat="false" ht="12.75" hidden="false" customHeight="false" outlineLevel="1" collapsed="false">
      <c r="A176" s="897"/>
      <c r="E176" s="897"/>
    </row>
    <row r="177" customFormat="false" ht="12.75" hidden="false" customHeight="false" outlineLevel="1" collapsed="false">
      <c r="A177" s="897"/>
      <c r="E177" s="897"/>
    </row>
    <row r="178" customFormat="false" ht="12.75" hidden="false" customHeight="false" outlineLevel="1" collapsed="false">
      <c r="A178" s="897"/>
      <c r="E178" s="897"/>
    </row>
    <row r="179" customFormat="false" ht="12.75" hidden="false" customHeight="false" outlineLevel="1" collapsed="false">
      <c r="A179" s="897"/>
      <c r="E179" s="897"/>
    </row>
    <row r="180" customFormat="false" ht="12.75" hidden="false" customHeight="false" outlineLevel="1" collapsed="false">
      <c r="A180" s="897"/>
      <c r="E180" s="897"/>
    </row>
    <row r="181" customFormat="false" ht="12.75" hidden="false" customHeight="false" outlineLevel="1" collapsed="false">
      <c r="A181" s="897"/>
      <c r="E181" s="897"/>
    </row>
    <row r="182" customFormat="false" ht="12.75" hidden="false" customHeight="false" outlineLevel="1" collapsed="false">
      <c r="A182" s="897"/>
      <c r="E182" s="897"/>
    </row>
    <row r="183" customFormat="false" ht="12.75" hidden="false" customHeight="false" outlineLevel="1" collapsed="false">
      <c r="A183" s="897"/>
      <c r="E183" s="897"/>
    </row>
    <row r="184" customFormat="false" ht="12.75" hidden="false" customHeight="false" outlineLevel="1" collapsed="false">
      <c r="A184" s="897"/>
      <c r="E184" s="897"/>
    </row>
    <row r="185" customFormat="false" ht="12.75" hidden="false" customHeight="false" outlineLevel="1" collapsed="false">
      <c r="A185" s="897"/>
      <c r="E185" s="897"/>
    </row>
    <row r="186" customFormat="false" ht="12.75" hidden="false" customHeight="false" outlineLevel="1" collapsed="false">
      <c r="A186" s="897"/>
      <c r="E186" s="897"/>
    </row>
    <row r="187" customFormat="false" ht="12.75" hidden="false" customHeight="false" outlineLevel="1" collapsed="false">
      <c r="A187" s="897"/>
      <c r="E187" s="897"/>
    </row>
    <row r="188" customFormat="false" ht="12.75" hidden="false" customHeight="false" outlineLevel="1" collapsed="false">
      <c r="A188" s="897"/>
      <c r="E188" s="897"/>
    </row>
    <row r="189" customFormat="false" ht="12.75" hidden="false" customHeight="false" outlineLevel="1" collapsed="false">
      <c r="A189" s="897"/>
      <c r="E189" s="897"/>
    </row>
    <row r="190" customFormat="false" ht="12.75" hidden="false" customHeight="false" outlineLevel="1" collapsed="false">
      <c r="A190" s="897"/>
      <c r="E190" s="897"/>
    </row>
    <row r="191" customFormat="false" ht="12.75" hidden="false" customHeight="false" outlineLevel="1" collapsed="false">
      <c r="A191" s="897"/>
      <c r="E191" s="897"/>
    </row>
    <row r="192" customFormat="false" ht="12.75" hidden="false" customHeight="false" outlineLevel="1" collapsed="false">
      <c r="A192" s="897"/>
      <c r="E192" s="897"/>
    </row>
    <row r="193" customFormat="false" ht="12.75" hidden="false" customHeight="false" outlineLevel="1" collapsed="false">
      <c r="A193" s="897"/>
      <c r="E193" s="897"/>
    </row>
    <row r="194" customFormat="false" ht="12.75" hidden="false" customHeight="false" outlineLevel="1" collapsed="false">
      <c r="A194" s="897"/>
      <c r="E194" s="897"/>
    </row>
    <row r="195" customFormat="false" ht="12.75" hidden="false" customHeight="false" outlineLevel="1" collapsed="false">
      <c r="A195" s="897"/>
      <c r="E195" s="897"/>
    </row>
    <row r="196" customFormat="false" ht="12.75" hidden="false" customHeight="false" outlineLevel="1" collapsed="false">
      <c r="A196" s="897"/>
      <c r="E196" s="897"/>
    </row>
    <row r="197" customFormat="false" ht="12.75" hidden="false" customHeight="false" outlineLevel="1" collapsed="false">
      <c r="A197" s="897"/>
      <c r="E197" s="897"/>
    </row>
    <row r="198" customFormat="false" ht="12.75" hidden="false" customHeight="false" outlineLevel="1" collapsed="false">
      <c r="A198" s="897"/>
      <c r="E198" s="897"/>
    </row>
    <row r="199" customFormat="false" ht="12.75" hidden="false" customHeight="false" outlineLevel="1" collapsed="false">
      <c r="A199" s="897"/>
      <c r="E199" s="897"/>
    </row>
    <row r="200" customFormat="false" ht="12.75" hidden="false" customHeight="false" outlineLevel="1" collapsed="false">
      <c r="A200" s="897"/>
      <c r="E200" s="897"/>
    </row>
    <row r="201" customFormat="false" ht="12.75" hidden="false" customHeight="false" outlineLevel="1" collapsed="false">
      <c r="A201" s="897"/>
      <c r="E201" s="897"/>
    </row>
    <row r="202" customFormat="false" ht="12.75" hidden="false" customHeight="false" outlineLevel="1" collapsed="false">
      <c r="A202" s="897"/>
      <c r="E202" s="897"/>
    </row>
    <row r="203" customFormat="false" ht="12.75" hidden="false" customHeight="false" outlineLevel="1" collapsed="false">
      <c r="A203" s="897"/>
      <c r="E203" s="897"/>
    </row>
    <row r="204" customFormat="false" ht="12.75" hidden="false" customHeight="false" outlineLevel="1" collapsed="false">
      <c r="A204" s="897"/>
      <c r="E204" s="897"/>
    </row>
    <row r="205" customFormat="false" ht="12.75" hidden="false" customHeight="false" outlineLevel="1" collapsed="false">
      <c r="A205" s="897"/>
      <c r="E205" s="897"/>
    </row>
    <row r="206" customFormat="false" ht="12.75" hidden="false" customHeight="false" outlineLevel="1" collapsed="false">
      <c r="A206" s="897"/>
      <c r="E206" s="897"/>
    </row>
    <row r="207" customFormat="false" ht="12.75" hidden="false" customHeight="false" outlineLevel="1" collapsed="false">
      <c r="A207" s="897"/>
      <c r="E207" s="897"/>
    </row>
    <row r="208" customFormat="false" ht="12.75" hidden="false" customHeight="false" outlineLevel="1" collapsed="false">
      <c r="A208" s="897"/>
      <c r="E208" s="897"/>
    </row>
    <row r="209" customFormat="false" ht="12.75" hidden="false" customHeight="false" outlineLevel="1" collapsed="false">
      <c r="A209" s="897"/>
      <c r="E209" s="897"/>
    </row>
    <row r="210" customFormat="false" ht="12.75" hidden="false" customHeight="false" outlineLevel="1" collapsed="false">
      <c r="A210" s="897"/>
      <c r="E210" s="897"/>
    </row>
    <row r="211" customFormat="false" ht="12.75" hidden="false" customHeight="false" outlineLevel="1" collapsed="false">
      <c r="A211" s="897"/>
      <c r="E211" s="897"/>
    </row>
    <row r="212" customFormat="false" ht="12.75" hidden="false" customHeight="false" outlineLevel="1" collapsed="false">
      <c r="A212" s="897"/>
      <c r="E212" s="897"/>
    </row>
    <row r="213" customFormat="false" ht="12.75" hidden="false" customHeight="false" outlineLevel="1" collapsed="false">
      <c r="A213" s="897"/>
      <c r="E213" s="897"/>
    </row>
    <row r="214" customFormat="false" ht="12.75" hidden="false" customHeight="false" outlineLevel="1" collapsed="false">
      <c r="A214" s="897"/>
      <c r="E214" s="897"/>
    </row>
    <row r="215" customFormat="false" ht="12.75" hidden="false" customHeight="false" outlineLevel="1" collapsed="false">
      <c r="A215" s="897"/>
      <c r="E215" s="897"/>
    </row>
    <row r="216" customFormat="false" ht="12.75" hidden="false" customHeight="false" outlineLevel="1" collapsed="false">
      <c r="A216" s="897"/>
      <c r="E216" s="897"/>
    </row>
    <row r="217" customFormat="false" ht="12.75" hidden="false" customHeight="false" outlineLevel="1" collapsed="false">
      <c r="A217" s="897"/>
      <c r="E217" s="897"/>
    </row>
    <row r="218" customFormat="false" ht="12.75" hidden="false" customHeight="false" outlineLevel="1" collapsed="false">
      <c r="A218" s="897"/>
      <c r="E218" s="897"/>
    </row>
    <row r="219" customFormat="false" ht="12.75" hidden="false" customHeight="false" outlineLevel="1" collapsed="false">
      <c r="A219" s="897"/>
      <c r="E219" s="897"/>
    </row>
    <row r="220" customFormat="false" ht="12.75" hidden="false" customHeight="false" outlineLevel="1" collapsed="false">
      <c r="A220" s="897"/>
      <c r="E220" s="897"/>
    </row>
    <row r="221" customFormat="false" ht="12.75" hidden="false" customHeight="false" outlineLevel="1" collapsed="false">
      <c r="A221" s="897"/>
      <c r="E221" s="897"/>
    </row>
    <row r="222" customFormat="false" ht="12.75" hidden="false" customHeight="false" outlineLevel="1" collapsed="false">
      <c r="A222" s="897"/>
      <c r="E222" s="897"/>
    </row>
    <row r="223" customFormat="false" ht="12.75" hidden="false" customHeight="false" outlineLevel="1" collapsed="false">
      <c r="A223" s="897"/>
      <c r="E223" s="897"/>
    </row>
    <row r="224" customFormat="false" ht="12.75" hidden="false" customHeight="false" outlineLevel="1" collapsed="false">
      <c r="A224" s="897"/>
      <c r="E224" s="897"/>
    </row>
    <row r="225" customFormat="false" ht="12.75" hidden="false" customHeight="false" outlineLevel="1" collapsed="false">
      <c r="A225" s="897"/>
      <c r="E225" s="897"/>
    </row>
    <row r="226" customFormat="false" ht="12.75" hidden="false" customHeight="false" outlineLevel="1" collapsed="false">
      <c r="A226" s="897"/>
      <c r="E226" s="897"/>
    </row>
    <row r="227" customFormat="false" ht="12.75" hidden="false" customHeight="false" outlineLevel="1" collapsed="false">
      <c r="A227" s="897"/>
      <c r="E227" s="897"/>
    </row>
    <row r="228" customFormat="false" ht="12.75" hidden="false" customHeight="false" outlineLevel="1" collapsed="false">
      <c r="A228" s="897"/>
      <c r="E228" s="897"/>
    </row>
    <row r="229" customFormat="false" ht="12.75" hidden="false" customHeight="false" outlineLevel="1" collapsed="false">
      <c r="A229" s="897"/>
      <c r="E229" s="897"/>
    </row>
    <row r="230" customFormat="false" ht="12.75" hidden="false" customHeight="false" outlineLevel="1" collapsed="false">
      <c r="A230" s="897"/>
      <c r="E230" s="897"/>
    </row>
    <row r="231" customFormat="false" ht="12.75" hidden="false" customHeight="false" outlineLevel="1" collapsed="false">
      <c r="A231" s="897"/>
      <c r="E231" s="897"/>
    </row>
    <row r="232" customFormat="false" ht="12.75" hidden="false" customHeight="false" outlineLevel="1" collapsed="false">
      <c r="A232" s="897"/>
      <c r="E232" s="897"/>
    </row>
    <row r="233" customFormat="false" ht="12.75" hidden="false" customHeight="false" outlineLevel="1" collapsed="false">
      <c r="A233" s="897"/>
      <c r="E233" s="897"/>
    </row>
    <row r="234" customFormat="false" ht="12.75" hidden="false" customHeight="false" outlineLevel="1" collapsed="false">
      <c r="A234" s="897"/>
      <c r="E234" s="897"/>
    </row>
    <row r="235" customFormat="false" ht="12.75" hidden="false" customHeight="false" outlineLevel="1" collapsed="false">
      <c r="A235" s="897"/>
      <c r="E235" s="897"/>
    </row>
    <row r="236" customFormat="false" ht="12.75" hidden="false" customHeight="false" outlineLevel="1" collapsed="false">
      <c r="A236" s="897"/>
      <c r="E236" s="897"/>
    </row>
    <row r="237" customFormat="false" ht="12.75" hidden="false" customHeight="false" outlineLevel="1" collapsed="false">
      <c r="A237" s="897"/>
      <c r="E237" s="897"/>
    </row>
    <row r="238" customFormat="false" ht="12.75" hidden="false" customHeight="false" outlineLevel="1" collapsed="false">
      <c r="A238" s="897"/>
      <c r="E238" s="897"/>
    </row>
    <row r="239" customFormat="false" ht="12.75" hidden="false" customHeight="false" outlineLevel="1" collapsed="false">
      <c r="A239" s="897"/>
      <c r="E239" s="897"/>
    </row>
    <row r="240" customFormat="false" ht="12.75" hidden="false" customHeight="false" outlineLevel="1" collapsed="false">
      <c r="A240" s="897"/>
      <c r="E240" s="897"/>
    </row>
    <row r="241" customFormat="false" ht="12.75" hidden="false" customHeight="false" outlineLevel="1" collapsed="false">
      <c r="A241" s="897"/>
      <c r="E241" s="897"/>
    </row>
    <row r="242" customFormat="false" ht="12.75" hidden="false" customHeight="false" outlineLevel="1" collapsed="false">
      <c r="A242" s="897"/>
      <c r="E242" s="897"/>
    </row>
    <row r="243" customFormat="false" ht="12.75" hidden="false" customHeight="false" outlineLevel="1" collapsed="false">
      <c r="A243" s="897"/>
      <c r="E243" s="897"/>
    </row>
    <row r="244" customFormat="false" ht="12.75" hidden="false" customHeight="false" outlineLevel="1" collapsed="false">
      <c r="A244" s="897"/>
      <c r="E244" s="897"/>
    </row>
    <row r="245" customFormat="false" ht="12.75" hidden="false" customHeight="false" outlineLevel="1" collapsed="false">
      <c r="A245" s="897"/>
      <c r="E245" s="897"/>
    </row>
    <row r="246" customFormat="false" ht="12.75" hidden="false" customHeight="false" outlineLevel="1" collapsed="false">
      <c r="A246" s="897"/>
      <c r="E246" s="897"/>
    </row>
    <row r="247" customFormat="false" ht="12.75" hidden="false" customHeight="false" outlineLevel="1" collapsed="false">
      <c r="A247" s="897"/>
      <c r="E247" s="897"/>
    </row>
    <row r="248" customFormat="false" ht="12.75" hidden="false" customHeight="false" outlineLevel="1" collapsed="false">
      <c r="A248" s="897"/>
      <c r="E248" s="897"/>
    </row>
    <row r="249" customFormat="false" ht="12.75" hidden="false" customHeight="false" outlineLevel="1" collapsed="false">
      <c r="A249" s="897"/>
      <c r="E249" s="897"/>
    </row>
    <row r="250" customFormat="false" ht="12.75" hidden="false" customHeight="false" outlineLevel="1" collapsed="false">
      <c r="A250" s="897"/>
      <c r="E250" s="897"/>
    </row>
    <row r="251" customFormat="false" ht="12.75" hidden="false" customHeight="false" outlineLevel="1" collapsed="false">
      <c r="A251" s="897"/>
      <c r="E251" s="897"/>
    </row>
    <row r="252" customFormat="false" ht="12.75" hidden="false" customHeight="false" outlineLevel="1" collapsed="false">
      <c r="A252" s="897"/>
      <c r="E252" s="897"/>
    </row>
    <row r="253" customFormat="false" ht="12.75" hidden="false" customHeight="false" outlineLevel="1" collapsed="false">
      <c r="A253" s="897"/>
      <c r="E253" s="897"/>
    </row>
    <row r="254" customFormat="false" ht="12.75" hidden="false" customHeight="false" outlineLevel="1" collapsed="false">
      <c r="A254" s="897"/>
      <c r="E254" s="897"/>
    </row>
    <row r="255" customFormat="false" ht="12.75" hidden="false" customHeight="false" outlineLevel="1" collapsed="false">
      <c r="A255" s="897"/>
      <c r="E255" s="897"/>
    </row>
    <row r="256" customFormat="false" ht="12.75" hidden="false" customHeight="false" outlineLevel="1" collapsed="false">
      <c r="A256" s="897"/>
      <c r="E256" s="897"/>
    </row>
    <row r="257" customFormat="false" ht="12.75" hidden="false" customHeight="false" outlineLevel="1" collapsed="false">
      <c r="A257" s="897"/>
      <c r="E257" s="897"/>
    </row>
    <row r="258" customFormat="false" ht="12.75" hidden="false" customHeight="false" outlineLevel="1" collapsed="false">
      <c r="A258" s="897"/>
      <c r="E258" s="897"/>
    </row>
    <row r="259" customFormat="false" ht="12.75" hidden="false" customHeight="false" outlineLevel="1" collapsed="false">
      <c r="A259" s="897"/>
      <c r="E259" s="897"/>
    </row>
    <row r="260" customFormat="false" ht="12.75" hidden="false" customHeight="false" outlineLevel="1" collapsed="false">
      <c r="A260" s="897"/>
      <c r="E260" s="897"/>
    </row>
    <row r="261" customFormat="false" ht="12.75" hidden="false" customHeight="false" outlineLevel="1" collapsed="false">
      <c r="A261" s="897"/>
      <c r="E261" s="897"/>
    </row>
    <row r="262" customFormat="false" ht="12.75" hidden="false" customHeight="false" outlineLevel="1" collapsed="false">
      <c r="A262" s="897"/>
      <c r="E262" s="897"/>
    </row>
    <row r="263" customFormat="false" ht="12.75" hidden="false" customHeight="false" outlineLevel="1" collapsed="false">
      <c r="A263" s="897"/>
      <c r="E263" s="897"/>
    </row>
    <row r="264" customFormat="false" ht="12.75" hidden="false" customHeight="false" outlineLevel="1" collapsed="false">
      <c r="A264" s="897"/>
      <c r="E264" s="897"/>
    </row>
    <row r="265" customFormat="false" ht="12.75" hidden="false" customHeight="false" outlineLevel="1" collapsed="false">
      <c r="A265" s="897"/>
      <c r="E265" s="897"/>
    </row>
    <row r="266" customFormat="false" ht="12.75" hidden="false" customHeight="false" outlineLevel="1" collapsed="false">
      <c r="A266" s="897"/>
      <c r="E266" s="897"/>
    </row>
    <row r="267" customFormat="false" ht="12.75" hidden="false" customHeight="false" outlineLevel="1" collapsed="false">
      <c r="A267" s="897"/>
      <c r="E267" s="897"/>
    </row>
    <row r="268" customFormat="false" ht="12.75" hidden="false" customHeight="false" outlineLevel="1" collapsed="false">
      <c r="A268" s="897"/>
      <c r="E268" s="897"/>
    </row>
    <row r="269" customFormat="false" ht="12.75" hidden="false" customHeight="false" outlineLevel="1" collapsed="false">
      <c r="A269" s="897"/>
      <c r="E269" s="897"/>
    </row>
    <row r="270" customFormat="false" ht="12.75" hidden="false" customHeight="false" outlineLevel="1" collapsed="false">
      <c r="A270" s="897"/>
      <c r="E270" s="897"/>
    </row>
    <row r="271" customFormat="false" ht="12.75" hidden="false" customHeight="false" outlineLevel="1" collapsed="false">
      <c r="A271" s="897"/>
      <c r="E271" s="897"/>
    </row>
    <row r="272" customFormat="false" ht="12.75" hidden="false" customHeight="false" outlineLevel="1" collapsed="false">
      <c r="A272" s="897"/>
      <c r="E272" s="897"/>
    </row>
    <row r="273" customFormat="false" ht="12.75" hidden="false" customHeight="false" outlineLevel="1" collapsed="false">
      <c r="A273" s="897"/>
      <c r="E273" s="897"/>
    </row>
    <row r="274" customFormat="false" ht="12.75" hidden="false" customHeight="false" outlineLevel="1" collapsed="false">
      <c r="A274" s="897"/>
      <c r="E274" s="897"/>
    </row>
    <row r="275" customFormat="false" ht="12.75" hidden="false" customHeight="false" outlineLevel="1" collapsed="false">
      <c r="A275" s="897"/>
      <c r="E275" s="897"/>
    </row>
    <row r="276" customFormat="false" ht="12.75" hidden="false" customHeight="false" outlineLevel="1" collapsed="false">
      <c r="A276" s="897"/>
      <c r="E276" s="897"/>
    </row>
    <row r="277" customFormat="false" ht="12.75" hidden="false" customHeight="false" outlineLevel="1" collapsed="false">
      <c r="A277" s="897"/>
      <c r="E277" s="897"/>
    </row>
    <row r="278" customFormat="false" ht="12.75" hidden="false" customHeight="false" outlineLevel="1" collapsed="false">
      <c r="A278" s="897"/>
      <c r="E278" s="897"/>
    </row>
    <row r="279" customFormat="false" ht="12.75" hidden="false" customHeight="false" outlineLevel="1" collapsed="false">
      <c r="A279" s="897"/>
      <c r="E279" s="897"/>
    </row>
    <row r="280" customFormat="false" ht="12.75" hidden="false" customHeight="false" outlineLevel="1" collapsed="false">
      <c r="A280" s="897"/>
      <c r="E280" s="897"/>
    </row>
    <row r="281" customFormat="false" ht="12.75" hidden="false" customHeight="false" outlineLevel="1" collapsed="false">
      <c r="A281" s="897"/>
      <c r="E281" s="897"/>
    </row>
    <row r="282" customFormat="false" ht="12.75" hidden="false" customHeight="false" outlineLevel="1" collapsed="false">
      <c r="A282" s="897"/>
      <c r="E282" s="897"/>
    </row>
    <row r="283" customFormat="false" ht="12.75" hidden="false" customHeight="false" outlineLevel="1" collapsed="false">
      <c r="A283" s="897"/>
      <c r="E283" s="897"/>
    </row>
    <row r="284" customFormat="false" ht="12.75" hidden="false" customHeight="false" outlineLevel="1" collapsed="false">
      <c r="A284" s="897"/>
      <c r="E284" s="897"/>
    </row>
    <row r="285" customFormat="false" ht="12.75" hidden="false" customHeight="false" outlineLevel="1" collapsed="false">
      <c r="A285" s="897"/>
      <c r="E285" s="897"/>
    </row>
    <row r="286" customFormat="false" ht="12.75" hidden="false" customHeight="false" outlineLevel="1" collapsed="false">
      <c r="A286" s="897"/>
      <c r="E286" s="897"/>
    </row>
    <row r="287" customFormat="false" ht="12.75" hidden="false" customHeight="false" outlineLevel="1" collapsed="false">
      <c r="A287" s="897"/>
      <c r="E287" s="897"/>
    </row>
    <row r="288" customFormat="false" ht="12.75" hidden="false" customHeight="false" outlineLevel="1" collapsed="false">
      <c r="A288" s="897"/>
      <c r="E288" s="897"/>
    </row>
    <row r="289" customFormat="false" ht="12.75" hidden="false" customHeight="false" outlineLevel="1" collapsed="false">
      <c r="A289" s="897"/>
      <c r="E289" s="897"/>
    </row>
    <row r="290" customFormat="false" ht="12.75" hidden="false" customHeight="false" outlineLevel="1" collapsed="false">
      <c r="A290" s="897"/>
      <c r="E290" s="897"/>
    </row>
    <row r="291" customFormat="false" ht="12.75" hidden="false" customHeight="false" outlineLevel="1" collapsed="false">
      <c r="A291" s="897"/>
      <c r="E291" s="897"/>
    </row>
    <row r="292" customFormat="false" ht="12.75" hidden="false" customHeight="false" outlineLevel="1" collapsed="false">
      <c r="A292" s="897"/>
      <c r="E292" s="897"/>
    </row>
    <row r="293" customFormat="false" ht="12.75" hidden="false" customHeight="false" outlineLevel="1" collapsed="false">
      <c r="A293" s="897"/>
      <c r="E293" s="897"/>
    </row>
    <row r="294" customFormat="false" ht="12.75" hidden="false" customHeight="false" outlineLevel="1" collapsed="false">
      <c r="A294" s="897"/>
      <c r="E294" s="897"/>
    </row>
    <row r="295" customFormat="false" ht="12.75" hidden="false" customHeight="false" outlineLevel="1" collapsed="false">
      <c r="A295" s="897"/>
      <c r="E295" s="897"/>
    </row>
    <row r="296" customFormat="false" ht="12.75" hidden="false" customHeight="false" outlineLevel="1" collapsed="false">
      <c r="A296" s="897"/>
      <c r="E296" s="897"/>
    </row>
    <row r="297" customFormat="false" ht="12.75" hidden="false" customHeight="false" outlineLevel="1" collapsed="false">
      <c r="A297" s="897"/>
      <c r="E297" s="897"/>
    </row>
    <row r="298" customFormat="false" ht="12.75" hidden="false" customHeight="false" outlineLevel="1" collapsed="false">
      <c r="A298" s="897"/>
      <c r="E298" s="897"/>
    </row>
    <row r="299" customFormat="false" ht="12.75" hidden="false" customHeight="false" outlineLevel="1" collapsed="false">
      <c r="A299" s="897"/>
      <c r="E299" s="897"/>
    </row>
    <row r="300" customFormat="false" ht="12.75" hidden="false" customHeight="false" outlineLevel="1" collapsed="false">
      <c r="A300" s="897"/>
      <c r="E300" s="897"/>
    </row>
    <row r="301" customFormat="false" ht="12.75" hidden="false" customHeight="false" outlineLevel="1" collapsed="false">
      <c r="A301" s="897"/>
      <c r="E301" s="897"/>
    </row>
    <row r="302" customFormat="false" ht="12.75" hidden="false" customHeight="false" outlineLevel="1" collapsed="false">
      <c r="A302" s="897"/>
      <c r="E302" s="897"/>
    </row>
    <row r="303" customFormat="false" ht="12.75" hidden="false" customHeight="false" outlineLevel="1" collapsed="false">
      <c r="A303" s="897"/>
      <c r="E303" s="897"/>
    </row>
    <row r="304" customFormat="false" ht="12.75" hidden="false" customHeight="false" outlineLevel="1" collapsed="false">
      <c r="A304" s="897"/>
      <c r="E304" s="897"/>
    </row>
    <row r="305" customFormat="false" ht="12.75" hidden="false" customHeight="false" outlineLevel="1" collapsed="false">
      <c r="A305" s="897"/>
      <c r="E305" s="897"/>
    </row>
    <row r="306" customFormat="false" ht="12.75" hidden="false" customHeight="false" outlineLevel="1" collapsed="false">
      <c r="A306" s="897"/>
      <c r="E306" s="897"/>
    </row>
    <row r="307" customFormat="false" ht="12.75" hidden="false" customHeight="false" outlineLevel="1" collapsed="false">
      <c r="A307" s="897"/>
      <c r="E307" s="897"/>
    </row>
    <row r="308" customFormat="false" ht="12.75" hidden="false" customHeight="false" outlineLevel="1" collapsed="false">
      <c r="A308" s="897"/>
      <c r="E308" s="897"/>
    </row>
    <row r="309" customFormat="false" ht="12.75" hidden="false" customHeight="false" outlineLevel="1" collapsed="false">
      <c r="A309" s="897"/>
      <c r="E309" s="897"/>
    </row>
    <row r="310" customFormat="false" ht="12.75" hidden="false" customHeight="false" outlineLevel="1" collapsed="false">
      <c r="A310" s="897"/>
      <c r="E310" s="897"/>
    </row>
    <row r="311" customFormat="false" ht="12.75" hidden="false" customHeight="false" outlineLevel="1" collapsed="false">
      <c r="A311" s="897"/>
      <c r="E311" s="897"/>
    </row>
    <row r="312" customFormat="false" ht="12.75" hidden="false" customHeight="false" outlineLevel="1" collapsed="false">
      <c r="A312" s="897"/>
      <c r="E312" s="897"/>
    </row>
    <row r="313" customFormat="false" ht="12.75" hidden="false" customHeight="false" outlineLevel="1" collapsed="false">
      <c r="A313" s="897"/>
      <c r="E313" s="897"/>
    </row>
    <row r="314" customFormat="false" ht="12.75" hidden="false" customHeight="false" outlineLevel="1" collapsed="false">
      <c r="A314" s="897"/>
      <c r="E314" s="897"/>
    </row>
    <row r="315" customFormat="false" ht="12.75" hidden="false" customHeight="false" outlineLevel="1" collapsed="false">
      <c r="A315" s="897"/>
      <c r="E315" s="897"/>
    </row>
    <row r="316" customFormat="false" ht="12.75" hidden="false" customHeight="false" outlineLevel="1" collapsed="false">
      <c r="A316" s="897"/>
      <c r="E316" s="897"/>
    </row>
    <row r="317" customFormat="false" ht="12.75" hidden="false" customHeight="false" outlineLevel="1" collapsed="false">
      <c r="A317" s="897"/>
      <c r="E317" s="897"/>
    </row>
    <row r="318" customFormat="false" ht="12.75" hidden="false" customHeight="false" outlineLevel="1" collapsed="false">
      <c r="A318" s="897"/>
      <c r="E318" s="897"/>
    </row>
    <row r="319" customFormat="false" ht="12.75" hidden="false" customHeight="false" outlineLevel="1" collapsed="false">
      <c r="A319" s="897"/>
      <c r="E319" s="897"/>
    </row>
    <row r="320" customFormat="false" ht="12.75" hidden="false" customHeight="false" outlineLevel="1" collapsed="false">
      <c r="A320" s="897"/>
      <c r="E320" s="897"/>
    </row>
    <row r="321" customFormat="false" ht="12.75" hidden="false" customHeight="false" outlineLevel="1" collapsed="false">
      <c r="A321" s="897"/>
      <c r="E321" s="897"/>
    </row>
    <row r="322" customFormat="false" ht="12.75" hidden="false" customHeight="false" outlineLevel="1" collapsed="false">
      <c r="A322" s="897"/>
      <c r="E322" s="897"/>
    </row>
    <row r="323" customFormat="false" ht="12.75" hidden="false" customHeight="false" outlineLevel="1" collapsed="false">
      <c r="A323" s="897"/>
      <c r="E323" s="897"/>
    </row>
    <row r="324" customFormat="false" ht="12.75" hidden="false" customHeight="false" outlineLevel="1" collapsed="false">
      <c r="A324" s="897"/>
      <c r="E324" s="897"/>
    </row>
    <row r="325" customFormat="false" ht="12.75" hidden="false" customHeight="false" outlineLevel="1" collapsed="false">
      <c r="A325" s="897"/>
      <c r="E325" s="897"/>
    </row>
    <row r="326" customFormat="false" ht="12.75" hidden="false" customHeight="false" outlineLevel="1" collapsed="false">
      <c r="A326" s="897"/>
      <c r="E326" s="897"/>
    </row>
    <row r="327" customFormat="false" ht="12.75" hidden="false" customHeight="false" outlineLevel="1" collapsed="false">
      <c r="A327" s="897"/>
      <c r="E327" s="897"/>
    </row>
    <row r="328" customFormat="false" ht="12.75" hidden="false" customHeight="false" outlineLevel="1" collapsed="false">
      <c r="A328" s="897"/>
      <c r="E328" s="897"/>
    </row>
    <row r="329" customFormat="false" ht="12.75" hidden="false" customHeight="false" outlineLevel="1" collapsed="false">
      <c r="A329" s="897"/>
      <c r="E329" s="897"/>
    </row>
    <row r="330" customFormat="false" ht="12.75" hidden="false" customHeight="false" outlineLevel="1" collapsed="false">
      <c r="A330" s="897"/>
      <c r="E330" s="897"/>
    </row>
    <row r="331" customFormat="false" ht="12.75" hidden="false" customHeight="false" outlineLevel="1" collapsed="false">
      <c r="A331" s="897"/>
      <c r="E331" s="897"/>
    </row>
    <row r="332" customFormat="false" ht="12.75" hidden="false" customHeight="false" outlineLevel="1" collapsed="false">
      <c r="A332" s="897"/>
      <c r="E332" s="897"/>
    </row>
    <row r="333" customFormat="false" ht="12.75" hidden="false" customHeight="false" outlineLevel="1" collapsed="false">
      <c r="A333" s="897"/>
      <c r="E333" s="897"/>
    </row>
    <row r="334" customFormat="false" ht="12.75" hidden="false" customHeight="false" outlineLevel="1" collapsed="false">
      <c r="A334" s="897"/>
      <c r="E334" s="897"/>
    </row>
    <row r="335" customFormat="false" ht="12.75" hidden="false" customHeight="false" outlineLevel="1" collapsed="false">
      <c r="A335" s="897"/>
      <c r="E335" s="897"/>
    </row>
    <row r="336" customFormat="false" ht="12.75" hidden="false" customHeight="false" outlineLevel="1" collapsed="false">
      <c r="A336" s="897"/>
      <c r="E336" s="897"/>
    </row>
    <row r="337" customFormat="false" ht="12.75" hidden="false" customHeight="false" outlineLevel="1" collapsed="false">
      <c r="A337" s="897"/>
      <c r="E337" s="897"/>
    </row>
    <row r="338" customFormat="false" ht="12.75" hidden="false" customHeight="false" outlineLevel="1" collapsed="false">
      <c r="A338" s="897"/>
      <c r="E338" s="897"/>
    </row>
    <row r="339" customFormat="false" ht="12.75" hidden="false" customHeight="false" outlineLevel="1" collapsed="false">
      <c r="A339" s="897"/>
      <c r="E339" s="897"/>
    </row>
    <row r="340" customFormat="false" ht="12.75" hidden="false" customHeight="false" outlineLevel="1" collapsed="false">
      <c r="A340" s="897"/>
      <c r="E340" s="897"/>
    </row>
    <row r="341" customFormat="false" ht="12.75" hidden="false" customHeight="false" outlineLevel="1" collapsed="false">
      <c r="A341" s="897"/>
      <c r="E341" s="897"/>
    </row>
    <row r="342" customFormat="false" ht="12.75" hidden="false" customHeight="false" outlineLevel="1" collapsed="false">
      <c r="A342" s="897"/>
      <c r="E342" s="897"/>
    </row>
    <row r="343" customFormat="false" ht="12.75" hidden="false" customHeight="false" outlineLevel="1" collapsed="false">
      <c r="A343" s="897"/>
      <c r="E343" s="897"/>
    </row>
    <row r="344" customFormat="false" ht="12.75" hidden="false" customHeight="false" outlineLevel="1" collapsed="false">
      <c r="A344" s="897"/>
      <c r="E344" s="897"/>
    </row>
    <row r="345" customFormat="false" ht="12.75" hidden="false" customHeight="false" outlineLevel="1" collapsed="false">
      <c r="A345" s="897"/>
      <c r="E345" s="897"/>
    </row>
    <row r="346" customFormat="false" ht="12.75" hidden="false" customHeight="false" outlineLevel="1" collapsed="false">
      <c r="A346" s="897"/>
      <c r="E346" s="897"/>
    </row>
    <row r="347" customFormat="false" ht="12.75" hidden="false" customHeight="false" outlineLevel="1" collapsed="false">
      <c r="A347" s="897"/>
      <c r="E347" s="897"/>
    </row>
    <row r="348" customFormat="false" ht="12.75" hidden="false" customHeight="false" outlineLevel="1" collapsed="false">
      <c r="A348" s="897"/>
      <c r="E348" s="897"/>
    </row>
    <row r="349" customFormat="false" ht="12.75" hidden="false" customHeight="false" outlineLevel="1" collapsed="false">
      <c r="A349" s="897"/>
      <c r="E349" s="897"/>
    </row>
    <row r="350" customFormat="false" ht="12.75" hidden="false" customHeight="false" outlineLevel="1" collapsed="false">
      <c r="A350" s="897"/>
      <c r="E350" s="897"/>
    </row>
    <row r="351" customFormat="false" ht="12.75" hidden="false" customHeight="false" outlineLevel="1" collapsed="false">
      <c r="A351" s="897"/>
      <c r="E351" s="897"/>
    </row>
    <row r="352" customFormat="false" ht="12.75" hidden="false" customHeight="false" outlineLevel="1" collapsed="false">
      <c r="A352" s="897"/>
      <c r="E352" s="897"/>
    </row>
    <row r="353" customFormat="false" ht="12.75" hidden="false" customHeight="false" outlineLevel="1" collapsed="false">
      <c r="A353" s="897"/>
      <c r="E353" s="897"/>
    </row>
    <row r="354" customFormat="false" ht="12.75" hidden="false" customHeight="false" outlineLevel="1" collapsed="false">
      <c r="A354" s="897"/>
      <c r="E354" s="897"/>
    </row>
    <row r="355" customFormat="false" ht="12.75" hidden="false" customHeight="false" outlineLevel="1" collapsed="false">
      <c r="A355" s="897"/>
      <c r="E355" s="897"/>
    </row>
    <row r="356" customFormat="false" ht="12.75" hidden="false" customHeight="false" outlineLevel="1" collapsed="false">
      <c r="A356" s="897"/>
      <c r="E356" s="897"/>
    </row>
    <row r="357" customFormat="false" ht="12.75" hidden="false" customHeight="false" outlineLevel="1" collapsed="false">
      <c r="A357" s="897"/>
      <c r="E357" s="897"/>
    </row>
    <row r="358" customFormat="false" ht="12.75" hidden="false" customHeight="false" outlineLevel="1" collapsed="false">
      <c r="A358" s="897"/>
      <c r="E358" s="897"/>
    </row>
    <row r="359" customFormat="false" ht="12.75" hidden="false" customHeight="false" outlineLevel="1" collapsed="false">
      <c r="A359" s="897"/>
      <c r="E359" s="897"/>
    </row>
    <row r="360" customFormat="false" ht="12.75" hidden="false" customHeight="false" outlineLevel="1" collapsed="false">
      <c r="A360" s="897"/>
      <c r="E360" s="897"/>
    </row>
    <row r="361" customFormat="false" ht="12.75" hidden="false" customHeight="false" outlineLevel="1" collapsed="false">
      <c r="A361" s="897"/>
      <c r="E361" s="897"/>
    </row>
    <row r="362" customFormat="false" ht="12.75" hidden="false" customHeight="false" outlineLevel="1" collapsed="false">
      <c r="A362" s="897"/>
      <c r="E362" s="897"/>
    </row>
    <row r="363" customFormat="false" ht="12.75" hidden="false" customHeight="false" outlineLevel="1" collapsed="false">
      <c r="A363" s="897"/>
      <c r="E363" s="897"/>
    </row>
    <row r="364" customFormat="false" ht="12.75" hidden="false" customHeight="false" outlineLevel="1" collapsed="false">
      <c r="A364" s="897"/>
      <c r="E364" s="897"/>
    </row>
    <row r="365" customFormat="false" ht="12.75" hidden="false" customHeight="false" outlineLevel="1" collapsed="false">
      <c r="A365" s="897"/>
      <c r="E365" s="897"/>
    </row>
    <row r="366" customFormat="false" ht="12.75" hidden="false" customHeight="false" outlineLevel="1" collapsed="false">
      <c r="A366" s="897"/>
      <c r="E366" s="897"/>
    </row>
    <row r="367" customFormat="false" ht="12.75" hidden="false" customHeight="false" outlineLevel="1" collapsed="false">
      <c r="A367" s="897"/>
      <c r="E367" s="897"/>
    </row>
    <row r="368" customFormat="false" ht="12.75" hidden="false" customHeight="false" outlineLevel="1" collapsed="false">
      <c r="A368" s="897"/>
      <c r="E368" s="897"/>
    </row>
    <row r="369" customFormat="false" ht="12.75" hidden="false" customHeight="false" outlineLevel="1" collapsed="false">
      <c r="A369" s="897"/>
      <c r="E369" s="897"/>
    </row>
    <row r="370" customFormat="false" ht="12.75" hidden="false" customHeight="false" outlineLevel="1" collapsed="false">
      <c r="A370" s="897"/>
      <c r="E370" s="897"/>
    </row>
    <row r="371" customFormat="false" ht="12.75" hidden="false" customHeight="false" outlineLevel="1" collapsed="false">
      <c r="A371" s="897"/>
      <c r="E371" s="897"/>
    </row>
    <row r="372" customFormat="false" ht="12.75" hidden="false" customHeight="false" outlineLevel="1" collapsed="false">
      <c r="A372" s="897"/>
      <c r="E372" s="897"/>
    </row>
    <row r="373" customFormat="false" ht="12.75" hidden="false" customHeight="false" outlineLevel="1" collapsed="false">
      <c r="A373" s="897"/>
      <c r="E373" s="897"/>
    </row>
    <row r="374" customFormat="false" ht="12.75" hidden="false" customHeight="false" outlineLevel="1" collapsed="false">
      <c r="A374" s="897"/>
      <c r="E374" s="897"/>
    </row>
    <row r="375" customFormat="false" ht="12.75" hidden="false" customHeight="false" outlineLevel="1" collapsed="false">
      <c r="A375" s="897"/>
      <c r="E375" s="897"/>
    </row>
    <row r="376" customFormat="false" ht="12.75" hidden="false" customHeight="false" outlineLevel="1" collapsed="false">
      <c r="A376" s="897"/>
      <c r="E376" s="897"/>
    </row>
    <row r="377" customFormat="false" ht="12.75" hidden="false" customHeight="false" outlineLevel="1" collapsed="false">
      <c r="A377" s="897"/>
      <c r="E377" s="897"/>
    </row>
    <row r="378" customFormat="false" ht="12.75" hidden="false" customHeight="false" outlineLevel="1" collapsed="false">
      <c r="A378" s="897"/>
      <c r="E378" s="897"/>
    </row>
    <row r="379" customFormat="false" ht="12.75" hidden="false" customHeight="false" outlineLevel="1" collapsed="false">
      <c r="A379" s="897"/>
      <c r="E379" s="897"/>
    </row>
    <row r="380" customFormat="false" ht="12.75" hidden="false" customHeight="false" outlineLevel="1" collapsed="false">
      <c r="A380" s="897"/>
      <c r="E380" s="897"/>
    </row>
    <row r="381" customFormat="false" ht="12.75" hidden="false" customHeight="false" outlineLevel="1" collapsed="false">
      <c r="A381" s="897"/>
      <c r="E381" s="897"/>
    </row>
    <row r="382" customFormat="false" ht="12.75" hidden="false" customHeight="false" outlineLevel="1" collapsed="false">
      <c r="A382" s="897"/>
      <c r="E382" s="897"/>
    </row>
    <row r="383" customFormat="false" ht="12.75" hidden="false" customHeight="false" outlineLevel="1" collapsed="false">
      <c r="A383" s="897"/>
      <c r="E383" s="897"/>
    </row>
    <row r="384" customFormat="false" ht="12.75" hidden="false" customHeight="false" outlineLevel="1" collapsed="false">
      <c r="A384" s="897"/>
      <c r="E384" s="897"/>
    </row>
    <row r="385" customFormat="false" ht="12.75" hidden="false" customHeight="false" outlineLevel="1" collapsed="false">
      <c r="A385" s="897"/>
      <c r="E385" s="897"/>
    </row>
    <row r="386" customFormat="false" ht="12.75" hidden="false" customHeight="false" outlineLevel="1" collapsed="false">
      <c r="A386" s="897"/>
      <c r="E386" s="897"/>
    </row>
    <row r="387" customFormat="false" ht="12.75" hidden="false" customHeight="false" outlineLevel="1" collapsed="false">
      <c r="A387" s="897"/>
      <c r="E387" s="897"/>
    </row>
    <row r="388" customFormat="false" ht="12.75" hidden="false" customHeight="false" outlineLevel="1" collapsed="false">
      <c r="A388" s="897"/>
      <c r="E388" s="897"/>
    </row>
    <row r="389" customFormat="false" ht="12.75" hidden="false" customHeight="false" outlineLevel="1" collapsed="false">
      <c r="A389" s="897"/>
      <c r="E389" s="897"/>
    </row>
    <row r="390" customFormat="false" ht="12.75" hidden="false" customHeight="false" outlineLevel="1" collapsed="false">
      <c r="A390" s="897"/>
      <c r="E390" s="897"/>
    </row>
    <row r="391" customFormat="false" ht="12.75" hidden="false" customHeight="false" outlineLevel="1" collapsed="false">
      <c r="A391" s="897"/>
      <c r="E391" s="897"/>
    </row>
    <row r="392" customFormat="false" ht="12.75" hidden="false" customHeight="false" outlineLevel="1" collapsed="false">
      <c r="A392" s="897"/>
      <c r="E392" s="897"/>
    </row>
    <row r="393" customFormat="false" ht="12.75" hidden="false" customHeight="false" outlineLevel="1" collapsed="false">
      <c r="A393" s="897"/>
      <c r="E393" s="897"/>
    </row>
    <row r="394" customFormat="false" ht="12.75" hidden="false" customHeight="false" outlineLevel="1" collapsed="false">
      <c r="A394" s="897"/>
      <c r="E394" s="897"/>
    </row>
    <row r="395" customFormat="false" ht="12.75" hidden="false" customHeight="false" outlineLevel="1" collapsed="false">
      <c r="A395" s="897"/>
      <c r="E395" s="897"/>
    </row>
    <row r="396" customFormat="false" ht="12.75" hidden="false" customHeight="false" outlineLevel="1" collapsed="false">
      <c r="A396" s="897"/>
      <c r="E396" s="897"/>
    </row>
    <row r="397" customFormat="false" ht="12.75" hidden="false" customHeight="false" outlineLevel="1" collapsed="false">
      <c r="A397" s="897"/>
      <c r="E397" s="897"/>
    </row>
    <row r="398" customFormat="false" ht="12.75" hidden="false" customHeight="false" outlineLevel="1" collapsed="false">
      <c r="A398" s="897"/>
      <c r="E398" s="897"/>
    </row>
    <row r="399" customFormat="false" ht="12.75" hidden="false" customHeight="false" outlineLevel="1" collapsed="false">
      <c r="A399" s="897"/>
      <c r="E399" s="897"/>
    </row>
    <row r="400" customFormat="false" ht="12.75" hidden="false" customHeight="false" outlineLevel="1" collapsed="false">
      <c r="A400" s="897"/>
      <c r="E400" s="897"/>
    </row>
    <row r="401" customFormat="false" ht="12.75" hidden="false" customHeight="false" outlineLevel="1" collapsed="false">
      <c r="A401" s="897"/>
      <c r="E401" s="897"/>
    </row>
    <row r="402" customFormat="false" ht="12.75" hidden="false" customHeight="false" outlineLevel="1" collapsed="false">
      <c r="A402" s="897"/>
      <c r="E402" s="897"/>
    </row>
    <row r="403" customFormat="false" ht="12.75" hidden="false" customHeight="false" outlineLevel="1" collapsed="false">
      <c r="A403" s="897"/>
      <c r="E403" s="897"/>
    </row>
    <row r="404" customFormat="false" ht="12.75" hidden="false" customHeight="false" outlineLevel="1" collapsed="false">
      <c r="A404" s="897"/>
      <c r="E404" s="897"/>
    </row>
    <row r="405" customFormat="false" ht="12.75" hidden="false" customHeight="false" outlineLevel="1" collapsed="false">
      <c r="A405" s="897"/>
      <c r="E405" s="897"/>
    </row>
    <row r="406" customFormat="false" ht="12.75" hidden="false" customHeight="false" outlineLevel="1" collapsed="false">
      <c r="A406" s="897"/>
      <c r="E406" s="897"/>
    </row>
    <row r="407" customFormat="false" ht="12.75" hidden="false" customHeight="false" outlineLevel="1" collapsed="false">
      <c r="A407" s="897"/>
      <c r="E407" s="897"/>
    </row>
    <row r="408" customFormat="false" ht="12.75" hidden="false" customHeight="false" outlineLevel="1" collapsed="false">
      <c r="A408" s="897"/>
      <c r="E408" s="897"/>
    </row>
    <row r="409" customFormat="false" ht="12.75" hidden="false" customHeight="false" outlineLevel="1" collapsed="false">
      <c r="A409" s="897"/>
      <c r="E409" s="897"/>
    </row>
    <row r="410" customFormat="false" ht="12.75" hidden="false" customHeight="false" outlineLevel="1" collapsed="false">
      <c r="A410" s="897"/>
      <c r="E410" s="897"/>
    </row>
    <row r="411" customFormat="false" ht="12.75" hidden="false" customHeight="false" outlineLevel="1" collapsed="false">
      <c r="A411" s="897"/>
      <c r="E411" s="897"/>
    </row>
    <row r="412" customFormat="false" ht="12.75" hidden="false" customHeight="false" outlineLevel="1" collapsed="false">
      <c r="A412" s="897"/>
      <c r="E412" s="897"/>
    </row>
    <row r="413" customFormat="false" ht="12.75" hidden="false" customHeight="false" outlineLevel="1" collapsed="false">
      <c r="A413" s="897"/>
      <c r="E413" s="897"/>
    </row>
    <row r="414" customFormat="false" ht="12.75" hidden="false" customHeight="false" outlineLevel="1" collapsed="false">
      <c r="A414" s="897"/>
      <c r="E414" s="897"/>
    </row>
    <row r="415" customFormat="false" ht="12.75" hidden="false" customHeight="false" outlineLevel="1" collapsed="false">
      <c r="A415" s="897"/>
      <c r="E415" s="897"/>
    </row>
    <row r="416" customFormat="false" ht="12.75" hidden="false" customHeight="false" outlineLevel="1" collapsed="false">
      <c r="A416" s="897"/>
      <c r="E416" s="897"/>
    </row>
    <row r="417" customFormat="false" ht="12.75" hidden="false" customHeight="false" outlineLevel="1" collapsed="false">
      <c r="A417" s="897"/>
      <c r="E417" s="897"/>
    </row>
    <row r="418" customFormat="false" ht="12.75" hidden="false" customHeight="false" outlineLevel="1" collapsed="false">
      <c r="A418" s="897"/>
      <c r="E418" s="897"/>
    </row>
    <row r="419" customFormat="false" ht="12.75" hidden="false" customHeight="false" outlineLevel="1" collapsed="false">
      <c r="A419" s="897"/>
      <c r="E419" s="897"/>
    </row>
    <row r="420" customFormat="false" ht="12.75" hidden="false" customHeight="false" outlineLevel="1" collapsed="false">
      <c r="A420" s="897"/>
      <c r="E420" s="897"/>
    </row>
    <row r="421" customFormat="false" ht="12.75" hidden="false" customHeight="false" outlineLevel="1" collapsed="false">
      <c r="A421" s="897"/>
      <c r="E421" s="897"/>
    </row>
    <row r="422" customFormat="false" ht="12.75" hidden="false" customHeight="false" outlineLevel="1" collapsed="false">
      <c r="A422" s="897"/>
      <c r="E422" s="897"/>
    </row>
    <row r="423" customFormat="false" ht="12.75" hidden="false" customHeight="false" outlineLevel="1" collapsed="false">
      <c r="A423" s="897"/>
      <c r="E423" s="897"/>
    </row>
    <row r="424" customFormat="false" ht="12.75" hidden="false" customHeight="false" outlineLevel="1" collapsed="false">
      <c r="A424" s="897"/>
      <c r="E424" s="897"/>
    </row>
    <row r="425" customFormat="false" ht="12.75" hidden="false" customHeight="false" outlineLevel="1" collapsed="false">
      <c r="A425" s="897"/>
      <c r="E425" s="897"/>
    </row>
    <row r="426" customFormat="false" ht="12.75" hidden="false" customHeight="false" outlineLevel="1" collapsed="false">
      <c r="A426" s="897"/>
      <c r="E426" s="897"/>
    </row>
    <row r="427" customFormat="false" ht="12.75" hidden="false" customHeight="false" outlineLevel="1" collapsed="false">
      <c r="A427" s="897"/>
      <c r="E427" s="897"/>
    </row>
    <row r="428" customFormat="false" ht="12.75" hidden="false" customHeight="false" outlineLevel="1" collapsed="false">
      <c r="A428" s="897"/>
      <c r="E428" s="897"/>
    </row>
    <row r="429" customFormat="false" ht="12.75" hidden="false" customHeight="false" outlineLevel="1" collapsed="false">
      <c r="A429" s="897"/>
      <c r="E429" s="897"/>
    </row>
    <row r="430" customFormat="false" ht="12.75" hidden="false" customHeight="false" outlineLevel="1" collapsed="false">
      <c r="A430" s="897"/>
      <c r="E430" s="897"/>
    </row>
    <row r="431" customFormat="false" ht="12.75" hidden="false" customHeight="false" outlineLevel="1" collapsed="false">
      <c r="A431" s="897"/>
      <c r="E431" s="897"/>
    </row>
    <row r="432" customFormat="false" ht="12.75" hidden="false" customHeight="false" outlineLevel="1" collapsed="false">
      <c r="A432" s="897"/>
      <c r="E432" s="897"/>
    </row>
    <row r="433" customFormat="false" ht="12.75" hidden="false" customHeight="false" outlineLevel="1" collapsed="false">
      <c r="A433" s="897"/>
      <c r="E433" s="897"/>
    </row>
    <row r="434" customFormat="false" ht="12.75" hidden="false" customHeight="false" outlineLevel="1" collapsed="false">
      <c r="A434" s="897"/>
      <c r="E434" s="897"/>
    </row>
    <row r="435" customFormat="false" ht="12.75" hidden="false" customHeight="false" outlineLevel="1" collapsed="false">
      <c r="A435" s="897"/>
      <c r="E435" s="897"/>
    </row>
    <row r="436" customFormat="false" ht="12.75" hidden="false" customHeight="false" outlineLevel="1" collapsed="false">
      <c r="A436" s="897"/>
      <c r="E436" s="897"/>
    </row>
    <row r="437" customFormat="false" ht="12.75" hidden="false" customHeight="false" outlineLevel="1" collapsed="false">
      <c r="A437" s="897"/>
      <c r="E437" s="897"/>
    </row>
    <row r="438" customFormat="false" ht="12.75" hidden="false" customHeight="false" outlineLevel="1" collapsed="false">
      <c r="A438" s="897"/>
      <c r="E438" s="897"/>
    </row>
    <row r="439" customFormat="false" ht="12.75" hidden="false" customHeight="false" outlineLevel="1" collapsed="false">
      <c r="A439" s="897"/>
      <c r="E439" s="897"/>
    </row>
    <row r="440" customFormat="false" ht="12.75" hidden="false" customHeight="false" outlineLevel="1" collapsed="false">
      <c r="A440" s="897"/>
      <c r="E440" s="897"/>
    </row>
    <row r="441" customFormat="false" ht="12.75" hidden="false" customHeight="false" outlineLevel="1" collapsed="false">
      <c r="A441" s="897"/>
      <c r="E441" s="897"/>
    </row>
    <row r="442" customFormat="false" ht="12.75" hidden="false" customHeight="false" outlineLevel="1" collapsed="false">
      <c r="A442" s="897"/>
      <c r="E442" s="897"/>
    </row>
    <row r="443" customFormat="false" ht="12.75" hidden="false" customHeight="false" outlineLevel="1" collapsed="false">
      <c r="A443" s="897"/>
      <c r="E443" s="897"/>
    </row>
    <row r="444" customFormat="false" ht="12.75" hidden="false" customHeight="false" outlineLevel="1" collapsed="false">
      <c r="A444" s="897"/>
      <c r="E444" s="897"/>
    </row>
    <row r="445" customFormat="false" ht="12.75" hidden="false" customHeight="false" outlineLevel="1" collapsed="false">
      <c r="A445" s="897"/>
      <c r="E445" s="897"/>
    </row>
    <row r="446" customFormat="false" ht="12.75" hidden="false" customHeight="false" outlineLevel="1" collapsed="false">
      <c r="A446" s="897"/>
      <c r="E446" s="897"/>
    </row>
    <row r="447" customFormat="false" ht="12.75" hidden="false" customHeight="false" outlineLevel="1" collapsed="false">
      <c r="A447" s="897"/>
      <c r="E447" s="897"/>
    </row>
    <row r="448" customFormat="false" ht="12.75" hidden="false" customHeight="false" outlineLevel="1" collapsed="false">
      <c r="A448" s="897"/>
      <c r="E448" s="897"/>
    </row>
    <row r="449" customFormat="false" ht="12.75" hidden="false" customHeight="false" outlineLevel="1" collapsed="false">
      <c r="A449" s="897"/>
      <c r="E449" s="897"/>
    </row>
    <row r="450" customFormat="false" ht="12.75" hidden="false" customHeight="false" outlineLevel="1" collapsed="false">
      <c r="A450" s="897"/>
      <c r="E450" s="897"/>
    </row>
    <row r="451" customFormat="false" ht="12.75" hidden="false" customHeight="false" outlineLevel="1" collapsed="false">
      <c r="A451" s="897"/>
      <c r="E451" s="897"/>
    </row>
    <row r="452" customFormat="false" ht="12.75" hidden="false" customHeight="false" outlineLevel="1" collapsed="false">
      <c r="A452" s="897"/>
      <c r="E452" s="897"/>
    </row>
    <row r="453" customFormat="false" ht="12.75" hidden="false" customHeight="false" outlineLevel="1" collapsed="false">
      <c r="A453" s="897"/>
      <c r="E453" s="897"/>
    </row>
    <row r="454" customFormat="false" ht="12.75" hidden="false" customHeight="false" outlineLevel="1" collapsed="false">
      <c r="A454" s="897"/>
      <c r="E454" s="897"/>
    </row>
    <row r="455" customFormat="false" ht="12.75" hidden="false" customHeight="false" outlineLevel="1" collapsed="false">
      <c r="A455" s="897"/>
      <c r="E455" s="897"/>
    </row>
    <row r="456" customFormat="false" ht="12.75" hidden="false" customHeight="false" outlineLevel="1" collapsed="false">
      <c r="A456" s="897"/>
      <c r="E456" s="897"/>
    </row>
    <row r="457" customFormat="false" ht="12.75" hidden="false" customHeight="false" outlineLevel="1" collapsed="false">
      <c r="A457" s="897"/>
      <c r="E457" s="897"/>
    </row>
    <row r="458" customFormat="false" ht="12.75" hidden="false" customHeight="false" outlineLevel="1" collapsed="false">
      <c r="A458" s="897"/>
      <c r="E458" s="897"/>
    </row>
    <row r="459" customFormat="false" ht="12.75" hidden="false" customHeight="false" outlineLevel="1" collapsed="false">
      <c r="A459" s="897"/>
      <c r="E459" s="897"/>
    </row>
    <row r="460" customFormat="false" ht="12.75" hidden="false" customHeight="false" outlineLevel="1" collapsed="false">
      <c r="A460" s="897"/>
      <c r="E460" s="897"/>
    </row>
    <row r="461" customFormat="false" ht="12.75" hidden="false" customHeight="false" outlineLevel="1" collapsed="false">
      <c r="A461" s="897"/>
      <c r="E461" s="897"/>
    </row>
    <row r="462" customFormat="false" ht="12.75" hidden="false" customHeight="false" outlineLevel="1" collapsed="false">
      <c r="A462" s="897"/>
      <c r="E462" s="897"/>
    </row>
    <row r="463" customFormat="false" ht="12.75" hidden="false" customHeight="false" outlineLevel="1" collapsed="false">
      <c r="A463" s="897"/>
      <c r="E463" s="897"/>
    </row>
    <row r="464" customFormat="false" ht="12.75" hidden="false" customHeight="false" outlineLevel="1" collapsed="false">
      <c r="A464" s="897"/>
      <c r="E464" s="897"/>
    </row>
    <row r="465" customFormat="false" ht="12.75" hidden="false" customHeight="false" outlineLevel="1" collapsed="false">
      <c r="A465" s="897"/>
      <c r="E465" s="897"/>
    </row>
    <row r="466" customFormat="false" ht="12.75" hidden="false" customHeight="false" outlineLevel="1" collapsed="false">
      <c r="A466" s="897"/>
      <c r="E466" s="897"/>
    </row>
    <row r="467" customFormat="false" ht="12.75" hidden="false" customHeight="false" outlineLevel="1" collapsed="false">
      <c r="A467" s="897"/>
      <c r="E467" s="897"/>
    </row>
    <row r="468" customFormat="false" ht="12.75" hidden="false" customHeight="false" outlineLevel="1" collapsed="false">
      <c r="A468" s="897"/>
      <c r="E468" s="897"/>
    </row>
    <row r="469" customFormat="false" ht="12.75" hidden="false" customHeight="false" outlineLevel="1" collapsed="false">
      <c r="A469" s="897"/>
      <c r="E469" s="897"/>
    </row>
    <row r="470" customFormat="false" ht="12.75" hidden="false" customHeight="false" outlineLevel="1" collapsed="false">
      <c r="A470" s="897"/>
      <c r="E470" s="897"/>
    </row>
    <row r="471" customFormat="false" ht="12.75" hidden="false" customHeight="false" outlineLevel="1" collapsed="false">
      <c r="A471" s="897"/>
      <c r="E471" s="897"/>
    </row>
    <row r="472" customFormat="false" ht="12.75" hidden="false" customHeight="false" outlineLevel="1" collapsed="false">
      <c r="A472" s="897"/>
      <c r="E472" s="897"/>
    </row>
    <row r="473" customFormat="false" ht="12.75" hidden="false" customHeight="false" outlineLevel="1" collapsed="false">
      <c r="A473" s="897"/>
      <c r="E473" s="897"/>
    </row>
    <row r="474" customFormat="false" ht="12.75" hidden="false" customHeight="false" outlineLevel="1" collapsed="false">
      <c r="A474" s="897"/>
      <c r="E474" s="897"/>
    </row>
    <row r="475" customFormat="false" ht="12.75" hidden="false" customHeight="false" outlineLevel="1" collapsed="false">
      <c r="A475" s="897"/>
      <c r="E475" s="897"/>
    </row>
    <row r="476" customFormat="false" ht="12.75" hidden="false" customHeight="false" outlineLevel="1" collapsed="false">
      <c r="A476" s="897"/>
      <c r="E476" s="897"/>
    </row>
    <row r="477" customFormat="false" ht="12.75" hidden="false" customHeight="false" outlineLevel="1" collapsed="false">
      <c r="A477" s="897"/>
      <c r="E477" s="897"/>
    </row>
    <row r="478" customFormat="false" ht="12.75" hidden="false" customHeight="false" outlineLevel="1" collapsed="false">
      <c r="A478" s="897"/>
      <c r="E478" s="897"/>
    </row>
    <row r="479" customFormat="false" ht="12.75" hidden="false" customHeight="false" outlineLevel="1" collapsed="false">
      <c r="A479" s="897"/>
      <c r="E479" s="897"/>
    </row>
    <row r="480" customFormat="false" ht="12.75" hidden="false" customHeight="false" outlineLevel="1" collapsed="false">
      <c r="A480" s="897"/>
      <c r="E480" s="897"/>
    </row>
    <row r="481" customFormat="false" ht="12.75" hidden="false" customHeight="false" outlineLevel="1" collapsed="false">
      <c r="A481" s="897"/>
      <c r="E481" s="897"/>
    </row>
    <row r="482" customFormat="false" ht="12.75" hidden="false" customHeight="false" outlineLevel="1" collapsed="false">
      <c r="A482" s="897"/>
      <c r="E482" s="897"/>
    </row>
    <row r="483" customFormat="false" ht="12.75" hidden="false" customHeight="false" outlineLevel="1" collapsed="false">
      <c r="A483" s="897"/>
      <c r="E483" s="897"/>
    </row>
    <row r="484" customFormat="false" ht="12.75" hidden="false" customHeight="false" outlineLevel="1" collapsed="false">
      <c r="A484" s="897"/>
      <c r="E484" s="897"/>
    </row>
    <row r="485" customFormat="false" ht="12.75" hidden="false" customHeight="false" outlineLevel="1" collapsed="false">
      <c r="A485" s="897"/>
      <c r="E485" s="897"/>
    </row>
    <row r="486" customFormat="false" ht="12.75" hidden="false" customHeight="false" outlineLevel="1" collapsed="false">
      <c r="A486" s="897"/>
      <c r="E486" s="897"/>
    </row>
    <row r="487" customFormat="false" ht="12.75" hidden="false" customHeight="false" outlineLevel="1" collapsed="false">
      <c r="A487" s="897"/>
      <c r="E487" s="897"/>
    </row>
    <row r="488" customFormat="false" ht="12.75" hidden="false" customHeight="false" outlineLevel="1" collapsed="false">
      <c r="A488" s="897"/>
      <c r="E488" s="897"/>
    </row>
    <row r="489" customFormat="false" ht="12.75" hidden="false" customHeight="false" outlineLevel="1" collapsed="false">
      <c r="A489" s="897"/>
      <c r="E489" s="897"/>
    </row>
    <row r="490" customFormat="false" ht="12.75" hidden="false" customHeight="false" outlineLevel="1" collapsed="false">
      <c r="A490" s="897"/>
      <c r="E490" s="897"/>
    </row>
    <row r="491" customFormat="false" ht="12.75" hidden="false" customHeight="false" outlineLevel="1" collapsed="false">
      <c r="A491" s="897"/>
      <c r="E491" s="897"/>
    </row>
    <row r="492" customFormat="false" ht="12.75" hidden="false" customHeight="false" outlineLevel="1" collapsed="false">
      <c r="A492" s="897"/>
      <c r="E492" s="897"/>
    </row>
    <row r="493" customFormat="false" ht="12.75" hidden="false" customHeight="false" outlineLevel="1" collapsed="false">
      <c r="A493" s="897"/>
      <c r="E493" s="897"/>
    </row>
    <row r="494" customFormat="false" ht="12.75" hidden="false" customHeight="false" outlineLevel="1" collapsed="false">
      <c r="A494" s="897"/>
      <c r="E494" s="897"/>
    </row>
    <row r="495" customFormat="false" ht="12.75" hidden="false" customHeight="false" outlineLevel="1" collapsed="false">
      <c r="A495" s="897"/>
      <c r="E495" s="897"/>
    </row>
    <row r="496" customFormat="false" ht="12.75" hidden="false" customHeight="false" outlineLevel="1" collapsed="false">
      <c r="A496" s="897"/>
      <c r="E496" s="897"/>
    </row>
    <row r="497" customFormat="false" ht="12.75" hidden="false" customHeight="false" outlineLevel="1" collapsed="false">
      <c r="A497" s="897"/>
      <c r="E497" s="897"/>
    </row>
    <row r="498" customFormat="false" ht="12.75" hidden="false" customHeight="false" outlineLevel="1" collapsed="false">
      <c r="A498" s="897"/>
      <c r="E498" s="897"/>
    </row>
    <row r="499" customFormat="false" ht="12.75" hidden="false" customHeight="false" outlineLevel="1" collapsed="false">
      <c r="A499" s="897"/>
      <c r="E499" s="897"/>
    </row>
    <row r="500" customFormat="false" ht="12.75" hidden="false" customHeight="false" outlineLevel="1" collapsed="false">
      <c r="A500" s="897"/>
      <c r="E500" s="897"/>
    </row>
    <row r="501" customFormat="false" ht="12.75" hidden="false" customHeight="false" outlineLevel="1" collapsed="false">
      <c r="A501" s="897"/>
      <c r="E501" s="897"/>
    </row>
    <row r="502" customFormat="false" ht="12.75" hidden="false" customHeight="false" outlineLevel="1" collapsed="false">
      <c r="A502" s="897"/>
      <c r="E502" s="897"/>
    </row>
    <row r="503" customFormat="false" ht="12.75" hidden="false" customHeight="false" outlineLevel="1" collapsed="false">
      <c r="A503" s="897"/>
      <c r="E503" s="897"/>
    </row>
    <row r="504" customFormat="false" ht="12.75" hidden="false" customHeight="false" outlineLevel="1" collapsed="false">
      <c r="A504" s="897"/>
      <c r="E504" s="897"/>
    </row>
    <row r="505" customFormat="false" ht="12.75" hidden="false" customHeight="false" outlineLevel="1" collapsed="false">
      <c r="A505" s="897"/>
      <c r="E505" s="897"/>
    </row>
    <row r="506" customFormat="false" ht="12.75" hidden="false" customHeight="false" outlineLevel="1" collapsed="false">
      <c r="A506" s="897"/>
      <c r="E506" s="897"/>
    </row>
    <row r="507" customFormat="false" ht="12.75" hidden="false" customHeight="false" outlineLevel="1" collapsed="false">
      <c r="A507" s="897"/>
      <c r="E507" s="897"/>
    </row>
    <row r="508" customFormat="false" ht="12.75" hidden="false" customHeight="false" outlineLevel="1" collapsed="false">
      <c r="A508" s="897"/>
      <c r="E508" s="897"/>
    </row>
    <row r="509" customFormat="false" ht="12.75" hidden="false" customHeight="false" outlineLevel="1" collapsed="false">
      <c r="A509" s="897"/>
      <c r="E509" s="897"/>
    </row>
    <row r="510" customFormat="false" ht="12.75" hidden="false" customHeight="false" outlineLevel="1" collapsed="false">
      <c r="A510" s="897"/>
      <c r="E510" s="897"/>
    </row>
    <row r="511" customFormat="false" ht="12.75" hidden="false" customHeight="false" outlineLevel="1" collapsed="false">
      <c r="A511" s="897"/>
      <c r="E511" s="897"/>
    </row>
    <row r="512" customFormat="false" ht="12.75" hidden="false" customHeight="false" outlineLevel="1" collapsed="false">
      <c r="A512" s="897"/>
      <c r="E512" s="897"/>
    </row>
    <row r="513" customFormat="false" ht="12.75" hidden="false" customHeight="false" outlineLevel="1" collapsed="false">
      <c r="A513" s="897"/>
      <c r="E513" s="897"/>
    </row>
    <row r="514" customFormat="false" ht="12.75" hidden="false" customHeight="false" outlineLevel="1" collapsed="false">
      <c r="A514" s="897"/>
      <c r="E514" s="897"/>
    </row>
    <row r="515" customFormat="false" ht="12.75" hidden="false" customHeight="false" outlineLevel="1" collapsed="false">
      <c r="A515" s="897"/>
      <c r="E515" s="897"/>
    </row>
    <row r="516" customFormat="false" ht="12.75" hidden="false" customHeight="false" outlineLevel="1" collapsed="false">
      <c r="A516" s="897"/>
      <c r="E516" s="897"/>
    </row>
    <row r="517" customFormat="false" ht="12.75" hidden="false" customHeight="false" outlineLevel="1" collapsed="false">
      <c r="A517" s="897"/>
      <c r="E517" s="897"/>
    </row>
    <row r="518" customFormat="false" ht="12.75" hidden="false" customHeight="false" outlineLevel="1" collapsed="false">
      <c r="A518" s="897"/>
      <c r="E518" s="897"/>
    </row>
    <row r="519" customFormat="false" ht="12.75" hidden="false" customHeight="false" outlineLevel="1" collapsed="false">
      <c r="A519" s="897"/>
      <c r="E519" s="897"/>
    </row>
    <row r="520" customFormat="false" ht="12.75" hidden="false" customHeight="false" outlineLevel="1" collapsed="false">
      <c r="A520" s="897"/>
      <c r="E520" s="897"/>
    </row>
    <row r="521" customFormat="false" ht="12.75" hidden="false" customHeight="false" outlineLevel="1" collapsed="false">
      <c r="A521" s="897"/>
      <c r="E521" s="897"/>
    </row>
    <row r="522" customFormat="false" ht="12.75" hidden="false" customHeight="false" outlineLevel="1" collapsed="false">
      <c r="A522" s="897"/>
      <c r="E522" s="897"/>
    </row>
    <row r="523" customFormat="false" ht="12.75" hidden="false" customHeight="false" outlineLevel="1" collapsed="false">
      <c r="A523" s="897"/>
      <c r="E523" s="897"/>
    </row>
    <row r="524" customFormat="false" ht="12.75" hidden="false" customHeight="false" outlineLevel="1" collapsed="false">
      <c r="A524" s="897"/>
      <c r="E524" s="897"/>
    </row>
    <row r="525" customFormat="false" ht="12.75" hidden="false" customHeight="false" outlineLevel="1" collapsed="false">
      <c r="A525" s="897"/>
      <c r="E525" s="897"/>
    </row>
    <row r="526" customFormat="false" ht="12.75" hidden="false" customHeight="false" outlineLevel="1" collapsed="false">
      <c r="A526" s="897"/>
      <c r="E526" s="897"/>
    </row>
    <row r="527" customFormat="false" ht="12.75" hidden="false" customHeight="false" outlineLevel="1" collapsed="false">
      <c r="A527" s="897"/>
      <c r="E527" s="897"/>
    </row>
    <row r="528" customFormat="false" ht="12.75" hidden="false" customHeight="false" outlineLevel="1" collapsed="false">
      <c r="A528" s="897"/>
      <c r="E528" s="897"/>
    </row>
    <row r="529" customFormat="false" ht="12.75" hidden="false" customHeight="false" outlineLevel="1" collapsed="false">
      <c r="A529" s="897"/>
      <c r="E529" s="897"/>
    </row>
    <row r="530" customFormat="false" ht="12.75" hidden="false" customHeight="false" outlineLevel="1" collapsed="false">
      <c r="A530" s="897"/>
      <c r="E530" s="897"/>
    </row>
    <row r="531" customFormat="false" ht="12.75" hidden="false" customHeight="false" outlineLevel="1" collapsed="false">
      <c r="A531" s="897"/>
      <c r="E531" s="897"/>
    </row>
    <row r="532" customFormat="false" ht="12.75" hidden="false" customHeight="false" outlineLevel="1" collapsed="false">
      <c r="A532" s="897"/>
      <c r="E532" s="897"/>
    </row>
    <row r="533" customFormat="false" ht="12.75" hidden="false" customHeight="false" outlineLevel="1" collapsed="false">
      <c r="A533" s="897"/>
      <c r="E533" s="897"/>
    </row>
    <row r="534" customFormat="false" ht="12.75" hidden="false" customHeight="false" outlineLevel="1" collapsed="false">
      <c r="A534" s="897"/>
      <c r="E534" s="897"/>
    </row>
    <row r="535" customFormat="false" ht="12.75" hidden="false" customHeight="false" outlineLevel="1" collapsed="false">
      <c r="A535" s="897"/>
      <c r="E535" s="897"/>
    </row>
    <row r="536" customFormat="false" ht="12.75" hidden="false" customHeight="false" outlineLevel="1" collapsed="false">
      <c r="A536" s="897"/>
      <c r="E536" s="897"/>
    </row>
    <row r="537" customFormat="false" ht="12.75" hidden="false" customHeight="false" outlineLevel="1" collapsed="false">
      <c r="A537" s="897"/>
      <c r="E537" s="897"/>
    </row>
    <row r="538" customFormat="false" ht="12.75" hidden="false" customHeight="false" outlineLevel="1" collapsed="false">
      <c r="A538" s="897"/>
      <c r="E538" s="897"/>
    </row>
    <row r="539" customFormat="false" ht="12.75" hidden="false" customHeight="false" outlineLevel="1" collapsed="false">
      <c r="A539" s="897"/>
      <c r="E539" s="897"/>
    </row>
    <row r="540" customFormat="false" ht="12.75" hidden="false" customHeight="false" outlineLevel="1" collapsed="false">
      <c r="A540" s="897"/>
      <c r="E540" s="897"/>
    </row>
    <row r="541" customFormat="false" ht="12.75" hidden="false" customHeight="false" outlineLevel="1" collapsed="false">
      <c r="A541" s="897"/>
      <c r="E541" s="897"/>
    </row>
    <row r="542" customFormat="false" ht="12.75" hidden="false" customHeight="false" outlineLevel="1" collapsed="false">
      <c r="A542" s="897"/>
      <c r="E542" s="897"/>
    </row>
    <row r="543" customFormat="false" ht="12.75" hidden="false" customHeight="false" outlineLevel="1" collapsed="false">
      <c r="A543" s="897"/>
      <c r="E543" s="897"/>
    </row>
    <row r="544" customFormat="false" ht="12.75" hidden="false" customHeight="false" outlineLevel="1" collapsed="false">
      <c r="A544" s="897"/>
      <c r="E544" s="897"/>
    </row>
    <row r="545" customFormat="false" ht="12.75" hidden="false" customHeight="false" outlineLevel="1" collapsed="false">
      <c r="A545" s="897"/>
      <c r="E545" s="897"/>
    </row>
    <row r="546" customFormat="false" ht="12.75" hidden="false" customHeight="false" outlineLevel="1" collapsed="false">
      <c r="A546" s="897"/>
      <c r="E546" s="897"/>
    </row>
    <row r="547" customFormat="false" ht="12.75" hidden="false" customHeight="false" outlineLevel="1" collapsed="false">
      <c r="A547" s="897"/>
      <c r="E547" s="897"/>
    </row>
    <row r="548" customFormat="false" ht="12.75" hidden="false" customHeight="false" outlineLevel="1" collapsed="false">
      <c r="A548" s="897"/>
      <c r="E548" s="897"/>
    </row>
    <row r="549" customFormat="false" ht="12.75" hidden="false" customHeight="false" outlineLevel="1" collapsed="false">
      <c r="A549" s="897"/>
      <c r="E549" s="897"/>
    </row>
    <row r="550" customFormat="false" ht="12.75" hidden="false" customHeight="false" outlineLevel="1" collapsed="false">
      <c r="A550" s="897"/>
      <c r="E550" s="897"/>
    </row>
    <row r="551" customFormat="false" ht="12.75" hidden="false" customHeight="false" outlineLevel="1" collapsed="false">
      <c r="A551" s="897"/>
      <c r="E551" s="897"/>
    </row>
    <row r="552" customFormat="false" ht="12.75" hidden="false" customHeight="false" outlineLevel="1" collapsed="false">
      <c r="A552" s="897"/>
      <c r="E552" s="897"/>
    </row>
    <row r="553" customFormat="false" ht="12.75" hidden="false" customHeight="false" outlineLevel="1" collapsed="false">
      <c r="A553" s="897"/>
      <c r="E553" s="897"/>
    </row>
    <row r="554" customFormat="false" ht="12.75" hidden="false" customHeight="false" outlineLevel="1" collapsed="false">
      <c r="A554" s="897"/>
      <c r="E554" s="897"/>
    </row>
    <row r="555" customFormat="false" ht="12.75" hidden="false" customHeight="false" outlineLevel="1" collapsed="false">
      <c r="A555" s="897"/>
      <c r="E555" s="897"/>
    </row>
    <row r="556" customFormat="false" ht="12.75" hidden="false" customHeight="false" outlineLevel="1" collapsed="false">
      <c r="A556" s="897"/>
      <c r="E556" s="897"/>
    </row>
    <row r="557" customFormat="false" ht="12.75" hidden="false" customHeight="false" outlineLevel="1" collapsed="false">
      <c r="A557" s="897"/>
      <c r="E557" s="897"/>
    </row>
    <row r="558" customFormat="false" ht="12.75" hidden="false" customHeight="false" outlineLevel="1" collapsed="false">
      <c r="A558" s="897"/>
      <c r="E558" s="897"/>
    </row>
    <row r="559" customFormat="false" ht="12.75" hidden="false" customHeight="false" outlineLevel="1" collapsed="false">
      <c r="A559" s="897"/>
      <c r="E559" s="897"/>
    </row>
    <row r="560" customFormat="false" ht="12.75" hidden="false" customHeight="false" outlineLevel="1" collapsed="false">
      <c r="A560" s="897"/>
      <c r="E560" s="897"/>
    </row>
    <row r="561" customFormat="false" ht="12.75" hidden="false" customHeight="false" outlineLevel="1" collapsed="false">
      <c r="A561" s="897"/>
      <c r="E561" s="897"/>
    </row>
    <row r="562" customFormat="false" ht="12.75" hidden="false" customHeight="false" outlineLevel="1" collapsed="false">
      <c r="A562" s="897"/>
      <c r="E562" s="897"/>
    </row>
    <row r="563" customFormat="false" ht="12.75" hidden="false" customHeight="false" outlineLevel="1" collapsed="false">
      <c r="A563" s="897"/>
      <c r="E563" s="897"/>
    </row>
    <row r="564" customFormat="false" ht="12.75" hidden="false" customHeight="false" outlineLevel="1" collapsed="false">
      <c r="A564" s="897"/>
      <c r="E564" s="897"/>
    </row>
    <row r="565" customFormat="false" ht="12.75" hidden="false" customHeight="false" outlineLevel="1" collapsed="false">
      <c r="A565" s="897"/>
      <c r="E565" s="897"/>
    </row>
    <row r="566" customFormat="false" ht="12.75" hidden="false" customHeight="false" outlineLevel="1" collapsed="false">
      <c r="A566" s="897"/>
      <c r="E566" s="897"/>
    </row>
    <row r="567" customFormat="false" ht="12.75" hidden="false" customHeight="false" outlineLevel="1" collapsed="false">
      <c r="A567" s="897"/>
      <c r="E567" s="897"/>
    </row>
    <row r="568" customFormat="false" ht="12.75" hidden="false" customHeight="false" outlineLevel="1" collapsed="false">
      <c r="A568" s="897"/>
      <c r="E568" s="897"/>
    </row>
    <row r="569" customFormat="false" ht="12.75" hidden="false" customHeight="false" outlineLevel="1" collapsed="false">
      <c r="A569" s="897"/>
      <c r="E569" s="897"/>
    </row>
    <row r="570" customFormat="false" ht="12.75" hidden="false" customHeight="false" outlineLevel="1" collapsed="false">
      <c r="A570" s="897"/>
      <c r="E570" s="897"/>
    </row>
    <row r="571" customFormat="false" ht="12.75" hidden="false" customHeight="false" outlineLevel="1" collapsed="false">
      <c r="A571" s="897"/>
      <c r="E571" s="897"/>
    </row>
    <row r="572" customFormat="false" ht="12.75" hidden="false" customHeight="false" outlineLevel="1" collapsed="false">
      <c r="A572" s="897"/>
      <c r="E572" s="897"/>
    </row>
    <row r="573" customFormat="false" ht="12.75" hidden="false" customHeight="false" outlineLevel="1" collapsed="false">
      <c r="A573" s="897"/>
      <c r="E573" s="897"/>
    </row>
    <row r="574" customFormat="false" ht="12.75" hidden="false" customHeight="false" outlineLevel="1" collapsed="false">
      <c r="A574" s="897"/>
      <c r="E574" s="897"/>
    </row>
    <row r="575" customFormat="false" ht="12.75" hidden="false" customHeight="false" outlineLevel="1" collapsed="false">
      <c r="A575" s="897"/>
      <c r="E575" s="897"/>
    </row>
    <row r="576" customFormat="false" ht="12.75" hidden="false" customHeight="false" outlineLevel="1" collapsed="false">
      <c r="A576" s="897"/>
      <c r="E576" s="897"/>
    </row>
    <row r="577" customFormat="false" ht="12.75" hidden="false" customHeight="false" outlineLevel="1" collapsed="false">
      <c r="A577" s="897"/>
      <c r="E577" s="897"/>
    </row>
    <row r="578" customFormat="false" ht="12.75" hidden="false" customHeight="false" outlineLevel="1" collapsed="false">
      <c r="A578" s="897"/>
      <c r="E578" s="897"/>
    </row>
    <row r="579" customFormat="false" ht="12.75" hidden="false" customHeight="false" outlineLevel="1" collapsed="false">
      <c r="A579" s="897"/>
      <c r="E579" s="897"/>
    </row>
    <row r="580" customFormat="false" ht="12.75" hidden="false" customHeight="false" outlineLevel="1" collapsed="false">
      <c r="A580" s="897"/>
      <c r="E580" s="897"/>
    </row>
    <row r="581" customFormat="false" ht="12.75" hidden="false" customHeight="false" outlineLevel="1" collapsed="false">
      <c r="A581" s="897"/>
      <c r="E581" s="897"/>
    </row>
    <row r="582" customFormat="false" ht="12.75" hidden="false" customHeight="false" outlineLevel="1" collapsed="false">
      <c r="A582" s="897"/>
      <c r="E582" s="897"/>
    </row>
    <row r="583" customFormat="false" ht="12.75" hidden="false" customHeight="false" outlineLevel="1" collapsed="false">
      <c r="A583" s="897"/>
      <c r="E583" s="897"/>
    </row>
    <row r="584" customFormat="false" ht="12.75" hidden="false" customHeight="false" outlineLevel="1" collapsed="false">
      <c r="A584" s="897"/>
      <c r="E584" s="897"/>
    </row>
    <row r="585" customFormat="false" ht="12.75" hidden="false" customHeight="false" outlineLevel="1" collapsed="false">
      <c r="A585" s="897"/>
      <c r="E585" s="897"/>
    </row>
    <row r="586" customFormat="false" ht="12.75" hidden="false" customHeight="false" outlineLevel="1" collapsed="false">
      <c r="A586" s="897"/>
      <c r="E586" s="897"/>
    </row>
    <row r="587" customFormat="false" ht="12.75" hidden="false" customHeight="false" outlineLevel="1" collapsed="false">
      <c r="A587" s="897"/>
      <c r="E587" s="897"/>
    </row>
    <row r="588" customFormat="false" ht="12.75" hidden="false" customHeight="false" outlineLevel="1" collapsed="false">
      <c r="A588" s="897"/>
      <c r="E588" s="897"/>
    </row>
    <row r="589" customFormat="false" ht="12.75" hidden="false" customHeight="false" outlineLevel="1" collapsed="false">
      <c r="A589" s="897"/>
      <c r="E589" s="897"/>
    </row>
    <row r="590" customFormat="false" ht="12.75" hidden="false" customHeight="false" outlineLevel="1" collapsed="false">
      <c r="A590" s="897"/>
      <c r="E590" s="897"/>
    </row>
    <row r="591" customFormat="false" ht="12.75" hidden="false" customHeight="false" outlineLevel="1" collapsed="false">
      <c r="A591" s="897"/>
      <c r="E591" s="897"/>
    </row>
    <row r="592" customFormat="false" ht="12.75" hidden="false" customHeight="false" outlineLevel="1" collapsed="false">
      <c r="A592" s="897"/>
      <c r="E592" s="897"/>
    </row>
    <row r="593" customFormat="false" ht="12.75" hidden="false" customHeight="false" outlineLevel="1" collapsed="false">
      <c r="A593" s="897"/>
      <c r="E593" s="897"/>
    </row>
    <row r="594" customFormat="false" ht="12.75" hidden="false" customHeight="false" outlineLevel="1" collapsed="false">
      <c r="A594" s="897"/>
      <c r="E594" s="897"/>
    </row>
    <row r="595" customFormat="false" ht="12.75" hidden="false" customHeight="false" outlineLevel="1" collapsed="false">
      <c r="A595" s="897"/>
      <c r="E595" s="897"/>
    </row>
    <row r="596" customFormat="false" ht="12.75" hidden="false" customHeight="false" outlineLevel="1" collapsed="false">
      <c r="A596" s="897"/>
      <c r="E596" s="897"/>
    </row>
    <row r="597" customFormat="false" ht="12.75" hidden="false" customHeight="false" outlineLevel="1" collapsed="false">
      <c r="A597" s="897"/>
      <c r="E597" s="897"/>
    </row>
    <row r="598" customFormat="false" ht="12.75" hidden="false" customHeight="false" outlineLevel="1" collapsed="false">
      <c r="A598" s="897"/>
      <c r="E598" s="897"/>
    </row>
    <row r="599" customFormat="false" ht="12.75" hidden="false" customHeight="false" outlineLevel="1" collapsed="false">
      <c r="A599" s="897"/>
      <c r="E599" s="897"/>
    </row>
    <row r="600" customFormat="false" ht="12.75" hidden="false" customHeight="false" outlineLevel="1" collapsed="false">
      <c r="A600" s="897"/>
      <c r="E600" s="897"/>
    </row>
    <row r="601" customFormat="false" ht="12.75" hidden="false" customHeight="false" outlineLevel="1" collapsed="false">
      <c r="A601" s="897"/>
      <c r="E601" s="897"/>
    </row>
    <row r="602" customFormat="false" ht="12.75" hidden="false" customHeight="false" outlineLevel="1" collapsed="false">
      <c r="A602" s="897"/>
      <c r="E602" s="897"/>
    </row>
    <row r="603" customFormat="false" ht="12.75" hidden="false" customHeight="false" outlineLevel="1" collapsed="false">
      <c r="A603" s="897"/>
      <c r="E603" s="897"/>
    </row>
    <row r="604" customFormat="false" ht="12.75" hidden="false" customHeight="false" outlineLevel="1" collapsed="false">
      <c r="A604" s="897"/>
      <c r="E604" s="897"/>
    </row>
    <row r="605" customFormat="false" ht="12.75" hidden="false" customHeight="false" outlineLevel="1" collapsed="false">
      <c r="A605" s="897"/>
      <c r="E605" s="897"/>
    </row>
    <row r="606" customFormat="false" ht="12.75" hidden="false" customHeight="false" outlineLevel="1" collapsed="false">
      <c r="A606" s="897"/>
      <c r="E606" s="897"/>
    </row>
    <row r="607" customFormat="false" ht="12.75" hidden="false" customHeight="false" outlineLevel="1" collapsed="false">
      <c r="A607" s="897"/>
      <c r="E607" s="897"/>
    </row>
    <row r="608" customFormat="false" ht="12.75" hidden="false" customHeight="false" outlineLevel="1" collapsed="false">
      <c r="A608" s="897"/>
      <c r="E608" s="897"/>
    </row>
    <row r="609" customFormat="false" ht="12.75" hidden="false" customHeight="false" outlineLevel="1" collapsed="false">
      <c r="A609" s="897"/>
      <c r="E609" s="897"/>
    </row>
    <row r="610" customFormat="false" ht="12.75" hidden="false" customHeight="false" outlineLevel="1" collapsed="false">
      <c r="A610" s="897"/>
      <c r="E610" s="897"/>
    </row>
    <row r="611" customFormat="false" ht="12.75" hidden="false" customHeight="false" outlineLevel="1" collapsed="false">
      <c r="A611" s="897"/>
      <c r="E611" s="897"/>
    </row>
    <row r="612" customFormat="false" ht="12.75" hidden="false" customHeight="false" outlineLevel="1" collapsed="false">
      <c r="A612" s="897"/>
      <c r="E612" s="897"/>
    </row>
    <row r="613" customFormat="false" ht="12.75" hidden="false" customHeight="false" outlineLevel="1" collapsed="false">
      <c r="A613" s="897"/>
      <c r="E613" s="897"/>
    </row>
    <row r="614" customFormat="false" ht="12.75" hidden="false" customHeight="false" outlineLevel="1" collapsed="false">
      <c r="A614" s="897"/>
      <c r="E614" s="897"/>
    </row>
    <row r="615" customFormat="false" ht="12.75" hidden="false" customHeight="false" outlineLevel="1" collapsed="false">
      <c r="A615" s="897"/>
      <c r="E615" s="897"/>
    </row>
    <row r="616" customFormat="false" ht="12.75" hidden="false" customHeight="false" outlineLevel="1" collapsed="false">
      <c r="A616" s="897"/>
      <c r="E616" s="897"/>
    </row>
    <row r="617" customFormat="false" ht="12.75" hidden="false" customHeight="false" outlineLevel="1" collapsed="false">
      <c r="A617" s="897"/>
      <c r="E617" s="897"/>
    </row>
    <row r="618" customFormat="false" ht="12.75" hidden="false" customHeight="false" outlineLevel="1" collapsed="false">
      <c r="A618" s="897"/>
      <c r="E618" s="897"/>
    </row>
    <row r="619" customFormat="false" ht="12.75" hidden="false" customHeight="false" outlineLevel="1" collapsed="false">
      <c r="A619" s="897"/>
      <c r="E619" s="897"/>
    </row>
    <row r="620" customFormat="false" ht="12.75" hidden="false" customHeight="false" outlineLevel="1" collapsed="false">
      <c r="A620" s="897"/>
      <c r="E620" s="897"/>
    </row>
    <row r="621" customFormat="false" ht="12.75" hidden="false" customHeight="false" outlineLevel="1" collapsed="false">
      <c r="A621" s="897"/>
      <c r="E621" s="897"/>
    </row>
    <row r="622" customFormat="false" ht="12.75" hidden="false" customHeight="false" outlineLevel="1" collapsed="false">
      <c r="A622" s="897"/>
      <c r="E622" s="897"/>
    </row>
    <row r="623" customFormat="false" ht="12.75" hidden="false" customHeight="false" outlineLevel="1" collapsed="false">
      <c r="A623" s="897"/>
      <c r="E623" s="897"/>
    </row>
    <row r="624" customFormat="false" ht="12.75" hidden="false" customHeight="false" outlineLevel="1" collapsed="false">
      <c r="A624" s="897"/>
      <c r="E624" s="897"/>
    </row>
    <row r="625" customFormat="false" ht="12.75" hidden="false" customHeight="false" outlineLevel="1" collapsed="false">
      <c r="A625" s="897"/>
      <c r="E625" s="897"/>
    </row>
    <row r="626" customFormat="false" ht="12.75" hidden="false" customHeight="false" outlineLevel="1" collapsed="false">
      <c r="A626" s="897"/>
      <c r="E626" s="897"/>
    </row>
    <row r="627" customFormat="false" ht="12.75" hidden="false" customHeight="false" outlineLevel="1" collapsed="false">
      <c r="A627" s="897"/>
      <c r="E627" s="897"/>
    </row>
    <row r="628" customFormat="false" ht="12.75" hidden="false" customHeight="false" outlineLevel="1" collapsed="false">
      <c r="A628" s="897"/>
      <c r="E628" s="897"/>
    </row>
    <row r="629" customFormat="false" ht="12.75" hidden="false" customHeight="false" outlineLevel="1" collapsed="false">
      <c r="A629" s="897"/>
      <c r="E629" s="897"/>
    </row>
    <row r="630" customFormat="false" ht="12.75" hidden="false" customHeight="false" outlineLevel="1" collapsed="false">
      <c r="A630" s="897"/>
      <c r="E630" s="897"/>
    </row>
    <row r="631" customFormat="false" ht="12.75" hidden="false" customHeight="false" outlineLevel="1" collapsed="false">
      <c r="A631" s="897"/>
      <c r="E631" s="897"/>
    </row>
    <row r="632" customFormat="false" ht="12.75" hidden="false" customHeight="false" outlineLevel="1" collapsed="false">
      <c r="A632" s="897"/>
      <c r="E632" s="897"/>
    </row>
    <row r="633" customFormat="false" ht="12.75" hidden="false" customHeight="false" outlineLevel="1" collapsed="false">
      <c r="A633" s="897"/>
      <c r="E633" s="897"/>
    </row>
    <row r="634" customFormat="false" ht="12.75" hidden="false" customHeight="false" outlineLevel="1" collapsed="false">
      <c r="A634" s="897"/>
      <c r="E634" s="897"/>
    </row>
    <row r="635" customFormat="false" ht="12.75" hidden="false" customHeight="false" outlineLevel="1" collapsed="false">
      <c r="A635" s="897"/>
      <c r="E635" s="897"/>
    </row>
    <row r="636" customFormat="false" ht="12.75" hidden="false" customHeight="false" outlineLevel="1" collapsed="false">
      <c r="A636" s="897"/>
      <c r="E636" s="897"/>
    </row>
    <row r="637" customFormat="false" ht="12.75" hidden="false" customHeight="false" outlineLevel="1" collapsed="false">
      <c r="A637" s="897"/>
      <c r="E637" s="897"/>
    </row>
    <row r="638" customFormat="false" ht="12.75" hidden="false" customHeight="false" outlineLevel="1" collapsed="false">
      <c r="A638" s="897"/>
      <c r="E638" s="897"/>
    </row>
    <row r="639" customFormat="false" ht="12.75" hidden="false" customHeight="false" outlineLevel="1" collapsed="false">
      <c r="A639" s="897"/>
      <c r="E639" s="897"/>
    </row>
    <row r="640" customFormat="false" ht="12.75" hidden="false" customHeight="false" outlineLevel="1" collapsed="false">
      <c r="A640" s="897"/>
      <c r="E640" s="897"/>
    </row>
    <row r="641" customFormat="false" ht="12.75" hidden="false" customHeight="false" outlineLevel="1" collapsed="false">
      <c r="A641" s="897"/>
      <c r="E641" s="897"/>
    </row>
    <row r="642" customFormat="false" ht="12.75" hidden="false" customHeight="false" outlineLevel="1" collapsed="false">
      <c r="A642" s="897"/>
      <c r="E642" s="897"/>
    </row>
    <row r="643" customFormat="false" ht="12.75" hidden="false" customHeight="false" outlineLevel="1" collapsed="false">
      <c r="A643" s="897"/>
      <c r="E643" s="897"/>
    </row>
    <row r="644" customFormat="false" ht="12.75" hidden="false" customHeight="false" outlineLevel="1" collapsed="false">
      <c r="A644" s="897"/>
      <c r="E644" s="897"/>
    </row>
    <row r="645" customFormat="false" ht="12.75" hidden="false" customHeight="false" outlineLevel="1" collapsed="false">
      <c r="A645" s="897"/>
      <c r="E645" s="897"/>
    </row>
    <row r="646" customFormat="false" ht="12.75" hidden="false" customHeight="false" outlineLevel="1" collapsed="false">
      <c r="A646" s="897"/>
      <c r="E646" s="897"/>
    </row>
    <row r="647" customFormat="false" ht="12.75" hidden="false" customHeight="false" outlineLevel="1" collapsed="false">
      <c r="A647" s="897"/>
      <c r="E647" s="897"/>
    </row>
    <row r="648" customFormat="false" ht="12.75" hidden="false" customHeight="false" outlineLevel="1" collapsed="false">
      <c r="A648" s="897"/>
      <c r="E648" s="897"/>
    </row>
    <row r="649" customFormat="false" ht="12.75" hidden="false" customHeight="false" outlineLevel="1" collapsed="false">
      <c r="A649" s="897"/>
      <c r="E649" s="897"/>
    </row>
    <row r="650" customFormat="false" ht="12.75" hidden="false" customHeight="false" outlineLevel="1" collapsed="false">
      <c r="A650" s="897"/>
      <c r="E650" s="897"/>
    </row>
    <row r="651" customFormat="false" ht="12.75" hidden="false" customHeight="false" outlineLevel="1" collapsed="false">
      <c r="A651" s="897"/>
      <c r="E651" s="897"/>
    </row>
    <row r="652" customFormat="false" ht="12.75" hidden="false" customHeight="false" outlineLevel="1" collapsed="false">
      <c r="A652" s="897"/>
      <c r="E652" s="897"/>
    </row>
    <row r="653" customFormat="false" ht="12.75" hidden="false" customHeight="false" outlineLevel="1" collapsed="false">
      <c r="A653" s="897"/>
      <c r="E653" s="897"/>
    </row>
    <row r="654" customFormat="false" ht="12.75" hidden="false" customHeight="false" outlineLevel="1" collapsed="false">
      <c r="A654" s="897"/>
      <c r="E654" s="897"/>
    </row>
    <row r="655" customFormat="false" ht="12.75" hidden="false" customHeight="false" outlineLevel="1" collapsed="false">
      <c r="A655" s="897"/>
      <c r="E655" s="897"/>
    </row>
    <row r="656" customFormat="false" ht="12.75" hidden="false" customHeight="false" outlineLevel="1" collapsed="false">
      <c r="A656" s="897"/>
      <c r="E656" s="897"/>
    </row>
    <row r="657" customFormat="false" ht="12.75" hidden="false" customHeight="false" outlineLevel="1" collapsed="false">
      <c r="A657" s="897"/>
      <c r="E657" s="897"/>
    </row>
    <row r="658" customFormat="false" ht="12.75" hidden="false" customHeight="false" outlineLevel="1" collapsed="false">
      <c r="A658" s="897"/>
      <c r="E658" s="897"/>
    </row>
    <row r="659" customFormat="false" ht="12.75" hidden="false" customHeight="false" outlineLevel="1" collapsed="false">
      <c r="A659" s="897"/>
      <c r="E659" s="897"/>
    </row>
    <row r="660" customFormat="false" ht="12.75" hidden="false" customHeight="false" outlineLevel="1" collapsed="false">
      <c r="A660" s="897"/>
      <c r="E660" s="897"/>
    </row>
    <row r="661" customFormat="false" ht="12.75" hidden="false" customHeight="false" outlineLevel="1" collapsed="false">
      <c r="A661" s="897"/>
      <c r="E661" s="897"/>
    </row>
    <row r="662" customFormat="false" ht="12.75" hidden="false" customHeight="false" outlineLevel="1" collapsed="false">
      <c r="A662" s="897"/>
      <c r="E662" s="897"/>
    </row>
    <row r="663" customFormat="false" ht="12.75" hidden="false" customHeight="false" outlineLevel="1" collapsed="false">
      <c r="A663" s="897"/>
      <c r="E663" s="897"/>
    </row>
    <row r="664" customFormat="false" ht="12.75" hidden="false" customHeight="false" outlineLevel="1" collapsed="false">
      <c r="A664" s="897"/>
      <c r="E664" s="897"/>
    </row>
    <row r="665" customFormat="false" ht="12.75" hidden="false" customHeight="false" outlineLevel="1" collapsed="false">
      <c r="A665" s="897"/>
      <c r="E665" s="897"/>
    </row>
    <row r="666" customFormat="false" ht="12.75" hidden="false" customHeight="false" outlineLevel="1" collapsed="false">
      <c r="A666" s="897"/>
      <c r="E666" s="897"/>
    </row>
    <row r="667" customFormat="false" ht="12.75" hidden="false" customHeight="false" outlineLevel="1" collapsed="false">
      <c r="A667" s="897"/>
      <c r="E667" s="897"/>
    </row>
    <row r="668" customFormat="false" ht="12.75" hidden="false" customHeight="false" outlineLevel="1" collapsed="false">
      <c r="A668" s="897"/>
      <c r="E668" s="897"/>
    </row>
    <row r="669" customFormat="false" ht="12.75" hidden="false" customHeight="false" outlineLevel="1" collapsed="false">
      <c r="A669" s="897"/>
      <c r="E669" s="897"/>
    </row>
    <row r="670" customFormat="false" ht="12.75" hidden="false" customHeight="false" outlineLevel="1" collapsed="false">
      <c r="A670" s="897"/>
      <c r="E670" s="897"/>
    </row>
    <row r="671" customFormat="false" ht="12.75" hidden="false" customHeight="false" outlineLevel="1" collapsed="false">
      <c r="A671" s="897"/>
      <c r="E671" s="897"/>
    </row>
    <row r="672" customFormat="false" ht="12.75" hidden="false" customHeight="false" outlineLevel="1" collapsed="false">
      <c r="A672" s="897"/>
      <c r="E672" s="897"/>
    </row>
    <row r="673" customFormat="false" ht="12.75" hidden="false" customHeight="false" outlineLevel="1" collapsed="false">
      <c r="A673" s="897"/>
      <c r="E673" s="897"/>
    </row>
    <row r="674" customFormat="false" ht="12.75" hidden="false" customHeight="false" outlineLevel="1" collapsed="false">
      <c r="A674" s="897"/>
      <c r="E674" s="897"/>
    </row>
    <row r="675" customFormat="false" ht="12.75" hidden="false" customHeight="false" outlineLevel="1" collapsed="false">
      <c r="A675" s="897"/>
      <c r="E675" s="897"/>
    </row>
    <row r="676" customFormat="false" ht="12.75" hidden="false" customHeight="false" outlineLevel="1" collapsed="false">
      <c r="A676" s="897"/>
      <c r="E676" s="897"/>
    </row>
    <row r="677" customFormat="false" ht="12.75" hidden="false" customHeight="false" outlineLevel="1" collapsed="false">
      <c r="A677" s="897"/>
      <c r="E677" s="897"/>
    </row>
    <row r="678" customFormat="false" ht="12.75" hidden="false" customHeight="false" outlineLevel="1" collapsed="false">
      <c r="A678" s="897"/>
      <c r="E678" s="897"/>
    </row>
    <row r="679" customFormat="false" ht="12.75" hidden="false" customHeight="false" outlineLevel="1" collapsed="false">
      <c r="A679" s="897"/>
      <c r="E679" s="897"/>
    </row>
    <row r="680" customFormat="false" ht="12.75" hidden="false" customHeight="false" outlineLevel="1" collapsed="false">
      <c r="A680" s="897"/>
      <c r="E680" s="897"/>
    </row>
    <row r="681" customFormat="false" ht="12.75" hidden="false" customHeight="false" outlineLevel="1" collapsed="false">
      <c r="A681" s="897"/>
      <c r="E681" s="897"/>
    </row>
    <row r="682" customFormat="false" ht="12.75" hidden="false" customHeight="false" outlineLevel="1" collapsed="false">
      <c r="A682" s="897"/>
      <c r="E682" s="897"/>
    </row>
    <row r="683" customFormat="false" ht="12.75" hidden="false" customHeight="false" outlineLevel="1" collapsed="false">
      <c r="A683" s="897"/>
      <c r="E683" s="897"/>
    </row>
    <row r="684" customFormat="false" ht="12.75" hidden="false" customHeight="false" outlineLevel="1" collapsed="false">
      <c r="A684" s="897"/>
      <c r="E684" s="897"/>
    </row>
    <row r="685" customFormat="false" ht="12.75" hidden="false" customHeight="false" outlineLevel="1" collapsed="false">
      <c r="A685" s="897"/>
      <c r="E685" s="897"/>
    </row>
    <row r="686" customFormat="false" ht="12.75" hidden="false" customHeight="false" outlineLevel="1" collapsed="false">
      <c r="A686" s="897"/>
      <c r="E686" s="897"/>
    </row>
    <row r="687" customFormat="false" ht="12.75" hidden="false" customHeight="false" outlineLevel="1" collapsed="false">
      <c r="A687" s="897"/>
      <c r="E687" s="897"/>
    </row>
    <row r="688" customFormat="false" ht="12.75" hidden="false" customHeight="false" outlineLevel="1" collapsed="false">
      <c r="A688" s="897"/>
      <c r="E688" s="897"/>
    </row>
    <row r="689" customFormat="false" ht="12.75" hidden="false" customHeight="false" outlineLevel="1" collapsed="false">
      <c r="A689" s="897"/>
      <c r="E689" s="897"/>
    </row>
    <row r="690" customFormat="false" ht="12.75" hidden="false" customHeight="false" outlineLevel="1" collapsed="false">
      <c r="A690" s="897"/>
      <c r="E690" s="897"/>
    </row>
    <row r="691" customFormat="false" ht="12.75" hidden="false" customHeight="false" outlineLevel="1" collapsed="false">
      <c r="A691" s="897"/>
      <c r="E691" s="897"/>
    </row>
    <row r="692" customFormat="false" ht="12.75" hidden="false" customHeight="false" outlineLevel="1" collapsed="false">
      <c r="A692" s="897"/>
      <c r="E692" s="897"/>
    </row>
    <row r="693" customFormat="false" ht="12.75" hidden="false" customHeight="false" outlineLevel="1" collapsed="false">
      <c r="A693" s="897"/>
      <c r="E693" s="897"/>
    </row>
    <row r="694" customFormat="false" ht="12.75" hidden="false" customHeight="false" outlineLevel="1" collapsed="false">
      <c r="A694" s="897"/>
      <c r="E694" s="897"/>
    </row>
    <row r="695" customFormat="false" ht="12.75" hidden="false" customHeight="false" outlineLevel="1" collapsed="false">
      <c r="A695" s="897"/>
      <c r="E695" s="897"/>
    </row>
    <row r="696" customFormat="false" ht="12.75" hidden="false" customHeight="false" outlineLevel="1" collapsed="false">
      <c r="A696" s="897"/>
      <c r="E696" s="897"/>
    </row>
    <row r="697" customFormat="false" ht="12.75" hidden="false" customHeight="false" outlineLevel="1" collapsed="false">
      <c r="A697" s="897"/>
      <c r="E697" s="897"/>
    </row>
    <row r="698" customFormat="false" ht="12.75" hidden="false" customHeight="false" outlineLevel="1" collapsed="false">
      <c r="A698" s="897"/>
      <c r="E698" s="897"/>
    </row>
    <row r="699" customFormat="false" ht="12.75" hidden="false" customHeight="false" outlineLevel="1" collapsed="false">
      <c r="A699" s="897"/>
      <c r="E699" s="897"/>
    </row>
    <row r="700" customFormat="false" ht="12.75" hidden="false" customHeight="false" outlineLevel="1" collapsed="false">
      <c r="A700" s="897"/>
      <c r="E700" s="897"/>
    </row>
    <row r="701" customFormat="false" ht="12.75" hidden="false" customHeight="false" outlineLevel="1" collapsed="false">
      <c r="A701" s="897"/>
      <c r="E701" s="897"/>
    </row>
    <row r="702" customFormat="false" ht="12.75" hidden="false" customHeight="false" outlineLevel="1" collapsed="false">
      <c r="A702" s="897"/>
      <c r="E702" s="897"/>
    </row>
    <row r="703" customFormat="false" ht="12.75" hidden="false" customHeight="false" outlineLevel="1" collapsed="false">
      <c r="A703" s="897"/>
      <c r="E703" s="897"/>
    </row>
    <row r="704" customFormat="false" ht="12.75" hidden="false" customHeight="false" outlineLevel="1" collapsed="false">
      <c r="A704" s="897"/>
      <c r="E704" s="897"/>
    </row>
    <row r="705" customFormat="false" ht="12.75" hidden="false" customHeight="false" outlineLevel="1" collapsed="false">
      <c r="A705" s="897"/>
      <c r="E705" s="897"/>
    </row>
    <row r="706" customFormat="false" ht="12.75" hidden="false" customHeight="false" outlineLevel="1" collapsed="false">
      <c r="A706" s="897"/>
      <c r="E706" s="897"/>
    </row>
    <row r="707" customFormat="false" ht="12.75" hidden="false" customHeight="false" outlineLevel="1" collapsed="false">
      <c r="A707" s="897"/>
      <c r="E707" s="897"/>
    </row>
    <row r="708" customFormat="false" ht="12.75" hidden="false" customHeight="false" outlineLevel="1" collapsed="false">
      <c r="A708" s="897"/>
      <c r="E708" s="897"/>
    </row>
    <row r="709" customFormat="false" ht="12.75" hidden="false" customHeight="false" outlineLevel="1" collapsed="false">
      <c r="A709" s="897"/>
      <c r="E709" s="897"/>
    </row>
    <row r="710" customFormat="false" ht="12.75" hidden="false" customHeight="false" outlineLevel="1" collapsed="false">
      <c r="A710" s="897"/>
      <c r="E710" s="897"/>
    </row>
    <row r="711" customFormat="false" ht="12.75" hidden="false" customHeight="false" outlineLevel="1" collapsed="false">
      <c r="A711" s="897"/>
      <c r="E711" s="897"/>
    </row>
    <row r="712" customFormat="false" ht="12.75" hidden="false" customHeight="false" outlineLevel="1" collapsed="false">
      <c r="A712" s="897"/>
      <c r="E712" s="897"/>
    </row>
    <row r="713" customFormat="false" ht="12.75" hidden="false" customHeight="false" outlineLevel="1" collapsed="false">
      <c r="A713" s="897"/>
      <c r="E713" s="897"/>
    </row>
    <row r="714" customFormat="false" ht="12.75" hidden="false" customHeight="false" outlineLevel="1" collapsed="false">
      <c r="A714" s="897"/>
      <c r="E714" s="897"/>
    </row>
    <row r="715" customFormat="false" ht="12.75" hidden="false" customHeight="false" outlineLevel="1" collapsed="false">
      <c r="A715" s="897"/>
      <c r="E715" s="897"/>
    </row>
    <row r="716" customFormat="false" ht="12.75" hidden="false" customHeight="false" outlineLevel="1" collapsed="false">
      <c r="A716" s="897"/>
      <c r="E716" s="897"/>
    </row>
    <row r="717" customFormat="false" ht="12.75" hidden="false" customHeight="false" outlineLevel="1" collapsed="false">
      <c r="A717" s="897"/>
      <c r="E717" s="897"/>
    </row>
    <row r="718" customFormat="false" ht="12.75" hidden="false" customHeight="false" outlineLevel="1" collapsed="false">
      <c r="A718" s="897"/>
      <c r="E718" s="897"/>
    </row>
    <row r="719" customFormat="false" ht="12.75" hidden="false" customHeight="false" outlineLevel="1" collapsed="false">
      <c r="A719" s="897"/>
      <c r="E719" s="897"/>
    </row>
    <row r="720" customFormat="false" ht="12.75" hidden="false" customHeight="false" outlineLevel="1" collapsed="false">
      <c r="A720" s="897"/>
      <c r="E720" s="897"/>
    </row>
    <row r="721" customFormat="false" ht="12.75" hidden="false" customHeight="false" outlineLevel="1" collapsed="false">
      <c r="A721" s="897"/>
      <c r="E721" s="897"/>
    </row>
    <row r="722" customFormat="false" ht="12.75" hidden="false" customHeight="false" outlineLevel="1" collapsed="false">
      <c r="A722" s="897"/>
      <c r="E722" s="897"/>
    </row>
    <row r="723" customFormat="false" ht="12.75" hidden="false" customHeight="false" outlineLevel="1" collapsed="false">
      <c r="A723" s="897"/>
      <c r="E723" s="897"/>
    </row>
    <row r="724" customFormat="false" ht="12.75" hidden="false" customHeight="false" outlineLevel="1" collapsed="false">
      <c r="A724" s="897"/>
      <c r="E724" s="897"/>
    </row>
    <row r="725" customFormat="false" ht="12.75" hidden="false" customHeight="false" outlineLevel="1" collapsed="false">
      <c r="A725" s="897"/>
      <c r="E725" s="897"/>
    </row>
    <row r="726" customFormat="false" ht="12.75" hidden="false" customHeight="false" outlineLevel="1" collapsed="false">
      <c r="A726" s="897"/>
      <c r="E726" s="897"/>
    </row>
    <row r="727" customFormat="false" ht="12.75" hidden="false" customHeight="false" outlineLevel="1" collapsed="false">
      <c r="A727" s="897"/>
      <c r="E727" s="897"/>
    </row>
    <row r="728" customFormat="false" ht="12.75" hidden="false" customHeight="false" outlineLevel="1" collapsed="false">
      <c r="A728" s="897"/>
      <c r="E728" s="897"/>
    </row>
    <row r="729" customFormat="false" ht="12.75" hidden="false" customHeight="false" outlineLevel="1" collapsed="false">
      <c r="A729" s="897"/>
      <c r="E729" s="897"/>
    </row>
    <row r="730" customFormat="false" ht="12.75" hidden="false" customHeight="false" outlineLevel="1" collapsed="false">
      <c r="A730" s="897"/>
      <c r="E730" s="897"/>
    </row>
    <row r="731" customFormat="false" ht="12.75" hidden="false" customHeight="false" outlineLevel="1" collapsed="false">
      <c r="A731" s="897"/>
      <c r="E731" s="897"/>
    </row>
    <row r="732" customFormat="false" ht="12.75" hidden="false" customHeight="false" outlineLevel="1" collapsed="false">
      <c r="A732" s="897"/>
      <c r="E732" s="897"/>
    </row>
    <row r="733" customFormat="false" ht="12.75" hidden="false" customHeight="false" outlineLevel="1" collapsed="false">
      <c r="A733" s="897"/>
      <c r="E733" s="897"/>
    </row>
    <row r="734" customFormat="false" ht="12.75" hidden="false" customHeight="false" outlineLevel="1" collapsed="false">
      <c r="A734" s="897"/>
      <c r="E734" s="897"/>
    </row>
    <row r="735" customFormat="false" ht="12.75" hidden="false" customHeight="false" outlineLevel="1" collapsed="false">
      <c r="A735" s="897"/>
      <c r="E735" s="897"/>
    </row>
    <row r="736" customFormat="false" ht="12.75" hidden="false" customHeight="false" outlineLevel="1" collapsed="false">
      <c r="A736" s="897"/>
      <c r="E736" s="897"/>
    </row>
    <row r="737" customFormat="false" ht="12.75" hidden="false" customHeight="false" outlineLevel="1" collapsed="false">
      <c r="A737" s="897"/>
      <c r="E737" s="897"/>
    </row>
    <row r="738" customFormat="false" ht="12.75" hidden="false" customHeight="false" outlineLevel="1" collapsed="false">
      <c r="A738" s="897"/>
      <c r="E738" s="897"/>
    </row>
    <row r="739" customFormat="false" ht="12.75" hidden="false" customHeight="false" outlineLevel="1" collapsed="false">
      <c r="A739" s="897"/>
      <c r="E739" s="897"/>
    </row>
    <row r="740" customFormat="false" ht="12.75" hidden="false" customHeight="false" outlineLevel="1" collapsed="false">
      <c r="A740" s="897"/>
      <c r="E740" s="897"/>
    </row>
    <row r="741" customFormat="false" ht="12.75" hidden="false" customHeight="false" outlineLevel="1" collapsed="false">
      <c r="A741" s="897"/>
      <c r="E741" s="897"/>
    </row>
    <row r="742" customFormat="false" ht="12.75" hidden="false" customHeight="false" outlineLevel="1" collapsed="false">
      <c r="A742" s="897"/>
      <c r="E742" s="897"/>
    </row>
    <row r="743" customFormat="false" ht="12.75" hidden="false" customHeight="false" outlineLevel="1" collapsed="false">
      <c r="A743" s="897"/>
      <c r="E743" s="897"/>
    </row>
    <row r="744" customFormat="false" ht="12.75" hidden="false" customHeight="false" outlineLevel="1" collapsed="false">
      <c r="A744" s="897"/>
      <c r="E744" s="897"/>
    </row>
    <row r="745" customFormat="false" ht="12.75" hidden="false" customHeight="false" outlineLevel="1" collapsed="false">
      <c r="A745" s="897"/>
      <c r="E745" s="897"/>
    </row>
    <row r="746" customFormat="false" ht="12.75" hidden="false" customHeight="false" outlineLevel="1" collapsed="false">
      <c r="A746" s="897"/>
      <c r="E746" s="897"/>
    </row>
    <row r="747" customFormat="false" ht="12.75" hidden="false" customHeight="false" outlineLevel="1" collapsed="false">
      <c r="A747" s="897"/>
      <c r="E747" s="897"/>
    </row>
    <row r="748" customFormat="false" ht="12.75" hidden="false" customHeight="false" outlineLevel="1" collapsed="false">
      <c r="A748" s="897"/>
      <c r="E748" s="897"/>
    </row>
    <row r="749" customFormat="false" ht="12.75" hidden="false" customHeight="false" outlineLevel="1" collapsed="false">
      <c r="A749" s="897"/>
      <c r="E749" s="897"/>
    </row>
    <row r="750" customFormat="false" ht="12.75" hidden="false" customHeight="false" outlineLevel="1" collapsed="false">
      <c r="A750" s="897"/>
      <c r="E750" s="897"/>
    </row>
    <row r="751" customFormat="false" ht="12.75" hidden="false" customHeight="false" outlineLevel="1" collapsed="false">
      <c r="A751" s="897"/>
      <c r="E751" s="897"/>
    </row>
    <row r="752" customFormat="false" ht="12.75" hidden="false" customHeight="false" outlineLevel="1" collapsed="false">
      <c r="A752" s="897"/>
      <c r="E752" s="897"/>
    </row>
    <row r="753" customFormat="false" ht="12.75" hidden="false" customHeight="false" outlineLevel="1" collapsed="false">
      <c r="A753" s="897"/>
      <c r="E753" s="897"/>
    </row>
    <row r="754" customFormat="false" ht="12.75" hidden="false" customHeight="false" outlineLevel="1" collapsed="false">
      <c r="A754" s="897"/>
      <c r="E754" s="897"/>
    </row>
    <row r="755" customFormat="false" ht="12.75" hidden="false" customHeight="false" outlineLevel="1" collapsed="false">
      <c r="A755" s="897"/>
      <c r="E755" s="897"/>
    </row>
    <row r="756" customFormat="false" ht="12.75" hidden="false" customHeight="false" outlineLevel="1" collapsed="false">
      <c r="A756" s="897"/>
      <c r="E756" s="897"/>
    </row>
    <row r="757" customFormat="false" ht="12.75" hidden="false" customHeight="false" outlineLevel="1" collapsed="false">
      <c r="A757" s="897"/>
      <c r="E757" s="897"/>
    </row>
    <row r="758" customFormat="false" ht="12.75" hidden="false" customHeight="false" outlineLevel="1" collapsed="false">
      <c r="A758" s="897"/>
      <c r="E758" s="897"/>
    </row>
    <row r="759" customFormat="false" ht="12.75" hidden="false" customHeight="false" outlineLevel="1" collapsed="false">
      <c r="A759" s="897"/>
      <c r="E759" s="897"/>
    </row>
    <row r="760" customFormat="false" ht="12.75" hidden="false" customHeight="false" outlineLevel="1" collapsed="false">
      <c r="A760" s="897"/>
      <c r="E760" s="897"/>
    </row>
    <row r="761" customFormat="false" ht="12.75" hidden="false" customHeight="false" outlineLevel="1" collapsed="false">
      <c r="A761" s="897"/>
      <c r="E761" s="897"/>
    </row>
    <row r="762" customFormat="false" ht="12.75" hidden="false" customHeight="false" outlineLevel="1" collapsed="false">
      <c r="A762" s="897"/>
      <c r="E762" s="897"/>
    </row>
    <row r="763" customFormat="false" ht="12.75" hidden="false" customHeight="false" outlineLevel="1" collapsed="false">
      <c r="A763" s="897"/>
      <c r="E763" s="897"/>
    </row>
    <row r="764" customFormat="false" ht="12.75" hidden="false" customHeight="false" outlineLevel="1" collapsed="false">
      <c r="A764" s="897"/>
      <c r="E764" s="897"/>
    </row>
    <row r="765" customFormat="false" ht="12.75" hidden="false" customHeight="false" outlineLevel="1" collapsed="false">
      <c r="A765" s="897"/>
      <c r="E765" s="897"/>
    </row>
    <row r="766" customFormat="false" ht="12.75" hidden="false" customHeight="false" outlineLevel="1" collapsed="false">
      <c r="A766" s="897"/>
      <c r="E766" s="897"/>
    </row>
    <row r="767" customFormat="false" ht="12.75" hidden="false" customHeight="false" outlineLevel="1" collapsed="false">
      <c r="A767" s="897"/>
      <c r="E767" s="897"/>
    </row>
    <row r="768" customFormat="false" ht="12.75" hidden="false" customHeight="false" outlineLevel="1" collapsed="false">
      <c r="A768" s="897"/>
      <c r="E768" s="897"/>
    </row>
    <row r="769" customFormat="false" ht="12.75" hidden="false" customHeight="false" outlineLevel="1" collapsed="false">
      <c r="A769" s="897"/>
      <c r="E769" s="897"/>
    </row>
    <row r="770" customFormat="false" ht="12.75" hidden="false" customHeight="false" outlineLevel="1" collapsed="false">
      <c r="A770" s="897"/>
      <c r="E770" s="897"/>
    </row>
    <row r="771" customFormat="false" ht="12.75" hidden="false" customHeight="false" outlineLevel="1" collapsed="false">
      <c r="A771" s="897"/>
      <c r="E771" s="897"/>
    </row>
    <row r="772" customFormat="false" ht="12.75" hidden="false" customHeight="false" outlineLevel="1" collapsed="false">
      <c r="A772" s="897"/>
      <c r="E772" s="897"/>
    </row>
    <row r="773" customFormat="false" ht="12.75" hidden="false" customHeight="false" outlineLevel="1" collapsed="false">
      <c r="A773" s="897"/>
      <c r="E773" s="897"/>
    </row>
    <row r="774" customFormat="false" ht="12.75" hidden="false" customHeight="false" outlineLevel="1" collapsed="false">
      <c r="A774" s="897"/>
      <c r="E774" s="897"/>
    </row>
    <row r="775" customFormat="false" ht="12.75" hidden="false" customHeight="false" outlineLevel="1" collapsed="false">
      <c r="A775" s="897"/>
      <c r="E775" s="897"/>
    </row>
    <row r="776" customFormat="false" ht="12.75" hidden="false" customHeight="false" outlineLevel="1" collapsed="false">
      <c r="A776" s="897"/>
      <c r="E776" s="897"/>
    </row>
    <row r="777" customFormat="false" ht="12.75" hidden="false" customHeight="false" outlineLevel="1" collapsed="false">
      <c r="A777" s="897"/>
      <c r="E777" s="897"/>
    </row>
    <row r="778" customFormat="false" ht="12.75" hidden="false" customHeight="false" outlineLevel="1" collapsed="false">
      <c r="A778" s="897"/>
      <c r="E778" s="897"/>
    </row>
    <row r="779" customFormat="false" ht="12.75" hidden="false" customHeight="false" outlineLevel="1" collapsed="false">
      <c r="A779" s="897"/>
      <c r="E779" s="897"/>
    </row>
    <row r="780" customFormat="false" ht="12.75" hidden="false" customHeight="false" outlineLevel="1" collapsed="false">
      <c r="A780" s="897"/>
      <c r="E780" s="897"/>
    </row>
    <row r="781" customFormat="false" ht="12.75" hidden="false" customHeight="false" outlineLevel="1" collapsed="false">
      <c r="A781" s="897"/>
      <c r="E781" s="897"/>
    </row>
    <row r="782" customFormat="false" ht="12.75" hidden="false" customHeight="false" outlineLevel="1" collapsed="false">
      <c r="A782" s="897"/>
      <c r="E782" s="897"/>
    </row>
    <row r="783" customFormat="false" ht="12.75" hidden="false" customHeight="false" outlineLevel="1" collapsed="false">
      <c r="A783" s="897"/>
      <c r="E783" s="897"/>
    </row>
    <row r="784" customFormat="false" ht="12.75" hidden="false" customHeight="false" outlineLevel="1" collapsed="false">
      <c r="A784" s="897"/>
      <c r="E784" s="897"/>
    </row>
    <row r="785" customFormat="false" ht="12.75" hidden="false" customHeight="false" outlineLevel="1" collapsed="false">
      <c r="A785" s="897"/>
      <c r="E785" s="897"/>
    </row>
    <row r="786" customFormat="false" ht="12.75" hidden="false" customHeight="false" outlineLevel="1" collapsed="false">
      <c r="A786" s="897"/>
      <c r="E786" s="897"/>
    </row>
    <row r="787" customFormat="false" ht="12.75" hidden="false" customHeight="false" outlineLevel="1" collapsed="false">
      <c r="A787" s="897"/>
      <c r="E787" s="897"/>
    </row>
    <row r="788" customFormat="false" ht="12.75" hidden="false" customHeight="false" outlineLevel="1" collapsed="false">
      <c r="A788" s="897"/>
      <c r="E788" s="897"/>
    </row>
    <row r="789" customFormat="false" ht="12.75" hidden="false" customHeight="false" outlineLevel="1" collapsed="false">
      <c r="A789" s="897"/>
      <c r="E789" s="897"/>
    </row>
    <row r="790" customFormat="false" ht="12.75" hidden="false" customHeight="false" outlineLevel="1" collapsed="false">
      <c r="A790" s="897"/>
      <c r="E790" s="897"/>
    </row>
    <row r="791" customFormat="false" ht="12.75" hidden="false" customHeight="false" outlineLevel="1" collapsed="false">
      <c r="A791" s="897"/>
      <c r="E791" s="897"/>
    </row>
    <row r="792" customFormat="false" ht="12.75" hidden="false" customHeight="false" outlineLevel="1" collapsed="false">
      <c r="A792" s="897"/>
      <c r="E792" s="897"/>
    </row>
    <row r="793" customFormat="false" ht="12.75" hidden="false" customHeight="false" outlineLevel="1" collapsed="false">
      <c r="A793" s="897"/>
      <c r="E793" s="897"/>
    </row>
    <row r="794" customFormat="false" ht="12.75" hidden="false" customHeight="false" outlineLevel="1" collapsed="false">
      <c r="A794" s="897"/>
      <c r="E794" s="897"/>
    </row>
    <row r="795" customFormat="false" ht="12.75" hidden="false" customHeight="false" outlineLevel="1" collapsed="false">
      <c r="A795" s="897"/>
      <c r="E795" s="897"/>
    </row>
    <row r="796" customFormat="false" ht="12.75" hidden="false" customHeight="false" outlineLevel="1" collapsed="false">
      <c r="A796" s="897"/>
      <c r="E796" s="897"/>
    </row>
    <row r="797" customFormat="false" ht="12.75" hidden="false" customHeight="false" outlineLevel="1" collapsed="false">
      <c r="A797" s="897"/>
      <c r="E797" s="897"/>
    </row>
    <row r="798" customFormat="false" ht="12.75" hidden="false" customHeight="false" outlineLevel="1" collapsed="false">
      <c r="A798" s="897"/>
      <c r="E798" s="897"/>
    </row>
    <row r="799" customFormat="false" ht="12.75" hidden="false" customHeight="false" outlineLevel="1" collapsed="false">
      <c r="A799" s="897"/>
      <c r="E799" s="897"/>
    </row>
    <row r="800" customFormat="false" ht="12.75" hidden="false" customHeight="false" outlineLevel="1" collapsed="false">
      <c r="A800" s="897"/>
      <c r="E800" s="897"/>
    </row>
    <row r="801" customFormat="false" ht="12.75" hidden="false" customHeight="false" outlineLevel="1" collapsed="false">
      <c r="A801" s="897"/>
      <c r="E801" s="897"/>
    </row>
    <row r="802" customFormat="false" ht="12.75" hidden="false" customHeight="false" outlineLevel="1" collapsed="false">
      <c r="A802" s="897"/>
      <c r="E802" s="897"/>
    </row>
    <row r="803" customFormat="false" ht="12.75" hidden="false" customHeight="false" outlineLevel="1" collapsed="false">
      <c r="A803" s="897"/>
      <c r="E803" s="897"/>
    </row>
    <row r="804" customFormat="false" ht="12.75" hidden="false" customHeight="false" outlineLevel="1" collapsed="false">
      <c r="A804" s="897"/>
      <c r="E804" s="897"/>
    </row>
    <row r="805" customFormat="false" ht="12.75" hidden="false" customHeight="false" outlineLevel="1" collapsed="false">
      <c r="A805" s="897"/>
      <c r="E805" s="897"/>
    </row>
    <row r="806" customFormat="false" ht="12.75" hidden="false" customHeight="false" outlineLevel="1" collapsed="false">
      <c r="A806" s="897"/>
      <c r="E806" s="897"/>
    </row>
    <row r="807" customFormat="false" ht="12.75" hidden="false" customHeight="false" outlineLevel="1" collapsed="false">
      <c r="A807" s="897"/>
      <c r="E807" s="897"/>
    </row>
    <row r="808" customFormat="false" ht="12.75" hidden="false" customHeight="false" outlineLevel="1" collapsed="false">
      <c r="A808" s="897"/>
      <c r="E808" s="897"/>
    </row>
    <row r="809" customFormat="false" ht="12.75" hidden="false" customHeight="false" outlineLevel="1" collapsed="false">
      <c r="A809" s="897"/>
      <c r="E809" s="897"/>
    </row>
    <row r="810" customFormat="false" ht="12.75" hidden="false" customHeight="false" outlineLevel="1" collapsed="false">
      <c r="A810" s="897"/>
      <c r="E810" s="897"/>
    </row>
    <row r="811" customFormat="false" ht="12.75" hidden="false" customHeight="false" outlineLevel="1" collapsed="false">
      <c r="A811" s="897"/>
      <c r="E811" s="897"/>
    </row>
    <row r="812" customFormat="false" ht="12.75" hidden="false" customHeight="false" outlineLevel="1" collapsed="false">
      <c r="A812" s="897"/>
      <c r="E812" s="897"/>
    </row>
    <row r="813" customFormat="false" ht="12.75" hidden="false" customHeight="false" outlineLevel="1" collapsed="false">
      <c r="A813" s="897"/>
      <c r="E813" s="897"/>
    </row>
    <row r="814" customFormat="false" ht="12.75" hidden="false" customHeight="false" outlineLevel="1" collapsed="false">
      <c r="A814" s="897"/>
      <c r="E814" s="897"/>
    </row>
    <row r="815" customFormat="false" ht="12.75" hidden="false" customHeight="false" outlineLevel="1" collapsed="false">
      <c r="A815" s="897"/>
      <c r="E815" s="897"/>
    </row>
    <row r="816" customFormat="false" ht="12.75" hidden="false" customHeight="false" outlineLevel="1" collapsed="false">
      <c r="A816" s="897"/>
      <c r="E816" s="897"/>
    </row>
    <row r="817" customFormat="false" ht="12.75" hidden="false" customHeight="false" outlineLevel="1" collapsed="false">
      <c r="A817" s="897"/>
      <c r="E817" s="897"/>
    </row>
    <row r="818" customFormat="false" ht="12.75" hidden="false" customHeight="false" outlineLevel="1" collapsed="false">
      <c r="A818" s="897"/>
      <c r="E818" s="897"/>
    </row>
    <row r="819" customFormat="false" ht="12.75" hidden="false" customHeight="false" outlineLevel="1" collapsed="false">
      <c r="A819" s="897"/>
      <c r="E819" s="897"/>
    </row>
    <row r="820" customFormat="false" ht="12.75" hidden="false" customHeight="false" outlineLevel="1" collapsed="false">
      <c r="A820" s="897"/>
      <c r="E820" s="897"/>
    </row>
    <row r="821" customFormat="false" ht="12.75" hidden="false" customHeight="false" outlineLevel="1" collapsed="false">
      <c r="A821" s="897"/>
      <c r="E821" s="897"/>
    </row>
    <row r="822" customFormat="false" ht="12.75" hidden="false" customHeight="false" outlineLevel="1" collapsed="false">
      <c r="A822" s="897"/>
      <c r="E822" s="897"/>
    </row>
    <row r="823" customFormat="false" ht="12.75" hidden="false" customHeight="false" outlineLevel="1" collapsed="false">
      <c r="A823" s="897"/>
      <c r="E823" s="897"/>
    </row>
    <row r="824" customFormat="false" ht="12.75" hidden="false" customHeight="false" outlineLevel="1" collapsed="false">
      <c r="A824" s="897"/>
      <c r="E824" s="897"/>
    </row>
    <row r="825" customFormat="false" ht="12.75" hidden="false" customHeight="false" outlineLevel="1" collapsed="false">
      <c r="A825" s="897"/>
      <c r="E825" s="897"/>
    </row>
    <row r="826" customFormat="false" ht="12.75" hidden="false" customHeight="false" outlineLevel="1" collapsed="false">
      <c r="A826" s="897"/>
      <c r="E826" s="897"/>
    </row>
    <row r="827" customFormat="false" ht="12.75" hidden="false" customHeight="false" outlineLevel="1" collapsed="false">
      <c r="A827" s="897"/>
      <c r="E827" s="897"/>
    </row>
    <row r="828" customFormat="false" ht="12.75" hidden="false" customHeight="false" outlineLevel="1" collapsed="false">
      <c r="A828" s="897"/>
      <c r="E828" s="897"/>
    </row>
    <row r="829" customFormat="false" ht="12.75" hidden="false" customHeight="false" outlineLevel="1" collapsed="false">
      <c r="A829" s="897"/>
      <c r="E829" s="897"/>
    </row>
    <row r="830" customFormat="false" ht="12.75" hidden="false" customHeight="false" outlineLevel="1" collapsed="false">
      <c r="A830" s="897"/>
      <c r="E830" s="897"/>
    </row>
    <row r="831" customFormat="false" ht="12.75" hidden="false" customHeight="false" outlineLevel="1" collapsed="false">
      <c r="A831" s="897"/>
      <c r="E831" s="897"/>
    </row>
    <row r="832" customFormat="false" ht="12.75" hidden="false" customHeight="false" outlineLevel="1" collapsed="false">
      <c r="A832" s="897"/>
      <c r="E832" s="897"/>
    </row>
    <row r="833" customFormat="false" ht="12.75" hidden="false" customHeight="false" outlineLevel="1" collapsed="false">
      <c r="A833" s="897"/>
      <c r="E833" s="897"/>
    </row>
    <row r="834" customFormat="false" ht="12.75" hidden="false" customHeight="false" outlineLevel="1" collapsed="false">
      <c r="A834" s="897"/>
      <c r="E834" s="897"/>
    </row>
    <row r="835" customFormat="false" ht="12.75" hidden="false" customHeight="false" outlineLevel="1" collapsed="false">
      <c r="A835" s="897"/>
      <c r="E835" s="897"/>
    </row>
    <row r="836" customFormat="false" ht="12.75" hidden="false" customHeight="false" outlineLevel="1" collapsed="false">
      <c r="A836" s="897"/>
      <c r="E836" s="897"/>
    </row>
    <row r="837" customFormat="false" ht="12.75" hidden="false" customHeight="false" outlineLevel="1" collapsed="false">
      <c r="A837" s="897"/>
      <c r="E837" s="897"/>
    </row>
    <row r="838" customFormat="false" ht="12.75" hidden="false" customHeight="false" outlineLevel="1" collapsed="false">
      <c r="A838" s="897"/>
      <c r="E838" s="897"/>
    </row>
    <row r="839" customFormat="false" ht="12.75" hidden="false" customHeight="false" outlineLevel="1" collapsed="false">
      <c r="A839" s="897"/>
      <c r="E839" s="897"/>
    </row>
    <row r="840" customFormat="false" ht="12.75" hidden="false" customHeight="false" outlineLevel="1" collapsed="false">
      <c r="A840" s="897"/>
      <c r="E840" s="897"/>
    </row>
    <row r="841" customFormat="false" ht="12.75" hidden="false" customHeight="false" outlineLevel="1" collapsed="false">
      <c r="A841" s="897"/>
      <c r="E841" s="897"/>
    </row>
    <row r="842" customFormat="false" ht="12.75" hidden="false" customHeight="false" outlineLevel="1" collapsed="false">
      <c r="A842" s="897"/>
      <c r="E842" s="897"/>
    </row>
    <row r="843" customFormat="false" ht="12.75" hidden="false" customHeight="false" outlineLevel="1" collapsed="false">
      <c r="A843" s="897"/>
      <c r="E843" s="897"/>
    </row>
    <row r="844" customFormat="false" ht="12.75" hidden="false" customHeight="false" outlineLevel="1" collapsed="false">
      <c r="A844" s="897"/>
      <c r="E844" s="897"/>
    </row>
    <row r="845" customFormat="false" ht="12.75" hidden="false" customHeight="false" outlineLevel="1" collapsed="false">
      <c r="A845" s="897"/>
      <c r="E845" s="897"/>
    </row>
    <row r="846" customFormat="false" ht="12.75" hidden="false" customHeight="false" outlineLevel="1" collapsed="false">
      <c r="A846" s="897"/>
      <c r="E846" s="897"/>
    </row>
    <row r="847" customFormat="false" ht="12.75" hidden="false" customHeight="false" outlineLevel="1" collapsed="false">
      <c r="A847" s="897"/>
      <c r="E847" s="897"/>
    </row>
    <row r="848" customFormat="false" ht="12.75" hidden="false" customHeight="false" outlineLevel="1" collapsed="false">
      <c r="A848" s="897"/>
      <c r="E848" s="897"/>
    </row>
    <row r="849" customFormat="false" ht="12.75" hidden="false" customHeight="false" outlineLevel="1" collapsed="false">
      <c r="A849" s="897"/>
      <c r="E849" s="897"/>
    </row>
    <row r="850" customFormat="false" ht="12.75" hidden="false" customHeight="false" outlineLevel="1" collapsed="false">
      <c r="A850" s="897"/>
      <c r="E850" s="897"/>
    </row>
    <row r="851" customFormat="false" ht="12.75" hidden="false" customHeight="false" outlineLevel="1" collapsed="false">
      <c r="A851" s="897"/>
      <c r="E851" s="897"/>
    </row>
    <row r="852" customFormat="false" ht="12.75" hidden="false" customHeight="false" outlineLevel="1" collapsed="false">
      <c r="A852" s="897"/>
      <c r="E852" s="897"/>
    </row>
    <row r="853" customFormat="false" ht="12.75" hidden="false" customHeight="false" outlineLevel="1" collapsed="false">
      <c r="A853" s="897"/>
      <c r="E853" s="897"/>
    </row>
    <row r="854" customFormat="false" ht="12.75" hidden="false" customHeight="false" outlineLevel="1" collapsed="false">
      <c r="A854" s="897"/>
      <c r="E854" s="897"/>
    </row>
    <row r="855" customFormat="false" ht="12.75" hidden="false" customHeight="false" outlineLevel="1" collapsed="false">
      <c r="A855" s="897"/>
      <c r="E855" s="897"/>
    </row>
    <row r="856" customFormat="false" ht="12.75" hidden="false" customHeight="false" outlineLevel="1" collapsed="false">
      <c r="A856" s="897"/>
      <c r="E856" s="897"/>
    </row>
    <row r="857" customFormat="false" ht="12.75" hidden="false" customHeight="false" outlineLevel="1" collapsed="false">
      <c r="A857" s="897"/>
      <c r="E857" s="897"/>
    </row>
    <row r="858" customFormat="false" ht="12.75" hidden="false" customHeight="false" outlineLevel="1" collapsed="false">
      <c r="A858" s="897"/>
      <c r="E858" s="897"/>
    </row>
    <row r="859" customFormat="false" ht="12.75" hidden="false" customHeight="false" outlineLevel="1" collapsed="false">
      <c r="A859" s="897"/>
      <c r="E859" s="897"/>
    </row>
    <row r="860" customFormat="false" ht="12.75" hidden="false" customHeight="false" outlineLevel="1" collapsed="false">
      <c r="A860" s="897"/>
      <c r="E860" s="897"/>
    </row>
    <row r="861" customFormat="false" ht="12.75" hidden="false" customHeight="false" outlineLevel="1" collapsed="false">
      <c r="A861" s="897"/>
      <c r="E861" s="897"/>
    </row>
    <row r="862" customFormat="false" ht="12.75" hidden="false" customHeight="false" outlineLevel="1" collapsed="false">
      <c r="A862" s="897"/>
      <c r="E862" s="897"/>
    </row>
    <row r="863" customFormat="false" ht="12.75" hidden="false" customHeight="false" outlineLevel="1" collapsed="false">
      <c r="A863" s="897"/>
      <c r="E863" s="897"/>
    </row>
    <row r="864" customFormat="false" ht="12.75" hidden="false" customHeight="false" outlineLevel="1" collapsed="false">
      <c r="A864" s="897"/>
      <c r="E864" s="897"/>
    </row>
    <row r="865" customFormat="false" ht="12.75" hidden="false" customHeight="false" outlineLevel="1" collapsed="false">
      <c r="A865" s="897"/>
      <c r="E865" s="897"/>
    </row>
    <row r="866" customFormat="false" ht="12.75" hidden="false" customHeight="false" outlineLevel="1" collapsed="false">
      <c r="A866" s="897"/>
      <c r="E866" s="897"/>
    </row>
    <row r="867" customFormat="false" ht="12.75" hidden="false" customHeight="false" outlineLevel="1" collapsed="false">
      <c r="A867" s="897"/>
      <c r="E867" s="897"/>
    </row>
    <row r="868" customFormat="false" ht="12.75" hidden="false" customHeight="false" outlineLevel="1" collapsed="false">
      <c r="A868" s="897"/>
      <c r="E868" s="897"/>
    </row>
    <row r="869" customFormat="false" ht="12.75" hidden="false" customHeight="false" outlineLevel="1" collapsed="false">
      <c r="A869" s="897"/>
      <c r="E869" s="897"/>
    </row>
    <row r="870" customFormat="false" ht="12.75" hidden="false" customHeight="false" outlineLevel="1" collapsed="false">
      <c r="A870" s="897"/>
      <c r="E870" s="897"/>
    </row>
    <row r="871" customFormat="false" ht="12.75" hidden="false" customHeight="false" outlineLevel="1" collapsed="false">
      <c r="A871" s="897"/>
      <c r="E871" s="897"/>
    </row>
    <row r="872" customFormat="false" ht="12.75" hidden="false" customHeight="false" outlineLevel="1" collapsed="false">
      <c r="A872" s="897"/>
      <c r="E872" s="897"/>
    </row>
    <row r="873" customFormat="false" ht="12.75" hidden="false" customHeight="false" outlineLevel="1" collapsed="false">
      <c r="A873" s="897"/>
      <c r="E873" s="897"/>
    </row>
    <row r="874" customFormat="false" ht="12.75" hidden="false" customHeight="false" outlineLevel="1" collapsed="false">
      <c r="A874" s="897"/>
      <c r="E874" s="897"/>
    </row>
    <row r="875" customFormat="false" ht="12.75" hidden="false" customHeight="false" outlineLevel="1" collapsed="false">
      <c r="A875" s="897"/>
      <c r="E875" s="897"/>
    </row>
    <row r="876" customFormat="false" ht="12.75" hidden="false" customHeight="false" outlineLevel="1" collapsed="false">
      <c r="A876" s="897"/>
      <c r="E876" s="897"/>
    </row>
    <row r="877" customFormat="false" ht="12.75" hidden="false" customHeight="false" outlineLevel="1" collapsed="false">
      <c r="A877" s="897"/>
      <c r="E877" s="897"/>
    </row>
    <row r="878" customFormat="false" ht="12.75" hidden="false" customHeight="false" outlineLevel="1" collapsed="false">
      <c r="A878" s="897"/>
      <c r="E878" s="897"/>
    </row>
    <row r="879" customFormat="false" ht="12.75" hidden="false" customHeight="false" outlineLevel="1" collapsed="false">
      <c r="A879" s="897"/>
      <c r="E879" s="897"/>
    </row>
    <row r="880" customFormat="false" ht="12.75" hidden="false" customHeight="false" outlineLevel="1" collapsed="false">
      <c r="A880" s="897"/>
      <c r="E880" s="897"/>
    </row>
    <row r="881" customFormat="false" ht="12.75" hidden="false" customHeight="false" outlineLevel="1" collapsed="false">
      <c r="A881" s="897"/>
      <c r="E881" s="897"/>
    </row>
    <row r="882" customFormat="false" ht="12.75" hidden="false" customHeight="false" outlineLevel="1" collapsed="false">
      <c r="A882" s="897"/>
      <c r="E882" s="897"/>
    </row>
    <row r="883" customFormat="false" ht="12.75" hidden="false" customHeight="false" outlineLevel="1" collapsed="false">
      <c r="A883" s="897"/>
      <c r="E883" s="897"/>
    </row>
    <row r="884" customFormat="false" ht="12.75" hidden="false" customHeight="false" outlineLevel="1" collapsed="false">
      <c r="A884" s="897"/>
      <c r="E884" s="897"/>
    </row>
    <row r="885" customFormat="false" ht="12.75" hidden="false" customHeight="false" outlineLevel="1" collapsed="false">
      <c r="A885" s="897"/>
      <c r="E885" s="897"/>
    </row>
    <row r="886" customFormat="false" ht="12.75" hidden="false" customHeight="false" outlineLevel="1" collapsed="false">
      <c r="A886" s="897"/>
      <c r="E886" s="897"/>
    </row>
    <row r="887" customFormat="false" ht="12.75" hidden="false" customHeight="false" outlineLevel="1" collapsed="false">
      <c r="A887" s="897"/>
      <c r="E887" s="897"/>
    </row>
    <row r="888" customFormat="false" ht="12.75" hidden="false" customHeight="false" outlineLevel="1" collapsed="false">
      <c r="A888" s="897"/>
      <c r="E888" s="897"/>
    </row>
    <row r="889" customFormat="false" ht="12.75" hidden="false" customHeight="false" outlineLevel="1" collapsed="false">
      <c r="A889" s="897"/>
      <c r="E889" s="897"/>
    </row>
    <row r="890" customFormat="false" ht="12.75" hidden="false" customHeight="false" outlineLevel="1" collapsed="false">
      <c r="A890" s="897"/>
      <c r="E890" s="897"/>
    </row>
    <row r="891" customFormat="false" ht="12.75" hidden="false" customHeight="false" outlineLevel="1" collapsed="false">
      <c r="A891" s="897"/>
      <c r="E891" s="897"/>
    </row>
    <row r="892" customFormat="false" ht="12.75" hidden="false" customHeight="false" outlineLevel="1" collapsed="false">
      <c r="A892" s="897"/>
      <c r="E892" s="897"/>
    </row>
    <row r="893" customFormat="false" ht="12.75" hidden="false" customHeight="false" outlineLevel="1" collapsed="false">
      <c r="A893" s="897"/>
      <c r="E893" s="897"/>
    </row>
    <row r="894" customFormat="false" ht="12.75" hidden="false" customHeight="false" outlineLevel="1" collapsed="false">
      <c r="A894" s="897"/>
      <c r="E894" s="897"/>
    </row>
    <row r="895" customFormat="false" ht="12.75" hidden="false" customHeight="false" outlineLevel="1" collapsed="false">
      <c r="A895" s="897"/>
      <c r="E895" s="897"/>
    </row>
    <row r="896" customFormat="false" ht="12.75" hidden="false" customHeight="false" outlineLevel="1" collapsed="false">
      <c r="A896" s="897"/>
      <c r="E896" s="897"/>
    </row>
    <row r="897" customFormat="false" ht="12.75" hidden="false" customHeight="false" outlineLevel="1" collapsed="false">
      <c r="A897" s="897"/>
      <c r="E897" s="897"/>
    </row>
    <row r="898" customFormat="false" ht="12.75" hidden="false" customHeight="false" outlineLevel="1" collapsed="false">
      <c r="A898" s="897"/>
      <c r="E898" s="897"/>
    </row>
    <row r="899" customFormat="false" ht="12.75" hidden="false" customHeight="false" outlineLevel="1" collapsed="false">
      <c r="A899" s="897"/>
      <c r="E899" s="897"/>
    </row>
    <row r="900" customFormat="false" ht="12.75" hidden="false" customHeight="false" outlineLevel="1" collapsed="false">
      <c r="A900" s="897"/>
      <c r="E900" s="897"/>
    </row>
    <row r="901" customFormat="false" ht="12.75" hidden="false" customHeight="false" outlineLevel="1" collapsed="false">
      <c r="A901" s="897"/>
      <c r="E901" s="897"/>
    </row>
    <row r="902" customFormat="false" ht="12.75" hidden="false" customHeight="false" outlineLevel="1" collapsed="false">
      <c r="A902" s="897"/>
      <c r="E902" s="897"/>
    </row>
    <row r="903" customFormat="false" ht="12.75" hidden="false" customHeight="false" outlineLevel="1" collapsed="false">
      <c r="A903" s="897"/>
      <c r="E903" s="897"/>
    </row>
    <row r="904" customFormat="false" ht="12.75" hidden="false" customHeight="false" outlineLevel="1" collapsed="false">
      <c r="A904" s="897"/>
      <c r="E904" s="897"/>
    </row>
    <row r="905" customFormat="false" ht="12.75" hidden="false" customHeight="false" outlineLevel="1" collapsed="false">
      <c r="A905" s="897"/>
      <c r="E905" s="897"/>
    </row>
    <row r="906" customFormat="false" ht="12.75" hidden="false" customHeight="false" outlineLevel="1" collapsed="false">
      <c r="A906" s="897"/>
      <c r="E906" s="897"/>
    </row>
    <row r="907" customFormat="false" ht="12.75" hidden="false" customHeight="false" outlineLevel="1" collapsed="false">
      <c r="A907" s="897"/>
      <c r="E907" s="897"/>
    </row>
    <row r="908" customFormat="false" ht="12.75" hidden="false" customHeight="false" outlineLevel="1" collapsed="false">
      <c r="A908" s="897"/>
      <c r="E908" s="897"/>
    </row>
    <row r="909" customFormat="false" ht="12.75" hidden="false" customHeight="false" outlineLevel="1" collapsed="false">
      <c r="A909" s="897"/>
      <c r="E909" s="897"/>
    </row>
    <row r="910" customFormat="false" ht="12.75" hidden="false" customHeight="false" outlineLevel="1" collapsed="false">
      <c r="A910" s="897"/>
      <c r="E910" s="897"/>
    </row>
    <row r="911" customFormat="false" ht="12.75" hidden="false" customHeight="false" outlineLevel="1" collapsed="false">
      <c r="A911" s="897"/>
      <c r="E911" s="897"/>
    </row>
    <row r="912" customFormat="false" ht="12.75" hidden="false" customHeight="false" outlineLevel="1" collapsed="false">
      <c r="A912" s="897"/>
      <c r="E912" s="897"/>
    </row>
    <row r="913" customFormat="false" ht="12.75" hidden="false" customHeight="false" outlineLevel="1" collapsed="false">
      <c r="A913" s="897"/>
      <c r="E913" s="897"/>
    </row>
    <row r="914" customFormat="false" ht="12.75" hidden="false" customHeight="false" outlineLevel="1" collapsed="false">
      <c r="A914" s="897"/>
      <c r="E914" s="897"/>
    </row>
    <row r="915" customFormat="false" ht="12.75" hidden="false" customHeight="false" outlineLevel="1" collapsed="false">
      <c r="A915" s="897"/>
      <c r="E915" s="897"/>
    </row>
    <row r="916" customFormat="false" ht="12.75" hidden="false" customHeight="false" outlineLevel="1" collapsed="false">
      <c r="A916" s="897"/>
      <c r="E916" s="897"/>
    </row>
    <row r="917" customFormat="false" ht="12.75" hidden="false" customHeight="false" outlineLevel="1" collapsed="false">
      <c r="A917" s="897"/>
      <c r="E917" s="897"/>
    </row>
    <row r="918" customFormat="false" ht="12.75" hidden="false" customHeight="false" outlineLevel="1" collapsed="false">
      <c r="A918" s="897"/>
      <c r="E918" s="897"/>
    </row>
    <row r="919" customFormat="false" ht="12.75" hidden="false" customHeight="false" outlineLevel="1" collapsed="false">
      <c r="A919" s="897"/>
      <c r="E919" s="897"/>
    </row>
    <row r="920" customFormat="false" ht="12.75" hidden="false" customHeight="false" outlineLevel="1" collapsed="false">
      <c r="A920" s="897"/>
      <c r="E920" s="897"/>
    </row>
    <row r="921" customFormat="false" ht="12.75" hidden="false" customHeight="false" outlineLevel="1" collapsed="false">
      <c r="A921" s="897"/>
      <c r="E921" s="897"/>
    </row>
    <row r="922" customFormat="false" ht="12.75" hidden="false" customHeight="false" outlineLevel="1" collapsed="false">
      <c r="A922" s="897"/>
      <c r="E922" s="897"/>
    </row>
    <row r="923" customFormat="false" ht="12.75" hidden="false" customHeight="false" outlineLevel="1" collapsed="false">
      <c r="A923" s="897"/>
      <c r="E923" s="897"/>
    </row>
    <row r="924" customFormat="false" ht="12.75" hidden="false" customHeight="false" outlineLevel="1" collapsed="false">
      <c r="A924" s="897"/>
      <c r="E924" s="897"/>
    </row>
    <row r="925" customFormat="false" ht="12.75" hidden="false" customHeight="false" outlineLevel="1" collapsed="false">
      <c r="A925" s="897"/>
      <c r="E925" s="897"/>
    </row>
    <row r="926" customFormat="false" ht="12.75" hidden="false" customHeight="false" outlineLevel="1" collapsed="false">
      <c r="A926" s="897"/>
      <c r="E926" s="897"/>
    </row>
    <row r="927" customFormat="false" ht="12.75" hidden="false" customHeight="false" outlineLevel="1" collapsed="false">
      <c r="A927" s="897"/>
      <c r="E927" s="897"/>
    </row>
    <row r="928" customFormat="false" ht="12.75" hidden="false" customHeight="false" outlineLevel="1" collapsed="false">
      <c r="A928" s="897"/>
      <c r="E928" s="897"/>
    </row>
    <row r="929" customFormat="false" ht="12.75" hidden="false" customHeight="false" outlineLevel="1" collapsed="false">
      <c r="A929" s="897"/>
      <c r="E929" s="897"/>
    </row>
    <row r="930" customFormat="false" ht="12.75" hidden="false" customHeight="false" outlineLevel="1" collapsed="false">
      <c r="A930" s="897"/>
      <c r="E930" s="897"/>
    </row>
    <row r="931" customFormat="false" ht="12.75" hidden="false" customHeight="false" outlineLevel="1" collapsed="false">
      <c r="A931" s="897"/>
      <c r="E931" s="897"/>
    </row>
    <row r="932" customFormat="false" ht="12.75" hidden="false" customHeight="false" outlineLevel="1" collapsed="false">
      <c r="A932" s="897"/>
      <c r="E932" s="897"/>
    </row>
    <row r="933" customFormat="false" ht="12.75" hidden="false" customHeight="false" outlineLevel="1" collapsed="false">
      <c r="A933" s="897"/>
      <c r="E933" s="897"/>
    </row>
    <row r="934" customFormat="false" ht="12.75" hidden="false" customHeight="false" outlineLevel="1" collapsed="false">
      <c r="A934" s="897"/>
      <c r="E934" s="897"/>
    </row>
    <row r="935" customFormat="false" ht="12.75" hidden="false" customHeight="false" outlineLevel="1" collapsed="false">
      <c r="A935" s="897"/>
      <c r="E935" s="897"/>
    </row>
    <row r="936" customFormat="false" ht="12.75" hidden="false" customHeight="false" outlineLevel="1" collapsed="false">
      <c r="A936" s="897"/>
      <c r="E936" s="897"/>
    </row>
    <row r="937" customFormat="false" ht="12.75" hidden="false" customHeight="false" outlineLevel="1" collapsed="false">
      <c r="A937" s="897"/>
      <c r="E937" s="897"/>
    </row>
    <row r="938" customFormat="false" ht="12.75" hidden="false" customHeight="false" outlineLevel="1" collapsed="false">
      <c r="A938" s="897"/>
      <c r="E938" s="897"/>
    </row>
    <row r="939" customFormat="false" ht="12.75" hidden="false" customHeight="false" outlineLevel="1" collapsed="false">
      <c r="A939" s="897"/>
      <c r="E939" s="897"/>
    </row>
    <row r="940" customFormat="false" ht="12.75" hidden="false" customHeight="false" outlineLevel="1" collapsed="false">
      <c r="A940" s="897"/>
      <c r="E940" s="897"/>
    </row>
    <row r="941" customFormat="false" ht="12.75" hidden="false" customHeight="false" outlineLevel="1" collapsed="false">
      <c r="A941" s="897"/>
      <c r="E941" s="897"/>
    </row>
    <row r="942" customFormat="false" ht="12.75" hidden="false" customHeight="false" outlineLevel="1" collapsed="false">
      <c r="A942" s="897"/>
      <c r="E942" s="897"/>
    </row>
    <row r="943" customFormat="false" ht="12.75" hidden="false" customHeight="false" outlineLevel="1" collapsed="false">
      <c r="A943" s="897"/>
      <c r="E943" s="897"/>
    </row>
    <row r="944" customFormat="false" ht="12.75" hidden="false" customHeight="false" outlineLevel="1" collapsed="false">
      <c r="A944" s="897"/>
      <c r="E944" s="897"/>
    </row>
    <row r="945" customFormat="false" ht="12.75" hidden="false" customHeight="false" outlineLevel="1" collapsed="false">
      <c r="A945" s="897"/>
      <c r="E945" s="897"/>
    </row>
    <row r="946" customFormat="false" ht="12.75" hidden="false" customHeight="false" outlineLevel="1" collapsed="false">
      <c r="A946" s="897"/>
      <c r="E946" s="897"/>
    </row>
    <row r="947" customFormat="false" ht="12.75" hidden="false" customHeight="false" outlineLevel="1" collapsed="false">
      <c r="A947" s="897"/>
      <c r="E947" s="897"/>
    </row>
    <row r="948" customFormat="false" ht="12.75" hidden="false" customHeight="false" outlineLevel="1" collapsed="false">
      <c r="A948" s="897"/>
      <c r="E948" s="897"/>
    </row>
    <row r="949" customFormat="false" ht="12.75" hidden="false" customHeight="false" outlineLevel="1" collapsed="false">
      <c r="A949" s="897"/>
      <c r="E949" s="897"/>
    </row>
    <row r="950" customFormat="false" ht="12.75" hidden="false" customHeight="false" outlineLevel="1" collapsed="false">
      <c r="A950" s="897"/>
      <c r="E950" s="897"/>
    </row>
    <row r="951" customFormat="false" ht="12.75" hidden="false" customHeight="false" outlineLevel="1" collapsed="false">
      <c r="A951" s="897"/>
      <c r="E951" s="897"/>
    </row>
    <row r="952" customFormat="false" ht="12.75" hidden="false" customHeight="false" outlineLevel="1" collapsed="false">
      <c r="A952" s="897"/>
      <c r="E952" s="897"/>
    </row>
    <row r="953" customFormat="false" ht="12.75" hidden="false" customHeight="false" outlineLevel="1" collapsed="false">
      <c r="A953" s="897"/>
      <c r="E953" s="897"/>
    </row>
    <row r="954" customFormat="false" ht="12.75" hidden="false" customHeight="false" outlineLevel="1" collapsed="false">
      <c r="A954" s="897"/>
      <c r="E954" s="897"/>
    </row>
    <row r="955" customFormat="false" ht="12.75" hidden="false" customHeight="false" outlineLevel="1" collapsed="false">
      <c r="A955" s="897"/>
    </row>
    <row r="956" customFormat="false" ht="12.75" hidden="false" customHeight="false" outlineLevel="1" collapsed="false">
      <c r="A956" s="897"/>
    </row>
    <row r="957" customFormat="false" ht="12.75" hidden="false" customHeight="false" outlineLevel="1" collapsed="false">
      <c r="A957" s="897"/>
    </row>
    <row r="958" customFormat="false" ht="12.75" hidden="false" customHeight="false" outlineLevel="1" collapsed="false">
      <c r="A958" s="897"/>
    </row>
    <row r="959" customFormat="false" ht="12.75" hidden="false" customHeight="false" outlineLevel="1" collapsed="false">
      <c r="A959" s="897"/>
    </row>
    <row r="960" customFormat="false" ht="12.75" hidden="false" customHeight="false" outlineLevel="1" collapsed="false">
      <c r="A960" s="897"/>
    </row>
    <row r="961" customFormat="false" ht="12.75" hidden="false" customHeight="false" outlineLevel="1" collapsed="false">
      <c r="A961" s="897"/>
    </row>
    <row r="962" customFormat="false" ht="12.75" hidden="false" customHeight="false" outlineLevel="1" collapsed="false">
      <c r="A962" s="897"/>
    </row>
    <row r="963" customFormat="false" ht="12.75" hidden="false" customHeight="false" outlineLevel="1" collapsed="false">
      <c r="A963" s="897"/>
    </row>
    <row r="964" customFormat="false" ht="12.75" hidden="false" customHeight="false" outlineLevel="1" collapsed="false">
      <c r="A964" s="897"/>
    </row>
    <row r="965" customFormat="false" ht="12.75" hidden="false" customHeight="false" outlineLevel="1" collapsed="false">
      <c r="A965" s="897"/>
    </row>
    <row r="966" customFormat="false" ht="12.75" hidden="false" customHeight="false" outlineLevel="1" collapsed="false">
      <c r="A966" s="897"/>
    </row>
    <row r="967" customFormat="false" ht="12.75" hidden="false" customHeight="false" outlineLevel="1" collapsed="false">
      <c r="A967" s="897"/>
    </row>
    <row r="968" customFormat="false" ht="12.75" hidden="false" customHeight="false" outlineLevel="1" collapsed="false">
      <c r="A968" s="897"/>
    </row>
    <row r="969" customFormat="false" ht="12.75" hidden="false" customHeight="false" outlineLevel="1" collapsed="false">
      <c r="A969" s="897"/>
    </row>
    <row r="970" customFormat="false" ht="12.75" hidden="false" customHeight="false" outlineLevel="1" collapsed="false">
      <c r="A970" s="897"/>
    </row>
    <row r="971" customFormat="false" ht="12.75" hidden="false" customHeight="false" outlineLevel="1" collapsed="false">
      <c r="A971" s="897"/>
    </row>
    <row r="972" customFormat="false" ht="12.75" hidden="false" customHeight="false" outlineLevel="1" collapsed="false">
      <c r="A972" s="897"/>
    </row>
    <row r="973" customFormat="false" ht="12.75" hidden="false" customHeight="false" outlineLevel="1" collapsed="false">
      <c r="A973" s="897"/>
    </row>
    <row r="974" customFormat="false" ht="12.75" hidden="false" customHeight="false" outlineLevel="1" collapsed="false">
      <c r="A974" s="897"/>
    </row>
    <row r="975" customFormat="false" ht="12.75" hidden="false" customHeight="false" outlineLevel="1" collapsed="false">
      <c r="A975" s="897"/>
    </row>
    <row r="976" customFormat="false" ht="12.75" hidden="false" customHeight="false" outlineLevel="1" collapsed="false">
      <c r="A976" s="897"/>
    </row>
    <row r="977" customFormat="false" ht="12.75" hidden="false" customHeight="false" outlineLevel="1" collapsed="false">
      <c r="A977" s="897"/>
    </row>
    <row r="978" customFormat="false" ht="12.75" hidden="false" customHeight="false" outlineLevel="1" collapsed="false">
      <c r="A978" s="897"/>
    </row>
    <row r="979" customFormat="false" ht="12.75" hidden="false" customHeight="false" outlineLevel="1" collapsed="false">
      <c r="A979" s="897"/>
    </row>
    <row r="980" customFormat="false" ht="12.75" hidden="false" customHeight="false" outlineLevel="1" collapsed="false">
      <c r="A980" s="897"/>
    </row>
    <row r="981" customFormat="false" ht="12.75" hidden="false" customHeight="false" outlineLevel="1" collapsed="false">
      <c r="A981" s="897"/>
    </row>
    <row r="982" customFormat="false" ht="12.75" hidden="false" customHeight="false" outlineLevel="1" collapsed="false">
      <c r="A982" s="897"/>
    </row>
    <row r="983" customFormat="false" ht="12.75" hidden="false" customHeight="false" outlineLevel="1" collapsed="false">
      <c r="A983" s="897"/>
    </row>
    <row r="984" customFormat="false" ht="12.75" hidden="false" customHeight="false" outlineLevel="1" collapsed="false">
      <c r="A984" s="897"/>
    </row>
    <row r="985" customFormat="false" ht="12.75" hidden="false" customHeight="false" outlineLevel="1" collapsed="false">
      <c r="A985" s="897"/>
    </row>
    <row r="986" customFormat="false" ht="12.75" hidden="false" customHeight="false" outlineLevel="1" collapsed="false">
      <c r="A986" s="897"/>
    </row>
    <row r="987" customFormat="false" ht="12.75" hidden="false" customHeight="false" outlineLevel="1" collapsed="false">
      <c r="A987" s="897"/>
    </row>
    <row r="988" customFormat="false" ht="12.75" hidden="false" customHeight="false" outlineLevel="1" collapsed="false">
      <c r="A988" s="897"/>
    </row>
    <row r="989" customFormat="false" ht="12.75" hidden="false" customHeight="false" outlineLevel="1" collapsed="false">
      <c r="A989" s="897"/>
    </row>
    <row r="990" customFormat="false" ht="12.75" hidden="false" customHeight="false" outlineLevel="1" collapsed="false">
      <c r="A990" s="897"/>
    </row>
    <row r="991" customFormat="false" ht="12.75" hidden="false" customHeight="false" outlineLevel="1" collapsed="false">
      <c r="A991" s="897"/>
    </row>
    <row r="992" customFormat="false" ht="12.75" hidden="false" customHeight="false" outlineLevel="1" collapsed="false">
      <c r="A992" s="897"/>
    </row>
    <row r="993" customFormat="false" ht="12.75" hidden="false" customHeight="false" outlineLevel="1" collapsed="false">
      <c r="A993" s="897"/>
    </row>
    <row r="994" customFormat="false" ht="12.75" hidden="false" customHeight="false" outlineLevel="1" collapsed="false">
      <c r="A994" s="897"/>
    </row>
    <row r="995" customFormat="false" ht="12.75" hidden="false" customHeight="false" outlineLevel="1" collapsed="false">
      <c r="A995" s="897"/>
    </row>
    <row r="996" customFormat="false" ht="12.75" hidden="false" customHeight="false" outlineLevel="1" collapsed="false">
      <c r="A996" s="897"/>
    </row>
    <row r="997" customFormat="false" ht="12.75" hidden="false" customHeight="false" outlineLevel="1" collapsed="false">
      <c r="A997" s="897"/>
    </row>
    <row r="998" customFormat="false" ht="12.75" hidden="false" customHeight="false" outlineLevel="1" collapsed="false">
      <c r="A998" s="897"/>
    </row>
    <row r="999" customFormat="false" ht="12.75" hidden="false" customHeight="false" outlineLevel="1" collapsed="false">
      <c r="A999" s="897"/>
    </row>
    <row r="1000" customFormat="false" ht="12.75" hidden="false" customHeight="false" outlineLevel="1" collapsed="false">
      <c r="A1000" s="897"/>
    </row>
    <row r="1001" customFormat="false" ht="12.75" hidden="false" customHeight="false" outlineLevel="1" collapsed="false">
      <c r="A1001" s="897"/>
    </row>
    <row r="1002" customFormat="false" ht="12.75" hidden="false" customHeight="false" outlineLevel="1" collapsed="false">
      <c r="A1002" s="897"/>
    </row>
    <row r="1003" customFormat="false" ht="12.75" hidden="false" customHeight="false" outlineLevel="1" collapsed="false">
      <c r="A1003" s="897"/>
    </row>
    <row r="1004" customFormat="false" ht="12.75" hidden="false" customHeight="false" outlineLevel="1" collapsed="false">
      <c r="A1004" s="897"/>
    </row>
    <row r="1005" customFormat="false" ht="12.75" hidden="false" customHeight="false" outlineLevel="1" collapsed="false">
      <c r="A1005" s="897"/>
    </row>
    <row r="1006" customFormat="false" ht="12.75" hidden="false" customHeight="false" outlineLevel="1" collapsed="false">
      <c r="A1006" s="897"/>
    </row>
    <row r="1007" customFormat="false" ht="12.75" hidden="false" customHeight="false" outlineLevel="1" collapsed="false">
      <c r="A1007" s="897"/>
    </row>
    <row r="1008" customFormat="false" ht="12.75" hidden="false" customHeight="false" outlineLevel="1" collapsed="false"/>
    <row r="1009" customFormat="false" ht="12.75" hidden="false" customHeight="false" outlineLevel="1" collapsed="false"/>
    <row r="1010" customFormat="false" ht="12.75" hidden="false" customHeight="false" outlineLevel="1" collapsed="false"/>
    <row r="1011" customFormat="false" ht="12.75" hidden="false" customHeight="false" outlineLevel="1" collapsed="false"/>
    <row r="1012" customFormat="false" ht="12.75" hidden="false" customHeight="false" outlineLevel="1" collapsed="false"/>
    <row r="1013" customFormat="false" ht="12.75" hidden="false" customHeight="false" outlineLevel="1" collapsed="false"/>
    <row r="1014" customFormat="false" ht="12.75" hidden="false" customHeight="false" outlineLevel="1" collapsed="false"/>
    <row r="1015" customFormat="false" ht="12.75" hidden="false" customHeight="false" outlineLevel="1" collapsed="false"/>
    <row r="1016" customFormat="false" ht="12.75" hidden="false" customHeight="false" outlineLevel="1" collapsed="false"/>
    <row r="1017" customFormat="false" ht="12.75" hidden="false" customHeight="false" outlineLevel="1" collapsed="false"/>
    <row r="1018" customFormat="false" ht="12.75" hidden="false" customHeight="false" outlineLevel="1" collapsed="false"/>
    <row r="1019" customFormat="false" ht="12.75" hidden="false" customHeight="false" outlineLevel="1" collapsed="false"/>
    <row r="1020" customFormat="false" ht="12.75" hidden="false" customHeight="false" outlineLevel="1" collapsed="false"/>
    <row r="1021" customFormat="false" ht="12.75" hidden="false" customHeight="false" outlineLevel="1" collapsed="false"/>
    <row r="1022" customFormat="false" ht="12.75" hidden="false" customHeight="false" outlineLevel="1" collapsed="false"/>
    <row r="1023" customFormat="false" ht="12.75" hidden="false" customHeight="false" outlineLevel="1" collapsed="false"/>
    <row r="1024" customFormat="false" ht="12.75" hidden="false" customHeight="false" outlineLevel="1" collapsed="false"/>
    <row r="1025" customFormat="false" ht="12.75" hidden="false" customHeight="false" outlineLevel="1" collapsed="false"/>
    <row r="1026" customFormat="false" ht="12.75" hidden="false" customHeight="false" outlineLevel="1" collapsed="false"/>
    <row r="1027" customFormat="false" ht="12.75" hidden="false" customHeight="false" outlineLevel="1" collapsed="false"/>
    <row r="1028" customFormat="false" ht="12.75" hidden="false" customHeight="false" outlineLevel="1" collapsed="false"/>
    <row r="1029" customFormat="false" ht="12.75" hidden="false" customHeight="false" outlineLevel="1" collapsed="false"/>
    <row r="1030" customFormat="false" ht="12.75" hidden="false" customHeight="false" outlineLevel="1" collapsed="false"/>
    <row r="1031" customFormat="false" ht="12.75" hidden="false" customHeight="false" outlineLevel="1" collapsed="false"/>
    <row r="1032" customFormat="false" ht="12.75" hidden="false" customHeight="false" outlineLevel="1" collapsed="false"/>
    <row r="1033" customFormat="false" ht="12.75" hidden="false" customHeight="false" outlineLevel="1" collapsed="false"/>
    <row r="1034" customFormat="false" ht="12.75" hidden="false" customHeight="false" outlineLevel="1" collapsed="false"/>
    <row r="1035" customFormat="false" ht="12.75" hidden="false" customHeight="false" outlineLevel="1" collapsed="false"/>
    <row r="1036" customFormat="false" ht="12.75" hidden="false" customHeight="false" outlineLevel="1" collapsed="false"/>
    <row r="1037" customFormat="false" ht="12.75" hidden="false" customHeight="false" outlineLevel="1" collapsed="false"/>
    <row r="1038" customFormat="false" ht="12.75" hidden="false" customHeight="false" outlineLevel="1" collapsed="false"/>
    <row r="1039" customFormat="false" ht="12.75" hidden="false" customHeight="false" outlineLevel="1" collapsed="false"/>
    <row r="1040" customFormat="false" ht="12.75" hidden="false" customHeight="false" outlineLevel="1" collapsed="false"/>
    <row r="1041" customFormat="false" ht="12.75" hidden="false" customHeight="false" outlineLevel="1" collapsed="false"/>
    <row r="1042" customFormat="false" ht="12.75" hidden="false" customHeight="false" outlineLevel="1" collapsed="false"/>
    <row r="1043" customFormat="false" ht="12.75" hidden="false" customHeight="false" outlineLevel="1" collapsed="false"/>
    <row r="1044" customFormat="false" ht="12.75" hidden="false" customHeight="false" outlineLevel="1" collapsed="false"/>
    <row r="1045" customFormat="false" ht="12.75" hidden="false" customHeight="false" outlineLevel="1" collapsed="false"/>
    <row r="1046" customFormat="false" ht="12.75" hidden="false" customHeight="false" outlineLevel="1" collapsed="false"/>
    <row r="1047" customFormat="false" ht="12.75" hidden="false" customHeight="false" outlineLevel="1" collapsed="false"/>
    <row r="1048" customFormat="false" ht="12.75" hidden="false" customHeight="false" outlineLevel="1" collapsed="false"/>
    <row r="1049" customFormat="false" ht="12.75" hidden="false" customHeight="false" outlineLevel="1" collapsed="false"/>
    <row r="1050" customFormat="false" ht="12.75" hidden="false" customHeight="false" outlineLevel="1" collapsed="false"/>
    <row r="1051" customFormat="false" ht="12.75" hidden="false" customHeight="false" outlineLevel="1" collapsed="false"/>
    <row r="1052" customFormat="false" ht="12.75" hidden="false" customHeight="false" outlineLevel="1" collapsed="false"/>
    <row r="1053" customFormat="false" ht="12.75" hidden="false" customHeight="false" outlineLevel="1" collapsed="false"/>
    <row r="1054" customFormat="false" ht="12.75" hidden="false" customHeight="false" outlineLevel="1" collapsed="false"/>
    <row r="1055" customFormat="false" ht="12.75" hidden="false" customHeight="false" outlineLevel="1" collapsed="false"/>
    <row r="1056" customFormat="false" ht="12.75" hidden="false" customHeight="false" outlineLevel="1" collapsed="false"/>
    <row r="1057" customFormat="false" ht="12.75" hidden="false" customHeight="false" outlineLevel="1" collapsed="false"/>
    <row r="1058" customFormat="false" ht="12.75" hidden="false" customHeight="false" outlineLevel="1" collapsed="false"/>
    <row r="1059" customFormat="false" ht="12.75" hidden="false" customHeight="false" outlineLevel="1" collapsed="false"/>
    <row r="1060" customFormat="false" ht="12.75" hidden="false" customHeight="false" outlineLevel="1" collapsed="false"/>
    <row r="1061" customFormat="false" ht="12.75" hidden="false" customHeight="false" outlineLevel="1" collapsed="false"/>
    <row r="1062" customFormat="false" ht="12.75" hidden="false" customHeight="false" outlineLevel="1" collapsed="false"/>
    <row r="1063" customFormat="false" ht="12.75" hidden="false" customHeight="false" outlineLevel="1" collapsed="false"/>
    <row r="1064" customFormat="false" ht="12.75" hidden="false" customHeight="false" outlineLevel="1" collapsed="false"/>
    <row r="1065" customFormat="false" ht="12.75" hidden="false" customHeight="false" outlineLevel="1" collapsed="false"/>
    <row r="1066" customFormat="false" ht="12.75" hidden="false" customHeight="false" outlineLevel="1" collapsed="false"/>
    <row r="1067" customFormat="false" ht="12.75" hidden="false" customHeight="false" outlineLevel="1" collapsed="false"/>
    <row r="1068" customFormat="false" ht="12.75" hidden="false" customHeight="false" outlineLevel="1" collapsed="false"/>
    <row r="1069" customFormat="false" ht="12.75" hidden="false" customHeight="false" outlineLevel="1" collapsed="false"/>
    <row r="1070" customFormat="false" ht="12.75" hidden="false" customHeight="false" outlineLevel="1" collapsed="false"/>
    <row r="1071" customFormat="false" ht="12.75" hidden="false" customHeight="false" outlineLevel="1" collapsed="false"/>
    <row r="1072" customFormat="false" ht="12.75" hidden="false" customHeight="false" outlineLevel="1" collapsed="false"/>
    <row r="1073" customFormat="false" ht="12.75" hidden="false" customHeight="false" outlineLevel="1" collapsed="false"/>
    <row r="1074" customFormat="false" ht="12.75" hidden="false" customHeight="false" outlineLevel="1" collapsed="false"/>
    <row r="1075" customFormat="false" ht="12.75" hidden="false" customHeight="false" outlineLevel="1" collapsed="false"/>
    <row r="1076" customFormat="false" ht="12.75" hidden="false" customHeight="false" outlineLevel="1" collapsed="false"/>
    <row r="1077" customFormat="false" ht="12.75" hidden="false" customHeight="false" outlineLevel="1" collapsed="false"/>
    <row r="1078" customFormat="false" ht="12.75" hidden="false" customHeight="false" outlineLevel="1" collapsed="false"/>
    <row r="1079" customFormat="false" ht="12.75" hidden="false" customHeight="false" outlineLevel="1" collapsed="false"/>
    <row r="1080" customFormat="false" ht="12.75" hidden="false" customHeight="false" outlineLevel="1" collapsed="false"/>
    <row r="1081" customFormat="false" ht="12.75" hidden="false" customHeight="false" outlineLevel="1" collapsed="false"/>
    <row r="1082" customFormat="false" ht="12.75" hidden="false" customHeight="false" outlineLevel="1" collapsed="false"/>
    <row r="1083" customFormat="false" ht="12.75" hidden="false" customHeight="false" outlineLevel="1" collapsed="false"/>
    <row r="1084" customFormat="false" ht="12.75" hidden="false" customHeight="false" outlineLevel="1" collapsed="false"/>
    <row r="1085" customFormat="false" ht="12.75" hidden="false" customHeight="false" outlineLevel="1" collapsed="false"/>
    <row r="1086" customFormat="false" ht="12.75" hidden="false" customHeight="false" outlineLevel="1" collapsed="false"/>
    <row r="1087" customFormat="false" ht="12.75" hidden="false" customHeight="false" outlineLevel="1" collapsed="false"/>
    <row r="1088" customFormat="false" ht="12.75" hidden="false" customHeight="false" outlineLevel="1" collapsed="false"/>
    <row r="1089" customFormat="false" ht="12.75" hidden="false" customHeight="false" outlineLevel="1" collapsed="false"/>
    <row r="1090" customFormat="false" ht="12.75" hidden="false" customHeight="false" outlineLevel="1" collapsed="false"/>
    <row r="1091" customFormat="false" ht="12.75" hidden="false" customHeight="false" outlineLevel="1" collapsed="false"/>
    <row r="1092" customFormat="false" ht="12.75" hidden="false" customHeight="false" outlineLevel="1" collapsed="false"/>
    <row r="1093" customFormat="false" ht="12.75" hidden="false" customHeight="false" outlineLevel="1" collapsed="false"/>
    <row r="1094" customFormat="false" ht="12.75" hidden="false" customHeight="false" outlineLevel="1" collapsed="false"/>
    <row r="1095" customFormat="false" ht="12.75" hidden="false" customHeight="false" outlineLevel="1" collapsed="false"/>
    <row r="1096" customFormat="false" ht="12.75" hidden="false" customHeight="false" outlineLevel="1" collapsed="false"/>
    <row r="1097" customFormat="false" ht="12.75" hidden="false" customHeight="false" outlineLevel="1" collapsed="false"/>
    <row r="1098" customFormat="false" ht="12.75" hidden="false" customHeight="false" outlineLevel="1" collapsed="false"/>
    <row r="1099" customFormat="false" ht="12.75" hidden="false" customHeight="false" outlineLevel="1" collapsed="false"/>
    <row r="1100" customFormat="false" ht="12.75" hidden="false" customHeight="false" outlineLevel="1" collapsed="false"/>
    <row r="1101" customFormat="false" ht="12.75" hidden="false" customHeight="false" outlineLevel="1" collapsed="false"/>
    <row r="1102" customFormat="false" ht="12.75" hidden="false" customHeight="false" outlineLevel="1" collapsed="false"/>
    <row r="1103" customFormat="false" ht="12.75" hidden="false" customHeight="false" outlineLevel="1" collapsed="false"/>
    <row r="1104" customFormat="false" ht="12.75" hidden="false" customHeight="false" outlineLevel="1" collapsed="false"/>
    <row r="1105" customFormat="false" ht="12.75" hidden="false" customHeight="false" outlineLevel="1" collapsed="false"/>
    <row r="1106" customFormat="false" ht="12.75" hidden="false" customHeight="false" outlineLevel="1" collapsed="false"/>
    <row r="1107" customFormat="false" ht="12.75" hidden="false" customHeight="false" outlineLevel="1" collapsed="false"/>
    <row r="1108" customFormat="false" ht="12.75" hidden="false" customHeight="false" outlineLevel="1" collapsed="false"/>
    <row r="1109" customFormat="false" ht="12.75" hidden="false" customHeight="false" outlineLevel="1" collapsed="false"/>
    <row r="1110" customFormat="false" ht="12.75" hidden="false" customHeight="false" outlineLevel="1" collapsed="false"/>
    <row r="1111" customFormat="false" ht="12.75" hidden="false" customHeight="false" outlineLevel="1" collapsed="false"/>
    <row r="1112" customFormat="false" ht="12.75" hidden="false" customHeight="false" outlineLevel="1" collapsed="false"/>
    <row r="1113" customFormat="false" ht="12.75" hidden="false" customHeight="false" outlineLevel="1" collapsed="false"/>
    <row r="1114" customFormat="false" ht="12.75" hidden="false" customHeight="false" outlineLevel="1" collapsed="false"/>
    <row r="1115" customFormat="false" ht="12.75" hidden="false" customHeight="false" outlineLevel="1" collapsed="false"/>
    <row r="1116" customFormat="false" ht="12.75" hidden="false" customHeight="false" outlineLevel="1" collapsed="false"/>
    <row r="1117" customFormat="false" ht="12.75" hidden="false" customHeight="false" outlineLevel="1" collapsed="false"/>
    <row r="1118" customFormat="false" ht="12.75" hidden="false" customHeight="false" outlineLevel="1" collapsed="false"/>
    <row r="1119" customFormat="false" ht="12.75" hidden="false" customHeight="false" outlineLevel="1" collapsed="false"/>
    <row r="1120" customFormat="false" ht="12.75" hidden="false" customHeight="false" outlineLevel="1" collapsed="false"/>
    <row r="1121" customFormat="false" ht="12.75" hidden="false" customHeight="false" outlineLevel="1" collapsed="false"/>
    <row r="1122" customFormat="false" ht="12.75" hidden="false" customHeight="false" outlineLevel="1" collapsed="false"/>
    <row r="1123" customFormat="false" ht="12.75" hidden="false" customHeight="false" outlineLevel="1" collapsed="false"/>
    <row r="1124" customFormat="false" ht="12.75" hidden="false" customHeight="false" outlineLevel="1" collapsed="false"/>
    <row r="1125" customFormat="false" ht="12.75" hidden="false" customHeight="false" outlineLevel="1" collapsed="false"/>
    <row r="1126" customFormat="false" ht="12.75" hidden="false" customHeight="false" outlineLevel="1" collapsed="false"/>
    <row r="1127" customFormat="false" ht="12.75" hidden="false" customHeight="false" outlineLevel="1" collapsed="false"/>
    <row r="1128" customFormat="false" ht="12.75" hidden="false" customHeight="false" outlineLevel="1" collapsed="false"/>
    <row r="1129" customFormat="false" ht="12.75" hidden="false" customHeight="false" outlineLevel="1" collapsed="false"/>
    <row r="1130" customFormat="false" ht="12.75" hidden="false" customHeight="false" outlineLevel="1" collapsed="false"/>
    <row r="1131" customFormat="false" ht="12.75" hidden="false" customHeight="false" outlineLevel="1" collapsed="false"/>
    <row r="1132" customFormat="false" ht="12.75" hidden="false" customHeight="false" outlineLevel="1" collapsed="false"/>
    <row r="1133" customFormat="false" ht="12.75" hidden="false" customHeight="false" outlineLevel="1" collapsed="false"/>
    <row r="1134" customFormat="false" ht="12.75" hidden="false" customHeight="false" outlineLevel="1" collapsed="false"/>
    <row r="1135" customFormat="false" ht="12.75" hidden="false" customHeight="false" outlineLevel="1" collapsed="false"/>
    <row r="1136" customFormat="false" ht="12.75" hidden="false" customHeight="false" outlineLevel="1" collapsed="false"/>
    <row r="1137" customFormat="false" ht="12.75" hidden="false" customHeight="false" outlineLevel="1" collapsed="false"/>
    <row r="1138" customFormat="false" ht="12.75" hidden="false" customHeight="false" outlineLevel="1" collapsed="false"/>
    <row r="1139" customFormat="false" ht="12.75" hidden="false" customHeight="false" outlineLevel="1" collapsed="false"/>
    <row r="1140" customFormat="false" ht="12.75" hidden="false" customHeight="false" outlineLevel="1" collapsed="false"/>
    <row r="1141" customFormat="false" ht="12.75" hidden="false" customHeight="false" outlineLevel="1" collapsed="false"/>
    <row r="1142" customFormat="false" ht="12.75" hidden="false" customHeight="false" outlineLevel="1" collapsed="false"/>
    <row r="1143" customFormat="false" ht="12.75" hidden="false" customHeight="false" outlineLevel="1" collapsed="false"/>
    <row r="1144" customFormat="false" ht="12.75" hidden="false" customHeight="false" outlineLevel="1" collapsed="false"/>
    <row r="1145" customFormat="false" ht="12.75" hidden="false" customHeight="false" outlineLevel="1" collapsed="false"/>
    <row r="1146" customFormat="false" ht="12.75" hidden="false" customHeight="false" outlineLevel="1" collapsed="false"/>
    <row r="1147" customFormat="false" ht="12.75" hidden="false" customHeight="false" outlineLevel="1" collapsed="false"/>
    <row r="1148" customFormat="false" ht="12.75" hidden="false" customHeight="false" outlineLevel="1" collapsed="false"/>
    <row r="1149" customFormat="false" ht="12.75" hidden="false" customHeight="false" outlineLevel="1" collapsed="false"/>
    <row r="1150" customFormat="false" ht="12.75" hidden="false" customHeight="false" outlineLevel="1" collapsed="false"/>
    <row r="1151" customFormat="false" ht="12.75" hidden="false" customHeight="false" outlineLevel="1" collapsed="false"/>
    <row r="1152" customFormat="false" ht="12.75" hidden="false" customHeight="false" outlineLevel="1" collapsed="false"/>
    <row r="1153" customFormat="false" ht="12.75" hidden="false" customHeight="false" outlineLevel="1" collapsed="false"/>
    <row r="1154" customFormat="false" ht="12.75" hidden="false" customHeight="false" outlineLevel="1" collapsed="false"/>
    <row r="1155" customFormat="false" ht="12.75" hidden="false" customHeight="false" outlineLevel="1" collapsed="false"/>
    <row r="1156" customFormat="false" ht="12.75" hidden="false" customHeight="false" outlineLevel="1" collapsed="false"/>
    <row r="1157" customFormat="false" ht="12.75" hidden="false" customHeight="false" outlineLevel="1" collapsed="false"/>
    <row r="1158" customFormat="false" ht="12.75" hidden="false" customHeight="false" outlineLevel="1" collapsed="false"/>
    <row r="1159" customFormat="false" ht="12.75" hidden="false" customHeight="false" outlineLevel="1" collapsed="false"/>
    <row r="1160" customFormat="false" ht="12.75" hidden="false" customHeight="false" outlineLevel="1" collapsed="false"/>
    <row r="1161" customFormat="false" ht="12.75" hidden="false" customHeight="false" outlineLevel="1" collapsed="false"/>
    <row r="1162" customFormat="false" ht="12.75" hidden="false" customHeight="false" outlineLevel="1" collapsed="false"/>
    <row r="1163" customFormat="false" ht="12.75" hidden="false" customHeight="false" outlineLevel="1" collapsed="false"/>
    <row r="1164" customFormat="false" ht="12.75" hidden="false" customHeight="false" outlineLevel="1" collapsed="false"/>
    <row r="1165" customFormat="false" ht="12.75" hidden="false" customHeight="false" outlineLevel="1" collapsed="false"/>
    <row r="1166" customFormat="false" ht="12.75" hidden="false" customHeight="false" outlineLevel="1" collapsed="false"/>
    <row r="1167" customFormat="false" ht="12.75" hidden="false" customHeight="false" outlineLevel="1" collapsed="false"/>
    <row r="1168" customFormat="false" ht="12.75" hidden="false" customHeight="false" outlineLevel="1" collapsed="false"/>
    <row r="1169" customFormat="false" ht="12.75" hidden="false" customHeight="false" outlineLevel="1" collapsed="false"/>
    <row r="1170" customFormat="false" ht="12.75" hidden="false" customHeight="false" outlineLevel="1" collapsed="false"/>
    <row r="1171" customFormat="false" ht="12.75" hidden="false" customHeight="false" outlineLevel="1" collapsed="false"/>
    <row r="1172" customFormat="false" ht="12.75" hidden="false" customHeight="false" outlineLevel="1" collapsed="false"/>
    <row r="1173" customFormat="false" ht="12.75" hidden="false" customHeight="false" outlineLevel="1" collapsed="false"/>
    <row r="1174" customFormat="false" ht="12.75" hidden="false" customHeight="false" outlineLevel="1" collapsed="false"/>
    <row r="1175" customFormat="false" ht="12.75" hidden="false" customHeight="false" outlineLevel="1" collapsed="false"/>
    <row r="1176" customFormat="false" ht="12.75" hidden="false" customHeight="false" outlineLevel="1" collapsed="false"/>
    <row r="1177" customFormat="false" ht="12.75" hidden="false" customHeight="false" outlineLevel="1" collapsed="false"/>
    <row r="1178" customFormat="false" ht="12.75" hidden="false" customHeight="false" outlineLevel="1" collapsed="false"/>
    <row r="1179" customFormat="false" ht="12.75" hidden="false" customHeight="false" outlineLevel="1" collapsed="false"/>
    <row r="1180" customFormat="false" ht="12.75" hidden="false" customHeight="false" outlineLevel="1" collapsed="false"/>
    <row r="1181" customFormat="false" ht="12.75" hidden="false" customHeight="false" outlineLevel="1" collapsed="false"/>
    <row r="1182" customFormat="false" ht="12.75" hidden="false" customHeight="false" outlineLevel="1" collapsed="false"/>
    <row r="1183" customFormat="false" ht="12.75" hidden="false" customHeight="false" outlineLevel="1" collapsed="false"/>
    <row r="1184" customFormat="false" ht="12.75" hidden="false" customHeight="false" outlineLevel="1" collapsed="false"/>
    <row r="1185" customFormat="false" ht="12.75" hidden="false" customHeight="false" outlineLevel="1" collapsed="false"/>
    <row r="1186" customFormat="false" ht="12.75" hidden="false" customHeight="false" outlineLevel="1" collapsed="false"/>
    <row r="1187" customFormat="false" ht="12.75" hidden="false" customHeight="false" outlineLevel="1" collapsed="false"/>
    <row r="1188" customFormat="false" ht="12.75" hidden="false" customHeight="false" outlineLevel="1" collapsed="false"/>
    <row r="1189" customFormat="false" ht="12.75" hidden="false" customHeight="false" outlineLevel="1" collapsed="false"/>
    <row r="1190" customFormat="false" ht="12.75" hidden="false" customHeight="false" outlineLevel="1" collapsed="false"/>
    <row r="1191" customFormat="false" ht="12.75" hidden="false" customHeight="false" outlineLevel="1" collapsed="false"/>
    <row r="1192" customFormat="false" ht="12.75" hidden="false" customHeight="false" outlineLevel="1" collapsed="false"/>
    <row r="1193" customFormat="false" ht="12.75" hidden="false" customHeight="false" outlineLevel="1" collapsed="false"/>
    <row r="1194" customFormat="false" ht="12.75" hidden="false" customHeight="false" outlineLevel="1" collapsed="false"/>
    <row r="1195" customFormat="false" ht="12.75" hidden="false" customHeight="false" outlineLevel="1" collapsed="false"/>
    <row r="1196" customFormat="false" ht="12.75" hidden="false" customHeight="false" outlineLevel="1" collapsed="false"/>
    <row r="1197" customFormat="false" ht="12.75" hidden="false" customHeight="false" outlineLevel="1" collapsed="false"/>
    <row r="1198" customFormat="false" ht="12.75" hidden="false" customHeight="false" outlineLevel="1" collapsed="false"/>
    <row r="1199" customFormat="false" ht="12.75" hidden="false" customHeight="false" outlineLevel="1" collapsed="false"/>
    <row r="1200" customFormat="false" ht="12.75" hidden="false" customHeight="false" outlineLevel="1" collapsed="false"/>
    <row r="1201" customFormat="false" ht="12.75" hidden="false" customHeight="false" outlineLevel="1" collapsed="false"/>
    <row r="1202" customFormat="false" ht="12.75" hidden="false" customHeight="false" outlineLevel="1" collapsed="false"/>
    <row r="1203" customFormat="false" ht="12.75" hidden="false" customHeight="false" outlineLevel="1" collapsed="false"/>
    <row r="1204" customFormat="false" ht="12.75" hidden="false" customHeight="false" outlineLevel="1" collapsed="false"/>
    <row r="1205" customFormat="false" ht="12.75" hidden="false" customHeight="false" outlineLevel="1" collapsed="false"/>
    <row r="1206" customFormat="false" ht="12.75" hidden="false" customHeight="false" outlineLevel="1" collapsed="false"/>
    <row r="1207" customFormat="false" ht="12.75" hidden="false" customHeight="false" outlineLevel="1" collapsed="false"/>
    <row r="1208" customFormat="false" ht="12.75" hidden="false" customHeight="false" outlineLevel="1" collapsed="false"/>
    <row r="1209" customFormat="false" ht="12.75" hidden="false" customHeight="false" outlineLevel="1" collapsed="false"/>
    <row r="1210" customFormat="false" ht="12.75" hidden="false" customHeight="false" outlineLevel="1" collapsed="false"/>
    <row r="1211" customFormat="false" ht="12.75" hidden="false" customHeight="false" outlineLevel="1" collapsed="false"/>
    <row r="1212" customFormat="false" ht="12.75" hidden="false" customHeight="false" outlineLevel="1" collapsed="false"/>
    <row r="1213" customFormat="false" ht="12.75" hidden="false" customHeight="false" outlineLevel="1" collapsed="false"/>
    <row r="1214" customFormat="false" ht="12.75" hidden="false" customHeight="false" outlineLevel="1" collapsed="false"/>
    <row r="1215" customFormat="false" ht="12.75" hidden="false" customHeight="false" outlineLevel="1" collapsed="false"/>
    <row r="1216" customFormat="false" ht="12.75" hidden="false" customHeight="false" outlineLevel="1" collapsed="false"/>
    <row r="1217" customFormat="false" ht="12.75" hidden="false" customHeight="false" outlineLevel="1" collapsed="false"/>
    <row r="1218" customFormat="false" ht="12.75" hidden="false" customHeight="false" outlineLevel="1" collapsed="false"/>
    <row r="1219" customFormat="false" ht="12.75" hidden="false" customHeight="false" outlineLevel="1" collapsed="false"/>
    <row r="1220" customFormat="false" ht="12.75" hidden="false" customHeight="false" outlineLevel="1" collapsed="false"/>
    <row r="1221" customFormat="false" ht="12.75" hidden="false" customHeight="false" outlineLevel="1" collapsed="false"/>
    <row r="1222" customFormat="false" ht="12.75" hidden="false" customHeight="false" outlineLevel="1" collapsed="false"/>
    <row r="1223" customFormat="false" ht="12.75" hidden="false" customHeight="false" outlineLevel="1" collapsed="false"/>
    <row r="1224" customFormat="false" ht="12.75" hidden="false" customHeight="false" outlineLevel="1" collapsed="false"/>
    <row r="1225" customFormat="false" ht="12.75" hidden="false" customHeight="false" outlineLevel="1" collapsed="false"/>
    <row r="1226" customFormat="false" ht="12.75" hidden="false" customHeight="false" outlineLevel="1" collapsed="false"/>
    <row r="1227" customFormat="false" ht="12.75" hidden="false" customHeight="false" outlineLevel="1" collapsed="false"/>
    <row r="1228" customFormat="false" ht="12.75" hidden="false" customHeight="false" outlineLevel="1" collapsed="false"/>
    <row r="1229" customFormat="false" ht="12.75" hidden="false" customHeight="false" outlineLevel="1" collapsed="false"/>
    <row r="1230" customFormat="false" ht="12.75" hidden="false" customHeight="false" outlineLevel="1" collapsed="false"/>
    <row r="1231" customFormat="false" ht="12.75" hidden="false" customHeight="false" outlineLevel="1" collapsed="false"/>
    <row r="1232" customFormat="false" ht="12.75" hidden="false" customHeight="false" outlineLevel="1" collapsed="false"/>
    <row r="1233" customFormat="false" ht="12.75" hidden="false" customHeight="false" outlineLevel="1" collapsed="false"/>
    <row r="1234" customFormat="false" ht="12.75" hidden="false" customHeight="false" outlineLevel="1" collapsed="false"/>
    <row r="1235" customFormat="false" ht="12.75" hidden="false" customHeight="false" outlineLevel="1" collapsed="false"/>
    <row r="1236" customFormat="false" ht="12.75" hidden="false" customHeight="false" outlineLevel="1" collapsed="false"/>
    <row r="1237" customFormat="false" ht="12.75" hidden="false" customHeight="false" outlineLevel="1" collapsed="false"/>
    <row r="1238" customFormat="false" ht="12.75" hidden="false" customHeight="false" outlineLevel="1" collapsed="false"/>
    <row r="1239" customFormat="false" ht="12.75" hidden="false" customHeight="false" outlineLevel="1" collapsed="false"/>
    <row r="1240" customFormat="false" ht="12.75" hidden="false" customHeight="false" outlineLevel="1" collapsed="false"/>
    <row r="1241" customFormat="false" ht="12.75" hidden="false" customHeight="false" outlineLevel="1" collapsed="false"/>
    <row r="1242" customFormat="false" ht="12.75" hidden="false" customHeight="false" outlineLevel="1" collapsed="false"/>
    <row r="1243" customFormat="false" ht="12.75" hidden="false" customHeight="false" outlineLevel="1" collapsed="false"/>
    <row r="1244" customFormat="false" ht="12.75" hidden="false" customHeight="false" outlineLevel="1" collapsed="false"/>
    <row r="1245" customFormat="false" ht="12.75" hidden="false" customHeight="false" outlineLevel="1" collapsed="false"/>
    <row r="1246" customFormat="false" ht="12.75" hidden="false" customHeight="false" outlineLevel="1" collapsed="false"/>
    <row r="1247" customFormat="false" ht="12.75" hidden="false" customHeight="false" outlineLevel="1" collapsed="false"/>
    <row r="1248" customFormat="false" ht="12.75" hidden="false" customHeight="false" outlineLevel="1" collapsed="false"/>
    <row r="1249" customFormat="false" ht="12.75" hidden="false" customHeight="false" outlineLevel="1" collapsed="false"/>
    <row r="1250" customFormat="false" ht="12.75" hidden="false" customHeight="false" outlineLevel="1" collapsed="false"/>
    <row r="1251" customFormat="false" ht="12.75" hidden="false" customHeight="false" outlineLevel="1" collapsed="false"/>
    <row r="1252" customFormat="false" ht="12.75" hidden="false" customHeight="false" outlineLevel="1" collapsed="false"/>
    <row r="1253" customFormat="false" ht="12.75" hidden="false" customHeight="false" outlineLevel="1" collapsed="false"/>
    <row r="1254" customFormat="false" ht="12.75" hidden="false" customHeight="false" outlineLevel="1" collapsed="false"/>
    <row r="1255" customFormat="false" ht="12.75" hidden="false" customHeight="false" outlineLevel="1" collapsed="false"/>
    <row r="1256" customFormat="false" ht="12.75" hidden="false" customHeight="false" outlineLevel="1" collapsed="false"/>
    <row r="1257" customFormat="false" ht="12.75" hidden="false" customHeight="false" outlineLevel="1" collapsed="false"/>
    <row r="1258" customFormat="false" ht="12.75" hidden="false" customHeight="false" outlineLevel="1" collapsed="false"/>
    <row r="1259" customFormat="false" ht="12.75" hidden="false" customHeight="false" outlineLevel="1" collapsed="false"/>
    <row r="1260" customFormat="false" ht="12.75" hidden="false" customHeight="false" outlineLevel="1" collapsed="false"/>
    <row r="1261" customFormat="false" ht="12.75" hidden="false" customHeight="false" outlineLevel="1" collapsed="false"/>
    <row r="1262" customFormat="false" ht="12.75" hidden="false" customHeight="false" outlineLevel="1" collapsed="false"/>
    <row r="1263" customFormat="false" ht="12.75" hidden="false" customHeight="false" outlineLevel="1" collapsed="false"/>
    <row r="1264" customFormat="false" ht="12.75" hidden="false" customHeight="false" outlineLevel="1" collapsed="false"/>
    <row r="1265" customFormat="false" ht="12.75" hidden="false" customHeight="false" outlineLevel="1" collapsed="false"/>
    <row r="1266" customFormat="false" ht="12.75" hidden="false" customHeight="false" outlineLevel="1" collapsed="false"/>
    <row r="1267" customFormat="false" ht="12.75" hidden="false" customHeight="false" outlineLevel="1" collapsed="false"/>
    <row r="1268" customFormat="false" ht="12.75" hidden="false" customHeight="false" outlineLevel="1" collapsed="false"/>
    <row r="1269" customFormat="false" ht="12.75" hidden="false" customHeight="false" outlineLevel="1" collapsed="false"/>
    <row r="1270" customFormat="false" ht="12.75" hidden="false" customHeight="false" outlineLevel="1" collapsed="false"/>
    <row r="1271" customFormat="false" ht="12.75" hidden="false" customHeight="false" outlineLevel="1" collapsed="false"/>
    <row r="1272" customFormat="false" ht="12.75" hidden="false" customHeight="false" outlineLevel="1" collapsed="false"/>
    <row r="1273" customFormat="false" ht="12.75" hidden="false" customHeight="false" outlineLevel="1" collapsed="false"/>
    <row r="1274" customFormat="false" ht="12.75" hidden="false" customHeight="false" outlineLevel="1" collapsed="false"/>
    <row r="1275" customFormat="false" ht="12.75" hidden="false" customHeight="false" outlineLevel="1" collapsed="false"/>
    <row r="1276" customFormat="false" ht="12.75" hidden="false" customHeight="false" outlineLevel="1" collapsed="false"/>
    <row r="1277" customFormat="false" ht="12.75" hidden="false" customHeight="false" outlineLevel="1" collapsed="false"/>
    <row r="1278" customFormat="false" ht="12.75" hidden="false" customHeight="false" outlineLevel="1" collapsed="false"/>
    <row r="1279" customFormat="false" ht="12.75" hidden="false" customHeight="false" outlineLevel="1" collapsed="false"/>
    <row r="1280" customFormat="false" ht="12.75" hidden="false" customHeight="false" outlineLevel="1" collapsed="false"/>
    <row r="1281" customFormat="false" ht="12.75" hidden="false" customHeight="false" outlineLevel="1" collapsed="false"/>
    <row r="1282" customFormat="false" ht="12.75" hidden="false" customHeight="false" outlineLevel="1" collapsed="false"/>
    <row r="1283" customFormat="false" ht="12.75" hidden="false" customHeight="false" outlineLevel="1" collapsed="false"/>
    <row r="1284" customFormat="false" ht="12.75" hidden="false" customHeight="false" outlineLevel="1" collapsed="false"/>
    <row r="1285" customFormat="false" ht="12.75" hidden="false" customHeight="false" outlineLevel="1" collapsed="false"/>
    <row r="1286" customFormat="false" ht="12.75" hidden="false" customHeight="false" outlineLevel="1" collapsed="false"/>
    <row r="1287" customFormat="false" ht="12.75" hidden="false" customHeight="false" outlineLevel="1" collapsed="false"/>
    <row r="1288" customFormat="false" ht="12.75" hidden="false" customHeight="false" outlineLevel="1" collapsed="false"/>
    <row r="1289" customFormat="false" ht="12.75" hidden="false" customHeight="false" outlineLevel="1" collapsed="false"/>
    <row r="1290" customFormat="false" ht="12.75" hidden="false" customHeight="false" outlineLevel="1" collapsed="false"/>
    <row r="1291" customFormat="false" ht="12.75" hidden="false" customHeight="false" outlineLevel="1" collapsed="false"/>
    <row r="1292" customFormat="false" ht="12.75" hidden="false" customHeight="false" outlineLevel="1" collapsed="false"/>
    <row r="1293" customFormat="false" ht="12.75" hidden="false" customHeight="false" outlineLevel="1" collapsed="false"/>
    <row r="1294" customFormat="false" ht="12.75" hidden="false" customHeight="false" outlineLevel="1" collapsed="false"/>
    <row r="1295" customFormat="false" ht="12.75" hidden="false" customHeight="false" outlineLevel="1" collapsed="false"/>
    <row r="1296" customFormat="false" ht="12.75" hidden="false" customHeight="false" outlineLevel="1" collapsed="false"/>
    <row r="1297" customFormat="false" ht="12.75" hidden="false" customHeight="false" outlineLevel="1" collapsed="false"/>
    <row r="1298" customFormat="false" ht="12.75" hidden="false" customHeight="false" outlineLevel="1" collapsed="false"/>
    <row r="1299" customFormat="false" ht="12.75" hidden="false" customHeight="false" outlineLevel="1" collapsed="false"/>
    <row r="1300" customFormat="false" ht="12.75" hidden="false" customHeight="false" outlineLevel="1" collapsed="false"/>
    <row r="1301" customFormat="false" ht="12.75" hidden="false" customHeight="false" outlineLevel="1" collapsed="false"/>
    <row r="1302" customFormat="false" ht="12.75" hidden="false" customHeight="false" outlineLevel="1" collapsed="false"/>
    <row r="1303" customFormat="false" ht="12.75" hidden="false" customHeight="false" outlineLevel="1" collapsed="false"/>
    <row r="1304" customFormat="false" ht="12.75" hidden="false" customHeight="false" outlineLevel="1" collapsed="false"/>
    <row r="1305" customFormat="false" ht="12.75" hidden="false" customHeight="false" outlineLevel="1" collapsed="false"/>
    <row r="1306" customFormat="false" ht="12.75" hidden="false" customHeight="false" outlineLevel="1" collapsed="false"/>
    <row r="1307" customFormat="false" ht="12.75" hidden="false" customHeight="false" outlineLevel="1" collapsed="false"/>
    <row r="1308" customFormat="false" ht="12.75" hidden="false" customHeight="false" outlineLevel="1" collapsed="false"/>
    <row r="1309" customFormat="false" ht="12.75" hidden="false" customHeight="false" outlineLevel="1" collapsed="false"/>
    <row r="1310" customFormat="false" ht="12.75" hidden="false" customHeight="false" outlineLevel="1" collapsed="false"/>
    <row r="1311" customFormat="false" ht="12.75" hidden="false" customHeight="false" outlineLevel="1" collapsed="false"/>
    <row r="1312" customFormat="false" ht="12.75" hidden="false" customHeight="false" outlineLevel="1" collapsed="false"/>
    <row r="1313" customFormat="false" ht="12.75" hidden="false" customHeight="false" outlineLevel="1" collapsed="false"/>
    <row r="1314" customFormat="false" ht="12.75" hidden="false" customHeight="false" outlineLevel="1" collapsed="false"/>
    <row r="1315" customFormat="false" ht="12.75" hidden="false" customHeight="false" outlineLevel="1" collapsed="false"/>
    <row r="1316" customFormat="false" ht="12.75" hidden="false" customHeight="false" outlineLevel="1" collapsed="false"/>
    <row r="1317" customFormat="false" ht="12.75" hidden="false" customHeight="false" outlineLevel="1" collapsed="false"/>
    <row r="1318" customFormat="false" ht="12.75" hidden="false" customHeight="false" outlineLevel="1" collapsed="false"/>
    <row r="1319" customFormat="false" ht="12.75" hidden="false" customHeight="false" outlineLevel="1" collapsed="false"/>
    <row r="1320" customFormat="false" ht="12.75" hidden="false" customHeight="false" outlineLevel="1" collapsed="false"/>
    <row r="1321" customFormat="false" ht="12.75" hidden="false" customHeight="false" outlineLevel="1" collapsed="false"/>
    <row r="1322" customFormat="false" ht="12.75" hidden="false" customHeight="false" outlineLevel="1" collapsed="false"/>
    <row r="1323" customFormat="false" ht="12.75" hidden="false" customHeight="false" outlineLevel="1" collapsed="false"/>
    <row r="1324" customFormat="false" ht="12.75" hidden="false" customHeight="false" outlineLevel="1" collapsed="false"/>
    <row r="1325" customFormat="false" ht="12.75" hidden="false" customHeight="false" outlineLevel="1" collapsed="false"/>
    <row r="1326" customFormat="false" ht="12.75" hidden="false" customHeight="false" outlineLevel="1" collapsed="false"/>
    <row r="1327" customFormat="false" ht="12.75" hidden="false" customHeight="false" outlineLevel="1" collapsed="false"/>
    <row r="1328" customFormat="false" ht="12.75" hidden="false" customHeight="false" outlineLevel="1" collapsed="false"/>
    <row r="1329" customFormat="false" ht="12.75" hidden="false" customHeight="false" outlineLevel="1" collapsed="false"/>
    <row r="1330" customFormat="false" ht="12.75" hidden="false" customHeight="false" outlineLevel="1" collapsed="false"/>
    <row r="1331" customFormat="false" ht="12.75" hidden="false" customHeight="false" outlineLevel="1" collapsed="false"/>
    <row r="1332" customFormat="false" ht="12.75" hidden="false" customHeight="false" outlineLevel="1" collapsed="false"/>
    <row r="1333" customFormat="false" ht="12.75" hidden="false" customHeight="false" outlineLevel="1" collapsed="false"/>
    <row r="1334" customFormat="false" ht="12.75" hidden="false" customHeight="false" outlineLevel="1" collapsed="false"/>
    <row r="1335" customFormat="false" ht="12.75" hidden="false" customHeight="false" outlineLevel="1" collapsed="false"/>
    <row r="1336" customFormat="false" ht="12.75" hidden="false" customHeight="false" outlineLevel="1" collapsed="false"/>
    <row r="1337" customFormat="false" ht="12.75" hidden="false" customHeight="false" outlineLevel="1" collapsed="false"/>
    <row r="1338" customFormat="false" ht="12.75" hidden="false" customHeight="false" outlineLevel="1" collapsed="false"/>
    <row r="1339" customFormat="false" ht="12.75" hidden="false" customHeight="false" outlineLevel="1" collapsed="false"/>
    <row r="1340" customFormat="false" ht="12.75" hidden="false" customHeight="false" outlineLevel="1" collapsed="false"/>
    <row r="1341" customFormat="false" ht="12.75" hidden="false" customHeight="false" outlineLevel="1" collapsed="false"/>
    <row r="1342" customFormat="false" ht="12.75" hidden="false" customHeight="false" outlineLevel="1" collapsed="false"/>
    <row r="1343" customFormat="false" ht="12.75" hidden="false" customHeight="false" outlineLevel="1" collapsed="false"/>
    <row r="1344" customFormat="false" ht="12.75" hidden="false" customHeight="false" outlineLevel="1" collapsed="false"/>
    <row r="1345" customFormat="false" ht="12.75" hidden="false" customHeight="false" outlineLevel="1" collapsed="false"/>
    <row r="1346" customFormat="false" ht="12.75" hidden="false" customHeight="false" outlineLevel="1" collapsed="false"/>
    <row r="1347" customFormat="false" ht="12.75" hidden="false" customHeight="false" outlineLevel="1" collapsed="false"/>
    <row r="1348" customFormat="false" ht="12.75" hidden="false" customHeight="false" outlineLevel="1" collapsed="false"/>
    <row r="1349" customFormat="false" ht="12.75" hidden="false" customHeight="false" outlineLevel="1" collapsed="false"/>
    <row r="1350" customFormat="false" ht="12.75" hidden="false" customHeight="false" outlineLevel="1" collapsed="false"/>
    <row r="1351" customFormat="false" ht="12.75" hidden="false" customHeight="false" outlineLevel="1" collapsed="false"/>
    <row r="1352" customFormat="false" ht="12.75" hidden="false" customHeight="false" outlineLevel="1" collapsed="false"/>
    <row r="1353" customFormat="false" ht="12.75" hidden="false" customHeight="false" outlineLevel="1" collapsed="false"/>
    <row r="1354" customFormat="false" ht="12.75" hidden="false" customHeight="false" outlineLevel="1" collapsed="false"/>
    <row r="1355" customFormat="false" ht="12.75" hidden="false" customHeight="false" outlineLevel="1" collapsed="false"/>
    <row r="1356" customFormat="false" ht="12.75" hidden="false" customHeight="false" outlineLevel="1" collapsed="false"/>
    <row r="1357" customFormat="false" ht="12.75" hidden="false" customHeight="false" outlineLevel="1" collapsed="false"/>
    <row r="1358" customFormat="false" ht="12.75" hidden="false" customHeight="false" outlineLevel="1" collapsed="false"/>
    <row r="1359" customFormat="false" ht="12.75" hidden="false" customHeight="false" outlineLevel="1" collapsed="false"/>
    <row r="1360" customFormat="false" ht="12.75" hidden="false" customHeight="false" outlineLevel="1" collapsed="false"/>
    <row r="1361" customFormat="false" ht="12.75" hidden="false" customHeight="false" outlineLevel="1" collapsed="false"/>
    <row r="1362" customFormat="false" ht="12.75" hidden="false" customHeight="false" outlineLevel="1" collapsed="false"/>
    <row r="1363" customFormat="false" ht="12.75" hidden="false" customHeight="false" outlineLevel="1" collapsed="false"/>
    <row r="1364" customFormat="false" ht="12.75" hidden="false" customHeight="false" outlineLevel="1" collapsed="false"/>
    <row r="1365" customFormat="false" ht="12.75" hidden="false" customHeight="false" outlineLevel="1" collapsed="false"/>
    <row r="1366" customFormat="false" ht="12.75" hidden="false" customHeight="false" outlineLevel="1" collapsed="false"/>
    <row r="1367" customFormat="false" ht="12.75" hidden="false" customHeight="false" outlineLevel="1" collapsed="false"/>
    <row r="1368" customFormat="false" ht="12.75" hidden="false" customHeight="false" outlineLevel="1" collapsed="false"/>
    <row r="1369" customFormat="false" ht="12.75" hidden="false" customHeight="false" outlineLevel="1" collapsed="false"/>
    <row r="1370" customFormat="false" ht="12.75" hidden="false" customHeight="false" outlineLevel="1" collapsed="false"/>
    <row r="1371" customFormat="false" ht="12.75" hidden="false" customHeight="false" outlineLevel="1" collapsed="false"/>
    <row r="1372" customFormat="false" ht="12.75" hidden="false" customHeight="false" outlineLevel="1" collapsed="false"/>
    <row r="1373" customFormat="false" ht="12.75" hidden="false" customHeight="false" outlineLevel="1" collapsed="false"/>
    <row r="1374" customFormat="false" ht="12.75" hidden="false" customHeight="false" outlineLevel="1" collapsed="false"/>
    <row r="1375" customFormat="false" ht="12.75" hidden="false" customHeight="false" outlineLevel="1" collapsed="false"/>
    <row r="1376" customFormat="false" ht="12.75" hidden="false" customHeight="false" outlineLevel="1" collapsed="false"/>
    <row r="1377" customFormat="false" ht="12.75" hidden="false" customHeight="false" outlineLevel="1" collapsed="false"/>
    <row r="1378" customFormat="false" ht="12.75" hidden="false" customHeight="false" outlineLevel="1" collapsed="false"/>
    <row r="1379" customFormat="false" ht="12.75" hidden="false" customHeight="false" outlineLevel="1" collapsed="false"/>
    <row r="1380" customFormat="false" ht="12.75" hidden="false" customHeight="false" outlineLevel="1" collapsed="false"/>
    <row r="1381" customFormat="false" ht="12.75" hidden="false" customHeight="false" outlineLevel="1" collapsed="false"/>
    <row r="1382" customFormat="false" ht="12.75" hidden="false" customHeight="false" outlineLevel="1" collapsed="false"/>
    <row r="1383" customFormat="false" ht="12.75" hidden="false" customHeight="false" outlineLevel="1" collapsed="false"/>
    <row r="1384" customFormat="false" ht="12.75" hidden="false" customHeight="false" outlineLevel="1" collapsed="false"/>
    <row r="1385" customFormat="false" ht="12.75" hidden="false" customHeight="false" outlineLevel="1" collapsed="false"/>
    <row r="1386" customFormat="false" ht="12.75" hidden="false" customHeight="false" outlineLevel="1" collapsed="false"/>
    <row r="1387" customFormat="false" ht="12.75" hidden="false" customHeight="false" outlineLevel="1" collapsed="false"/>
    <row r="1388" customFormat="false" ht="12.75" hidden="false" customHeight="false" outlineLevel="1" collapsed="false"/>
    <row r="1389" customFormat="false" ht="12.75" hidden="false" customHeight="false" outlineLevel="1" collapsed="false"/>
    <row r="1390" customFormat="false" ht="12.75" hidden="false" customHeight="false" outlineLevel="1" collapsed="false"/>
    <row r="1391" customFormat="false" ht="12.75" hidden="false" customHeight="false" outlineLevel="1" collapsed="false"/>
    <row r="1392" customFormat="false" ht="12.75" hidden="false" customHeight="false" outlineLevel="1" collapsed="false"/>
    <row r="1393" customFormat="false" ht="12.75" hidden="false" customHeight="false" outlineLevel="1" collapsed="false"/>
    <row r="1394" customFormat="false" ht="12.75" hidden="false" customHeight="false" outlineLevel="1" collapsed="false"/>
    <row r="1395" customFormat="false" ht="12.75" hidden="false" customHeight="false" outlineLevel="1" collapsed="false"/>
    <row r="1396" customFormat="false" ht="12.75" hidden="false" customHeight="false" outlineLevel="1" collapsed="false"/>
    <row r="1397" customFormat="false" ht="12.75" hidden="false" customHeight="false" outlineLevel="1" collapsed="false"/>
    <row r="1398" customFormat="false" ht="12.75" hidden="false" customHeight="false" outlineLevel="1" collapsed="false"/>
    <row r="1399" customFormat="false" ht="12.75" hidden="false" customHeight="false" outlineLevel="1" collapsed="false"/>
    <row r="1400" customFormat="false" ht="12.75" hidden="false" customHeight="false" outlineLevel="1" collapsed="false"/>
    <row r="1401" customFormat="false" ht="12.75" hidden="false" customHeight="false" outlineLevel="1" collapsed="false"/>
    <row r="1402" customFormat="false" ht="12.75" hidden="false" customHeight="false" outlineLevel="1" collapsed="false"/>
    <row r="1403" customFormat="false" ht="12.75" hidden="false" customHeight="false" outlineLevel="1" collapsed="false"/>
    <row r="1404" customFormat="false" ht="12.75" hidden="false" customHeight="false" outlineLevel="1" collapsed="false"/>
    <row r="1405" customFormat="false" ht="12.75" hidden="false" customHeight="false" outlineLevel="1" collapsed="false"/>
    <row r="1406" customFormat="false" ht="12.75" hidden="false" customHeight="false" outlineLevel="1" collapsed="false"/>
    <row r="1407" customFormat="false" ht="12.75" hidden="false" customHeight="false" outlineLevel="1" collapsed="false"/>
    <row r="1408" customFormat="false" ht="12.75" hidden="false" customHeight="false" outlineLevel="1" collapsed="false"/>
    <row r="1409" customFormat="false" ht="12.75" hidden="false" customHeight="false" outlineLevel="1" collapsed="false"/>
    <row r="1410" customFormat="false" ht="12.75" hidden="false" customHeight="false" outlineLevel="1" collapsed="false"/>
    <row r="1411" customFormat="false" ht="12.75" hidden="false" customHeight="false" outlineLevel="1" collapsed="false"/>
    <row r="1412" customFormat="false" ht="12.75" hidden="false" customHeight="false" outlineLevel="1" collapsed="false"/>
    <row r="1413" customFormat="false" ht="12.75" hidden="false" customHeight="false" outlineLevel="1" collapsed="false"/>
    <row r="1414" customFormat="false" ht="12.75" hidden="false" customHeight="false" outlineLevel="1" collapsed="false"/>
    <row r="1415" customFormat="false" ht="12.75" hidden="false" customHeight="false" outlineLevel="1" collapsed="false"/>
    <row r="1416" customFormat="false" ht="12.75" hidden="false" customHeight="false" outlineLevel="1" collapsed="false"/>
    <row r="1417" customFormat="false" ht="12.75" hidden="false" customHeight="false" outlineLevel="1" collapsed="false"/>
    <row r="1418" customFormat="false" ht="12.75" hidden="false" customHeight="false" outlineLevel="1" collapsed="false"/>
    <row r="1419" customFormat="false" ht="12.75" hidden="false" customHeight="false" outlineLevel="1" collapsed="false"/>
    <row r="1420" customFormat="false" ht="12.75" hidden="false" customHeight="false" outlineLevel="1" collapsed="false"/>
    <row r="1421" customFormat="false" ht="12.75" hidden="false" customHeight="false" outlineLevel="1" collapsed="false"/>
    <row r="1422" customFormat="false" ht="12.75" hidden="false" customHeight="false" outlineLevel="1" collapsed="false"/>
    <row r="1423" customFormat="false" ht="12.75" hidden="false" customHeight="false" outlineLevel="1" collapsed="false"/>
    <row r="1424" customFormat="false" ht="12.75" hidden="false" customHeight="false" outlineLevel="1" collapsed="false"/>
    <row r="1425" customFormat="false" ht="12.75" hidden="false" customHeight="false" outlineLevel="1" collapsed="false"/>
    <row r="1426" customFormat="false" ht="12.75" hidden="false" customHeight="false" outlineLevel="1" collapsed="false"/>
    <row r="1427" customFormat="false" ht="12.75" hidden="false" customHeight="false" outlineLevel="1" collapsed="false"/>
    <row r="1428" customFormat="false" ht="12.75" hidden="false" customHeight="false" outlineLevel="1" collapsed="false"/>
    <row r="1429" customFormat="false" ht="12.75" hidden="false" customHeight="false" outlineLevel="1" collapsed="false"/>
    <row r="1430" customFormat="false" ht="12.75" hidden="false" customHeight="false" outlineLevel="1" collapsed="false"/>
    <row r="1431" customFormat="false" ht="12.75" hidden="false" customHeight="false" outlineLevel="1" collapsed="false"/>
    <row r="1432" customFormat="false" ht="12.75" hidden="false" customHeight="false" outlineLevel="1" collapsed="false"/>
    <row r="1433" customFormat="false" ht="12.75" hidden="false" customHeight="false" outlineLevel="1" collapsed="false"/>
    <row r="1434" customFormat="false" ht="12.75" hidden="false" customHeight="false" outlineLevel="1" collapsed="false"/>
    <row r="1435" customFormat="false" ht="12.75" hidden="false" customHeight="false" outlineLevel="1" collapsed="false"/>
    <row r="1436" customFormat="false" ht="12.75" hidden="false" customHeight="false" outlineLevel="1" collapsed="false"/>
    <row r="1437" customFormat="false" ht="12.75" hidden="false" customHeight="false" outlineLevel="1" collapsed="false"/>
    <row r="1438" customFormat="false" ht="12.75" hidden="false" customHeight="false" outlineLevel="1" collapsed="false"/>
    <row r="1439" customFormat="false" ht="12.75" hidden="false" customHeight="false" outlineLevel="1" collapsed="false"/>
    <row r="1440" customFormat="false" ht="12.75" hidden="false" customHeight="false" outlineLevel="1" collapsed="false"/>
    <row r="1441" customFormat="false" ht="12.75" hidden="false" customHeight="false" outlineLevel="1" collapsed="false"/>
    <row r="1442" customFormat="false" ht="12.75" hidden="false" customHeight="false" outlineLevel="1" collapsed="false"/>
    <row r="1443" customFormat="false" ht="12.75" hidden="false" customHeight="false" outlineLevel="1" collapsed="false"/>
    <row r="1444" customFormat="false" ht="12.75" hidden="false" customHeight="false" outlineLevel="1" collapsed="false"/>
    <row r="1445" customFormat="false" ht="12.75" hidden="false" customHeight="false" outlineLevel="1" collapsed="false"/>
    <row r="1446" customFormat="false" ht="12.75" hidden="false" customHeight="false" outlineLevel="1" collapsed="false"/>
    <row r="1447" customFormat="false" ht="12.75" hidden="false" customHeight="false" outlineLevel="1" collapsed="false"/>
    <row r="1448" customFormat="false" ht="12.75" hidden="false" customHeight="false" outlineLevel="1" collapsed="false"/>
    <row r="1449" customFormat="false" ht="12.75" hidden="false" customHeight="false" outlineLevel="1" collapsed="false"/>
    <row r="1450" customFormat="false" ht="12.75" hidden="false" customHeight="false" outlineLevel="1" collapsed="false"/>
    <row r="1451" customFormat="false" ht="12.75" hidden="false" customHeight="false" outlineLevel="1" collapsed="false"/>
    <row r="1452" customFormat="false" ht="12.75" hidden="false" customHeight="false" outlineLevel="1" collapsed="false"/>
    <row r="1453" customFormat="false" ht="12.75" hidden="false" customHeight="false" outlineLevel="1" collapsed="false"/>
    <row r="1454" customFormat="false" ht="12.75" hidden="false" customHeight="false" outlineLevel="1" collapsed="false"/>
    <row r="1455" customFormat="false" ht="12.75" hidden="false" customHeight="false" outlineLevel="1" collapsed="false"/>
    <row r="1456" customFormat="false" ht="12.75" hidden="false" customHeight="false" outlineLevel="1" collapsed="false"/>
    <row r="1457" customFormat="false" ht="12.75" hidden="false" customHeight="false" outlineLevel="1" collapsed="false"/>
    <row r="1458" customFormat="false" ht="12.75" hidden="false" customHeight="false" outlineLevel="1" collapsed="false"/>
    <row r="1459" customFormat="false" ht="12.75" hidden="false" customHeight="false" outlineLevel="1" collapsed="false"/>
    <row r="1460" customFormat="false" ht="12.75" hidden="false" customHeight="false" outlineLevel="1" collapsed="false"/>
    <row r="1461" customFormat="false" ht="12.75" hidden="false" customHeight="false" outlineLevel="1" collapsed="false"/>
    <row r="1462" customFormat="false" ht="12.75" hidden="false" customHeight="false" outlineLevel="1" collapsed="false"/>
    <row r="1463" customFormat="false" ht="12.75" hidden="false" customHeight="false" outlineLevel="1" collapsed="false"/>
    <row r="1464" customFormat="false" ht="12.75" hidden="false" customHeight="false" outlineLevel="1" collapsed="false"/>
    <row r="1465" customFormat="false" ht="12.75" hidden="false" customHeight="false" outlineLevel="1" collapsed="false"/>
    <row r="1466" customFormat="false" ht="12.75" hidden="false" customHeight="false" outlineLevel="1" collapsed="false"/>
    <row r="1467" customFormat="false" ht="12.75" hidden="false" customHeight="false" outlineLevel="1" collapsed="false"/>
    <row r="1468" customFormat="false" ht="12.75" hidden="false" customHeight="false" outlineLevel="1" collapsed="false"/>
    <row r="1469" customFormat="false" ht="12.75" hidden="false" customHeight="false" outlineLevel="1" collapsed="false"/>
    <row r="1470" customFormat="false" ht="12.75" hidden="false" customHeight="false" outlineLevel="1" collapsed="false"/>
    <row r="1471" customFormat="false" ht="12.75" hidden="false" customHeight="false" outlineLevel="1" collapsed="false"/>
    <row r="1472" customFormat="false" ht="12.75" hidden="false" customHeight="false" outlineLevel="1" collapsed="false"/>
    <row r="1473" customFormat="false" ht="12.75" hidden="false" customHeight="false" outlineLevel="1" collapsed="false"/>
    <row r="1474" customFormat="false" ht="12.75" hidden="false" customHeight="false" outlineLevel="1" collapsed="false"/>
    <row r="1475" customFormat="false" ht="12.75" hidden="false" customHeight="false" outlineLevel="1" collapsed="false"/>
    <row r="1476" customFormat="false" ht="12.75" hidden="false" customHeight="false" outlineLevel="1" collapsed="false"/>
    <row r="1477" customFormat="false" ht="12.75" hidden="false" customHeight="false" outlineLevel="1" collapsed="false"/>
    <row r="1478" customFormat="false" ht="12.75" hidden="false" customHeight="false" outlineLevel="1" collapsed="false"/>
    <row r="1479" customFormat="false" ht="12.75" hidden="false" customHeight="false" outlineLevel="1" collapsed="false"/>
    <row r="1480" customFormat="false" ht="12.75" hidden="false" customHeight="false" outlineLevel="1" collapsed="false"/>
    <row r="1481" customFormat="false" ht="12.75" hidden="false" customHeight="false" outlineLevel="1" collapsed="false"/>
    <row r="1482" customFormat="false" ht="12.75" hidden="false" customHeight="false" outlineLevel="1" collapsed="false"/>
    <row r="1483" customFormat="false" ht="12.75" hidden="false" customHeight="false" outlineLevel="1" collapsed="false"/>
    <row r="1484" customFormat="false" ht="12.75" hidden="false" customHeight="false" outlineLevel="1" collapsed="false"/>
    <row r="1485" customFormat="false" ht="12.75" hidden="false" customHeight="false" outlineLevel="1" collapsed="false"/>
    <row r="1486" customFormat="false" ht="12.75" hidden="false" customHeight="false" outlineLevel="1" collapsed="false"/>
    <row r="1487" customFormat="false" ht="12.75" hidden="false" customHeight="false" outlineLevel="1" collapsed="false"/>
    <row r="1488" customFormat="false" ht="12.75" hidden="false" customHeight="false" outlineLevel="1" collapsed="false"/>
    <row r="1489" customFormat="false" ht="12.75" hidden="false" customHeight="false" outlineLevel="1" collapsed="false"/>
    <row r="1490" customFormat="false" ht="12.75" hidden="false" customHeight="false" outlineLevel="1" collapsed="false"/>
    <row r="1491" customFormat="false" ht="12.75" hidden="false" customHeight="false" outlineLevel="1" collapsed="false"/>
    <row r="1492" customFormat="false" ht="12.75" hidden="false" customHeight="false" outlineLevel="1" collapsed="false"/>
    <row r="1493" customFormat="false" ht="12.75" hidden="false" customHeight="false" outlineLevel="1" collapsed="false"/>
    <row r="1494" customFormat="false" ht="12.75" hidden="false" customHeight="false" outlineLevel="1" collapsed="false"/>
    <row r="1495" customFormat="false" ht="12.75" hidden="false" customHeight="false" outlineLevel="1" collapsed="false"/>
    <row r="1496" customFormat="false" ht="12.75" hidden="false" customHeight="false" outlineLevel="1" collapsed="false"/>
    <row r="1497" customFormat="false" ht="12.75" hidden="false" customHeight="false" outlineLevel="1" collapsed="false"/>
    <row r="1498" customFormat="false" ht="12.75" hidden="false" customHeight="false" outlineLevel="1" collapsed="false"/>
    <row r="1499" customFormat="false" ht="12.75" hidden="false" customHeight="false" outlineLevel="1" collapsed="false"/>
    <row r="1500" customFormat="false" ht="12.75" hidden="false" customHeight="false" outlineLevel="1" collapsed="false"/>
    <row r="1501" customFormat="false" ht="12.75" hidden="false" customHeight="false" outlineLevel="1" collapsed="false"/>
    <row r="1502" customFormat="false" ht="12.75" hidden="false" customHeight="false" outlineLevel="1" collapsed="false"/>
    <row r="1503" customFormat="false" ht="12.75" hidden="false" customHeight="false" outlineLevel="1" collapsed="false"/>
    <row r="1504" customFormat="false" ht="12.75" hidden="false" customHeight="false" outlineLevel="1" collapsed="false"/>
    <row r="1505" customFormat="false" ht="12.75" hidden="false" customHeight="false" outlineLevel="1" collapsed="false"/>
    <row r="1506" customFormat="false" ht="12.75" hidden="false" customHeight="false" outlineLevel="1" collapsed="false"/>
    <row r="1507" customFormat="false" ht="12.75" hidden="false" customHeight="false" outlineLevel="1" collapsed="false"/>
    <row r="1508" customFormat="false" ht="12.75" hidden="false" customHeight="false" outlineLevel="1" collapsed="false"/>
    <row r="1509" customFormat="false" ht="12.75" hidden="false" customHeight="false" outlineLevel="1" collapsed="false"/>
    <row r="1510" customFormat="false" ht="12.75" hidden="false" customHeight="false" outlineLevel="1" collapsed="false"/>
    <row r="1511" customFormat="false" ht="12.75" hidden="false" customHeight="false" outlineLevel="1" collapsed="false"/>
    <row r="1512" customFormat="false" ht="12.75" hidden="false" customHeight="false" outlineLevel="1" collapsed="false"/>
    <row r="1513" customFormat="false" ht="12.75" hidden="false" customHeight="false" outlineLevel="1" collapsed="false"/>
    <row r="1514" customFormat="false" ht="12.75" hidden="false" customHeight="false" outlineLevel="1" collapsed="false"/>
    <row r="1515" customFormat="false" ht="12.75" hidden="false" customHeight="false" outlineLevel="1" collapsed="false"/>
    <row r="1516" customFormat="false" ht="12.75" hidden="false" customHeight="false" outlineLevel="1" collapsed="false"/>
    <row r="1517" customFormat="false" ht="12.75" hidden="false" customHeight="false" outlineLevel="1" collapsed="false"/>
    <row r="1518" customFormat="false" ht="12.75" hidden="false" customHeight="false" outlineLevel="1" collapsed="false"/>
    <row r="1519" customFormat="false" ht="12.75" hidden="false" customHeight="false" outlineLevel="1" collapsed="false"/>
    <row r="1520" customFormat="false" ht="12.75" hidden="false" customHeight="false" outlineLevel="1" collapsed="false"/>
    <row r="1521" customFormat="false" ht="12.75" hidden="false" customHeight="false" outlineLevel="1" collapsed="false"/>
    <row r="1522" customFormat="false" ht="12.75" hidden="false" customHeight="false" outlineLevel="1" collapsed="false"/>
    <row r="1523" customFormat="false" ht="12.75" hidden="false" customHeight="false" outlineLevel="1" collapsed="false"/>
    <row r="1524" customFormat="false" ht="12.75" hidden="false" customHeight="false" outlineLevel="1" collapsed="false"/>
    <row r="1525" customFormat="false" ht="12.75" hidden="false" customHeight="false" outlineLevel="1" collapsed="false"/>
    <row r="1526" customFormat="false" ht="12.75" hidden="false" customHeight="false" outlineLevel="1" collapsed="false"/>
    <row r="1527" customFormat="false" ht="12.75" hidden="false" customHeight="false" outlineLevel="1" collapsed="false"/>
    <row r="1528" customFormat="false" ht="12.75" hidden="false" customHeight="false" outlineLevel="1" collapsed="false"/>
    <row r="1529" customFormat="false" ht="12.75" hidden="false" customHeight="false" outlineLevel="1" collapsed="false"/>
    <row r="1530" customFormat="false" ht="12.75" hidden="false" customHeight="false" outlineLevel="1" collapsed="false"/>
    <row r="1531" customFormat="false" ht="12.75" hidden="false" customHeight="false" outlineLevel="1" collapsed="false"/>
    <row r="1532" customFormat="false" ht="12.75" hidden="false" customHeight="false" outlineLevel="1" collapsed="false"/>
    <row r="1533" customFormat="false" ht="12.75" hidden="false" customHeight="false" outlineLevel="1" collapsed="false"/>
    <row r="1534" customFormat="false" ht="12.75" hidden="false" customHeight="false" outlineLevel="1" collapsed="false"/>
    <row r="1535" customFormat="false" ht="12.75" hidden="false" customHeight="false" outlineLevel="1" collapsed="false"/>
    <row r="1536" customFormat="false" ht="12.75" hidden="false" customHeight="false" outlineLevel="1" collapsed="false"/>
    <row r="1537" customFormat="false" ht="12.75" hidden="false" customHeight="false" outlineLevel="1" collapsed="false"/>
    <row r="1538" customFormat="false" ht="12.75" hidden="false" customHeight="false" outlineLevel="1" collapsed="false"/>
    <row r="1539" customFormat="false" ht="12.75" hidden="false" customHeight="false" outlineLevel="1" collapsed="false"/>
    <row r="1540" customFormat="false" ht="12.75" hidden="false" customHeight="false" outlineLevel="1" collapsed="false"/>
    <row r="1541" customFormat="false" ht="12.75" hidden="false" customHeight="false" outlineLevel="1" collapsed="false"/>
    <row r="1542" customFormat="false" ht="12.75" hidden="false" customHeight="false" outlineLevel="1" collapsed="false"/>
    <row r="1543" customFormat="false" ht="12.75" hidden="false" customHeight="false" outlineLevel="1" collapsed="false"/>
    <row r="1544" customFormat="false" ht="12.75" hidden="false" customHeight="false" outlineLevel="1" collapsed="false"/>
    <row r="1545" customFormat="false" ht="12.75" hidden="false" customHeight="false" outlineLevel="1" collapsed="false"/>
    <row r="1546" customFormat="false" ht="12.75" hidden="false" customHeight="false" outlineLevel="1" collapsed="false"/>
    <row r="1547" customFormat="false" ht="12.75" hidden="false" customHeight="false" outlineLevel="1" collapsed="false"/>
    <row r="1548" customFormat="false" ht="12.75" hidden="false" customHeight="false" outlineLevel="1" collapsed="false"/>
    <row r="1549" customFormat="false" ht="12.75" hidden="false" customHeight="false" outlineLevel="1" collapsed="false"/>
    <row r="1550" customFormat="false" ht="12.75" hidden="false" customHeight="false" outlineLevel="1" collapsed="false"/>
    <row r="1551" customFormat="false" ht="12.75" hidden="false" customHeight="false" outlineLevel="1" collapsed="false"/>
    <row r="1552" customFormat="false" ht="12.75" hidden="false" customHeight="false" outlineLevel="1" collapsed="false"/>
    <row r="1553" customFormat="false" ht="12.75" hidden="false" customHeight="false" outlineLevel="1" collapsed="false"/>
    <row r="1554" customFormat="false" ht="12.75" hidden="false" customHeight="false" outlineLevel="1" collapsed="false"/>
    <row r="1555" customFormat="false" ht="12.75" hidden="false" customHeight="false" outlineLevel="1" collapsed="false"/>
    <row r="1556" customFormat="false" ht="12.75" hidden="false" customHeight="false" outlineLevel="1" collapsed="false"/>
    <row r="1557" customFormat="false" ht="12.75" hidden="false" customHeight="false" outlineLevel="1" collapsed="false"/>
    <row r="1558" customFormat="false" ht="12.75" hidden="false" customHeight="false" outlineLevel="1" collapsed="false"/>
    <row r="1559" customFormat="false" ht="12.75" hidden="false" customHeight="false" outlineLevel="1" collapsed="false"/>
    <row r="1560" customFormat="false" ht="12.75" hidden="false" customHeight="false" outlineLevel="1" collapsed="false"/>
    <row r="1561" customFormat="false" ht="12.75" hidden="false" customHeight="false" outlineLevel="1" collapsed="false"/>
    <row r="1562" customFormat="false" ht="12.75" hidden="false" customHeight="false" outlineLevel="1" collapsed="false"/>
    <row r="1563" customFormat="false" ht="12.75" hidden="false" customHeight="false" outlineLevel="1" collapsed="false"/>
    <row r="1564" customFormat="false" ht="12.75" hidden="false" customHeight="false" outlineLevel="1" collapsed="false"/>
    <row r="1565" customFormat="false" ht="12.75" hidden="false" customHeight="false" outlineLevel="1" collapsed="false"/>
    <row r="1566" customFormat="false" ht="12.75" hidden="false" customHeight="false" outlineLevel="1" collapsed="false"/>
    <row r="1567" customFormat="false" ht="12.75" hidden="false" customHeight="false" outlineLevel="1" collapsed="false"/>
    <row r="1568" customFormat="false" ht="12.75" hidden="false" customHeight="false" outlineLevel="1" collapsed="false"/>
    <row r="1569" customFormat="false" ht="12.75" hidden="false" customHeight="false" outlineLevel="1" collapsed="false"/>
    <row r="1570" customFormat="false" ht="12.75" hidden="false" customHeight="false" outlineLevel="1" collapsed="false"/>
    <row r="1571" customFormat="false" ht="12.75" hidden="false" customHeight="false" outlineLevel="1" collapsed="false"/>
    <row r="1572" customFormat="false" ht="12.75" hidden="false" customHeight="false" outlineLevel="1" collapsed="false"/>
    <row r="1573" customFormat="false" ht="12.75" hidden="false" customHeight="false" outlineLevel="1" collapsed="false"/>
    <row r="1574" customFormat="false" ht="12.75" hidden="false" customHeight="false" outlineLevel="1" collapsed="false"/>
    <row r="1575" customFormat="false" ht="12.75" hidden="false" customHeight="false" outlineLevel="1" collapsed="false"/>
    <row r="1576" customFormat="false" ht="12.75" hidden="false" customHeight="false" outlineLevel="1" collapsed="false"/>
    <row r="1577" customFormat="false" ht="12.75" hidden="false" customHeight="false" outlineLevel="1" collapsed="false"/>
    <row r="1578" customFormat="false" ht="12.75" hidden="false" customHeight="false" outlineLevel="1" collapsed="false"/>
    <row r="1579" customFormat="false" ht="12.75" hidden="false" customHeight="false" outlineLevel="1" collapsed="false"/>
    <row r="1580" customFormat="false" ht="12.75" hidden="false" customHeight="false" outlineLevel="1" collapsed="false"/>
    <row r="1581" customFormat="false" ht="12.75" hidden="false" customHeight="false" outlineLevel="1" collapsed="false"/>
    <row r="1582" customFormat="false" ht="12.75" hidden="false" customHeight="false" outlineLevel="1" collapsed="false"/>
    <row r="1583" customFormat="false" ht="12.75" hidden="false" customHeight="false" outlineLevel="1" collapsed="false"/>
    <row r="1584" customFormat="false" ht="12.75" hidden="false" customHeight="false" outlineLevel="1" collapsed="false"/>
    <row r="1585" customFormat="false" ht="12.75" hidden="false" customHeight="false" outlineLevel="1" collapsed="false"/>
    <row r="1586" customFormat="false" ht="12.75" hidden="false" customHeight="false" outlineLevel="1" collapsed="false"/>
    <row r="1587" customFormat="false" ht="12.75" hidden="false" customHeight="false" outlineLevel="1" collapsed="false"/>
    <row r="1588" customFormat="false" ht="12.75" hidden="false" customHeight="false" outlineLevel="1" collapsed="false"/>
    <row r="1589" customFormat="false" ht="12.75" hidden="false" customHeight="false" outlineLevel="1" collapsed="false"/>
    <row r="1590" customFormat="false" ht="12.75" hidden="false" customHeight="false" outlineLevel="1" collapsed="false"/>
    <row r="1591" customFormat="false" ht="12.75" hidden="false" customHeight="false" outlineLevel="1" collapsed="false"/>
    <row r="1592" customFormat="false" ht="12.75" hidden="false" customHeight="false" outlineLevel="1" collapsed="false"/>
    <row r="1593" customFormat="false" ht="12.75" hidden="false" customHeight="false" outlineLevel="1" collapsed="false"/>
    <row r="1594" customFormat="false" ht="12.75" hidden="false" customHeight="false" outlineLevel="1" collapsed="false"/>
    <row r="1595" customFormat="false" ht="12.75" hidden="false" customHeight="false" outlineLevel="1" collapsed="false"/>
    <row r="1596" customFormat="false" ht="12.75" hidden="false" customHeight="false" outlineLevel="1" collapsed="false"/>
    <row r="1597" customFormat="false" ht="12.75" hidden="false" customHeight="false" outlineLevel="1" collapsed="false"/>
    <row r="1598" customFormat="false" ht="12.75" hidden="false" customHeight="false" outlineLevel="1" collapsed="false"/>
    <row r="1599" customFormat="false" ht="12.75" hidden="false" customHeight="false" outlineLevel="1" collapsed="false"/>
    <row r="1600" customFormat="false" ht="12.75" hidden="false" customHeight="false" outlineLevel="1" collapsed="false"/>
    <row r="1601" customFormat="false" ht="12.75" hidden="false" customHeight="false" outlineLevel="1" collapsed="false"/>
    <row r="1602" customFormat="false" ht="12.75" hidden="false" customHeight="false" outlineLevel="1" collapsed="false"/>
    <row r="1603" customFormat="false" ht="12.75" hidden="false" customHeight="false" outlineLevel="1" collapsed="false"/>
    <row r="1604" customFormat="false" ht="12.75" hidden="false" customHeight="false" outlineLevel="1" collapsed="false"/>
    <row r="1605" customFormat="false" ht="12.75" hidden="false" customHeight="false" outlineLevel="1" collapsed="false"/>
    <row r="1606" customFormat="false" ht="12.75" hidden="false" customHeight="false" outlineLevel="1" collapsed="false"/>
    <row r="1607" customFormat="false" ht="12.75" hidden="false" customHeight="false" outlineLevel="1" collapsed="false"/>
    <row r="1608" customFormat="false" ht="12.75" hidden="false" customHeight="false" outlineLevel="1" collapsed="false"/>
    <row r="1609" customFormat="false" ht="12.75" hidden="false" customHeight="false" outlineLevel="1" collapsed="false"/>
    <row r="1610" customFormat="false" ht="12.75" hidden="false" customHeight="false" outlineLevel="1" collapsed="false"/>
    <row r="1611" customFormat="false" ht="12.75" hidden="false" customHeight="false" outlineLevel="1" collapsed="false"/>
    <row r="1612" customFormat="false" ht="12.75" hidden="false" customHeight="false" outlineLevel="1" collapsed="false"/>
    <row r="1613" customFormat="false" ht="12.75" hidden="false" customHeight="false" outlineLevel="1" collapsed="false"/>
    <row r="1614" customFormat="false" ht="12.75" hidden="false" customHeight="false" outlineLevel="1" collapsed="false"/>
    <row r="1615" customFormat="false" ht="12.75" hidden="false" customHeight="false" outlineLevel="1" collapsed="false"/>
    <row r="1616" customFormat="false" ht="12.75" hidden="false" customHeight="false" outlineLevel="1" collapsed="false"/>
    <row r="1617" customFormat="false" ht="12.75" hidden="false" customHeight="false" outlineLevel="1" collapsed="false"/>
    <row r="1618" customFormat="false" ht="12.75" hidden="false" customHeight="false" outlineLevel="1" collapsed="false"/>
    <row r="1619" customFormat="false" ht="12.75" hidden="false" customHeight="false" outlineLevel="1" collapsed="false"/>
    <row r="1620" customFormat="false" ht="12.75" hidden="false" customHeight="false" outlineLevel="1" collapsed="false"/>
    <row r="1621" customFormat="false" ht="12.75" hidden="false" customHeight="false" outlineLevel="1" collapsed="false"/>
    <row r="1622" customFormat="false" ht="12.75" hidden="false" customHeight="false" outlineLevel="1" collapsed="false"/>
    <row r="1623" customFormat="false" ht="12.75" hidden="false" customHeight="false" outlineLevel="1" collapsed="false"/>
    <row r="1624" customFormat="false" ht="12.75" hidden="false" customHeight="false" outlineLevel="1" collapsed="false"/>
    <row r="1625" customFormat="false" ht="12.75" hidden="false" customHeight="false" outlineLevel="1" collapsed="false"/>
    <row r="1626" customFormat="false" ht="12.75" hidden="false" customHeight="false" outlineLevel="1" collapsed="false"/>
    <row r="1627" customFormat="false" ht="12.75" hidden="false" customHeight="false" outlineLevel="1" collapsed="false"/>
    <row r="1628" customFormat="false" ht="12.75" hidden="false" customHeight="false" outlineLevel="1" collapsed="false"/>
    <row r="1629" customFormat="false" ht="12.75" hidden="false" customHeight="false" outlineLevel="1" collapsed="false"/>
    <row r="1630" customFormat="false" ht="12.75" hidden="false" customHeight="false" outlineLevel="1" collapsed="false"/>
    <row r="1631" customFormat="false" ht="12.75" hidden="false" customHeight="false" outlineLevel="1" collapsed="false"/>
    <row r="1632" customFormat="false" ht="12.75" hidden="false" customHeight="false" outlineLevel="1" collapsed="false"/>
    <row r="1633" customFormat="false" ht="12.75" hidden="false" customHeight="false" outlineLevel="1" collapsed="false"/>
    <row r="1634" customFormat="false" ht="12.75" hidden="false" customHeight="false" outlineLevel="1" collapsed="false"/>
    <row r="1635" customFormat="false" ht="12.75" hidden="false" customHeight="false" outlineLevel="1" collapsed="false"/>
    <row r="1636" customFormat="false" ht="12.75" hidden="false" customHeight="false" outlineLevel="1" collapsed="false"/>
    <row r="1637" customFormat="false" ht="12.75" hidden="false" customHeight="false" outlineLevel="1" collapsed="false"/>
    <row r="1638" customFormat="false" ht="12.75" hidden="false" customHeight="false" outlineLevel="1" collapsed="false"/>
    <row r="1639" customFormat="false" ht="12.75" hidden="false" customHeight="false" outlineLevel="1" collapsed="false"/>
    <row r="1640" customFormat="false" ht="12.75" hidden="false" customHeight="false" outlineLevel="1" collapsed="false"/>
    <row r="1641" customFormat="false" ht="12.75" hidden="false" customHeight="false" outlineLevel="1" collapsed="false"/>
    <row r="1642" customFormat="false" ht="12.75" hidden="false" customHeight="false" outlineLevel="1" collapsed="false"/>
    <row r="1643" customFormat="false" ht="12.75" hidden="false" customHeight="false" outlineLevel="1" collapsed="false"/>
    <row r="1644" customFormat="false" ht="12.75" hidden="false" customHeight="false" outlineLevel="1" collapsed="false"/>
    <row r="1645" customFormat="false" ht="12.75" hidden="false" customHeight="false" outlineLevel="1" collapsed="false"/>
    <row r="1646" customFormat="false" ht="12.75" hidden="false" customHeight="false" outlineLevel="1" collapsed="false"/>
    <row r="1647" customFormat="false" ht="12.75" hidden="false" customHeight="false" outlineLevel="1" collapsed="false"/>
    <row r="1648" customFormat="false" ht="12.75" hidden="false" customHeight="false" outlineLevel="1" collapsed="false"/>
    <row r="1649" customFormat="false" ht="12.75" hidden="false" customHeight="false" outlineLevel="1" collapsed="false"/>
    <row r="1650" customFormat="false" ht="12.75" hidden="false" customHeight="false" outlineLevel="1" collapsed="false"/>
    <row r="1651" customFormat="false" ht="12.75" hidden="false" customHeight="false" outlineLevel="1" collapsed="false"/>
    <row r="1652" customFormat="false" ht="12.75" hidden="false" customHeight="false" outlineLevel="1" collapsed="false"/>
    <row r="1653" customFormat="false" ht="12.75" hidden="false" customHeight="false" outlineLevel="1" collapsed="false"/>
    <row r="1654" customFormat="false" ht="12.75" hidden="false" customHeight="false" outlineLevel="1" collapsed="false"/>
    <row r="1655" customFormat="false" ht="12.75" hidden="false" customHeight="false" outlineLevel="1" collapsed="false"/>
    <row r="1656" customFormat="false" ht="12.75" hidden="false" customHeight="false" outlineLevel="1" collapsed="false"/>
    <row r="1657" customFormat="false" ht="12.75" hidden="false" customHeight="false" outlineLevel="1" collapsed="false"/>
    <row r="1658" customFormat="false" ht="12.75" hidden="false" customHeight="false" outlineLevel="1" collapsed="false"/>
    <row r="1659" customFormat="false" ht="12.75" hidden="false" customHeight="false" outlineLevel="1" collapsed="false"/>
    <row r="1660" customFormat="false" ht="12.75" hidden="false" customHeight="false" outlineLevel="1" collapsed="false"/>
    <row r="1661" customFormat="false" ht="12.75" hidden="false" customHeight="false" outlineLevel="1" collapsed="false"/>
    <row r="1662" customFormat="false" ht="12.75" hidden="false" customHeight="false" outlineLevel="1" collapsed="false"/>
    <row r="1663" customFormat="false" ht="12.75" hidden="false" customHeight="false" outlineLevel="1" collapsed="false"/>
    <row r="1664" customFormat="false" ht="12.75" hidden="false" customHeight="false" outlineLevel="1" collapsed="false"/>
    <row r="1665" customFormat="false" ht="12.75" hidden="false" customHeight="false" outlineLevel="1" collapsed="false"/>
    <row r="1666" customFormat="false" ht="12.75" hidden="false" customHeight="false" outlineLevel="1" collapsed="false"/>
    <row r="1667" customFormat="false" ht="12.75" hidden="false" customHeight="false" outlineLevel="1" collapsed="false"/>
    <row r="1668" customFormat="false" ht="12.75" hidden="false" customHeight="false" outlineLevel="1" collapsed="false"/>
    <row r="1669" customFormat="false" ht="12.75" hidden="false" customHeight="false" outlineLevel="1" collapsed="false"/>
    <row r="1670" customFormat="false" ht="12.75" hidden="false" customHeight="false" outlineLevel="1" collapsed="false"/>
    <row r="1671" customFormat="false" ht="12.75" hidden="false" customHeight="false" outlineLevel="1" collapsed="false"/>
    <row r="1672" customFormat="false" ht="12.75" hidden="false" customHeight="false" outlineLevel="1" collapsed="false"/>
    <row r="1673" customFormat="false" ht="12.75" hidden="false" customHeight="false" outlineLevel="1" collapsed="false"/>
    <row r="1674" customFormat="false" ht="12.75" hidden="false" customHeight="false" outlineLevel="1" collapsed="false"/>
    <row r="1675" customFormat="false" ht="12.75" hidden="false" customHeight="false" outlineLevel="1" collapsed="false"/>
    <row r="1676" customFormat="false" ht="12.75" hidden="false" customHeight="false" outlineLevel="1" collapsed="false"/>
    <row r="1677" customFormat="false" ht="12.75" hidden="false" customHeight="false" outlineLevel="1" collapsed="false"/>
    <row r="1678" customFormat="false" ht="12.75" hidden="false" customHeight="false" outlineLevel="1" collapsed="false"/>
    <row r="1679" customFormat="false" ht="12.75" hidden="false" customHeight="false" outlineLevel="1" collapsed="false"/>
    <row r="1680" customFormat="false" ht="12.75" hidden="false" customHeight="false" outlineLevel="1" collapsed="false"/>
    <row r="1681" customFormat="false" ht="12.75" hidden="false" customHeight="false" outlineLevel="1" collapsed="false"/>
    <row r="1682" customFormat="false" ht="12.75" hidden="false" customHeight="false" outlineLevel="1" collapsed="false"/>
    <row r="1683" customFormat="false" ht="12.75" hidden="false" customHeight="false" outlineLevel="1" collapsed="false"/>
    <row r="1684" customFormat="false" ht="12.75" hidden="false" customHeight="false" outlineLevel="1" collapsed="false"/>
    <row r="1685" customFormat="false" ht="12.75" hidden="false" customHeight="false" outlineLevel="1" collapsed="false"/>
    <row r="1686" customFormat="false" ht="12.75" hidden="false" customHeight="false" outlineLevel="1" collapsed="false"/>
    <row r="1687" customFormat="false" ht="12.75" hidden="false" customHeight="false" outlineLevel="1" collapsed="false"/>
    <row r="1688" customFormat="false" ht="12.75" hidden="false" customHeight="false" outlineLevel="1" collapsed="false"/>
    <row r="1689" customFormat="false" ht="12.75" hidden="false" customHeight="false" outlineLevel="1" collapsed="false"/>
    <row r="1690" customFormat="false" ht="12.75" hidden="false" customHeight="false" outlineLevel="1" collapsed="false"/>
    <row r="1691" customFormat="false" ht="12.75" hidden="false" customHeight="false" outlineLevel="1" collapsed="false"/>
    <row r="1692" customFormat="false" ht="12.75" hidden="false" customHeight="false" outlineLevel="1" collapsed="false"/>
    <row r="1693" customFormat="false" ht="12.75" hidden="false" customHeight="false" outlineLevel="1" collapsed="false"/>
    <row r="1694" customFormat="false" ht="12.75" hidden="false" customHeight="false" outlineLevel="1" collapsed="false"/>
    <row r="1695" customFormat="false" ht="12.75" hidden="false" customHeight="false" outlineLevel="1" collapsed="false"/>
    <row r="1696" customFormat="false" ht="12.75" hidden="false" customHeight="false" outlineLevel="1" collapsed="false"/>
    <row r="1697" customFormat="false" ht="12.75" hidden="false" customHeight="false" outlineLevel="1" collapsed="false"/>
    <row r="1698" customFormat="false" ht="12.75" hidden="false" customHeight="false" outlineLevel="1" collapsed="false"/>
    <row r="1699" customFormat="false" ht="12.75" hidden="false" customHeight="false" outlineLevel="1" collapsed="false"/>
    <row r="1700" customFormat="false" ht="12.75" hidden="false" customHeight="false" outlineLevel="1" collapsed="false"/>
    <row r="1701" customFormat="false" ht="12.75" hidden="false" customHeight="false" outlineLevel="1" collapsed="false"/>
    <row r="1702" customFormat="false" ht="12.75" hidden="false" customHeight="false" outlineLevel="1" collapsed="false"/>
    <row r="1703" customFormat="false" ht="12.75" hidden="false" customHeight="false" outlineLevel="1" collapsed="false"/>
    <row r="1704" customFormat="false" ht="12.75" hidden="false" customHeight="false" outlineLevel="1" collapsed="false"/>
    <row r="1705" customFormat="false" ht="12.75" hidden="false" customHeight="false" outlineLevel="1" collapsed="false"/>
    <row r="1706" customFormat="false" ht="12.75" hidden="false" customHeight="false" outlineLevel="1" collapsed="false"/>
    <row r="1707" customFormat="false" ht="12.75" hidden="false" customHeight="false" outlineLevel="1" collapsed="false"/>
    <row r="1708" customFormat="false" ht="12.75" hidden="false" customHeight="false" outlineLevel="1" collapsed="false"/>
    <row r="1709" customFormat="false" ht="12.75" hidden="false" customHeight="false" outlineLevel="1" collapsed="false"/>
    <row r="1710" customFormat="false" ht="12.75" hidden="false" customHeight="false" outlineLevel="1" collapsed="false"/>
    <row r="1711" customFormat="false" ht="12.75" hidden="false" customHeight="false" outlineLevel="1" collapsed="false"/>
    <row r="1712" customFormat="false" ht="12.75" hidden="false" customHeight="false" outlineLevel="1" collapsed="false"/>
    <row r="1713" customFormat="false" ht="12.75" hidden="false" customHeight="false" outlineLevel="1" collapsed="false"/>
    <row r="1714" customFormat="false" ht="12.75" hidden="false" customHeight="false" outlineLevel="1" collapsed="false"/>
    <row r="1715" customFormat="false" ht="12.75" hidden="false" customHeight="false" outlineLevel="1" collapsed="false"/>
    <row r="1716" customFormat="false" ht="12.75" hidden="false" customHeight="false" outlineLevel="1" collapsed="false"/>
    <row r="1717" customFormat="false" ht="12.75" hidden="false" customHeight="false" outlineLevel="1" collapsed="false"/>
    <row r="1718" customFormat="false" ht="12.75" hidden="false" customHeight="false" outlineLevel="1" collapsed="false"/>
    <row r="1719" customFormat="false" ht="12.75" hidden="false" customHeight="false" outlineLevel="1" collapsed="false"/>
    <row r="1720" customFormat="false" ht="12.75" hidden="false" customHeight="false" outlineLevel="1" collapsed="false"/>
    <row r="1721" customFormat="false" ht="12.75" hidden="false" customHeight="false" outlineLevel="1" collapsed="false"/>
    <row r="1722" customFormat="false" ht="12.75" hidden="false" customHeight="false" outlineLevel="1" collapsed="false"/>
    <row r="1723" customFormat="false" ht="12.75" hidden="false" customHeight="false" outlineLevel="1" collapsed="false"/>
    <row r="1724" customFormat="false" ht="12.75" hidden="false" customHeight="false" outlineLevel="1" collapsed="false"/>
    <row r="1725" customFormat="false" ht="12.75" hidden="false" customHeight="false" outlineLevel="1" collapsed="false"/>
    <row r="1726" customFormat="false" ht="12.75" hidden="false" customHeight="false" outlineLevel="1" collapsed="false"/>
    <row r="1727" customFormat="false" ht="12.75" hidden="false" customHeight="false" outlineLevel="1" collapsed="false"/>
    <row r="1728" customFormat="false" ht="12.75" hidden="false" customHeight="false" outlineLevel="1" collapsed="false"/>
    <row r="1729" customFormat="false" ht="12.75" hidden="false" customHeight="false" outlineLevel="1" collapsed="false"/>
    <row r="1730" customFormat="false" ht="12.75" hidden="false" customHeight="false" outlineLevel="1" collapsed="false"/>
    <row r="1731" customFormat="false" ht="12.75" hidden="false" customHeight="false" outlineLevel="1" collapsed="false"/>
    <row r="1732" customFormat="false" ht="12.75" hidden="false" customHeight="false" outlineLevel="1" collapsed="false"/>
    <row r="1733" customFormat="false" ht="12.75" hidden="false" customHeight="false" outlineLevel="1" collapsed="false"/>
    <row r="1734" customFormat="false" ht="12.75" hidden="false" customHeight="false" outlineLevel="1" collapsed="false"/>
    <row r="1735" customFormat="false" ht="12.75" hidden="false" customHeight="false" outlineLevel="1" collapsed="false"/>
    <row r="1736" customFormat="false" ht="12.75" hidden="false" customHeight="false" outlineLevel="1" collapsed="false"/>
    <row r="1737" customFormat="false" ht="12.75" hidden="false" customHeight="false" outlineLevel="1" collapsed="false"/>
    <row r="1738" customFormat="false" ht="12.75" hidden="false" customHeight="false" outlineLevel="1" collapsed="false"/>
    <row r="1739" customFormat="false" ht="12.75" hidden="false" customHeight="false" outlineLevel="1" collapsed="false"/>
    <row r="1740" customFormat="false" ht="12.75" hidden="false" customHeight="false" outlineLevel="1" collapsed="false"/>
    <row r="1741" customFormat="false" ht="12.75" hidden="false" customHeight="false" outlineLevel="1" collapsed="false"/>
    <row r="1742" customFormat="false" ht="12.75" hidden="false" customHeight="false" outlineLevel="1" collapsed="false"/>
    <row r="1743" customFormat="false" ht="12.75" hidden="false" customHeight="false" outlineLevel="1" collapsed="false"/>
    <row r="1744" customFormat="false" ht="12.75" hidden="false" customHeight="false" outlineLevel="1" collapsed="false"/>
    <row r="1745" customFormat="false" ht="12.75" hidden="false" customHeight="false" outlineLevel="1" collapsed="false"/>
    <row r="1746" customFormat="false" ht="12.75" hidden="false" customHeight="false" outlineLevel="1" collapsed="false"/>
    <row r="1747" customFormat="false" ht="12.75" hidden="false" customHeight="false" outlineLevel="1" collapsed="false"/>
    <row r="1748" customFormat="false" ht="12.75" hidden="false" customHeight="false" outlineLevel="1" collapsed="false"/>
    <row r="1749" customFormat="false" ht="12.75" hidden="false" customHeight="false" outlineLevel="1" collapsed="false"/>
    <row r="1750" customFormat="false" ht="12.75" hidden="false" customHeight="false" outlineLevel="1" collapsed="false"/>
    <row r="1751" customFormat="false" ht="12.75" hidden="false" customHeight="false" outlineLevel="1" collapsed="false"/>
    <row r="1752" customFormat="false" ht="12.75" hidden="false" customHeight="false" outlineLevel="1" collapsed="false"/>
    <row r="1753" customFormat="false" ht="12.75" hidden="false" customHeight="false" outlineLevel="1" collapsed="false"/>
    <row r="1754" customFormat="false" ht="12.75" hidden="false" customHeight="false" outlineLevel="1" collapsed="false"/>
    <row r="1755" customFormat="false" ht="12.75" hidden="false" customHeight="false" outlineLevel="1" collapsed="false"/>
    <row r="1756" customFormat="false" ht="12.75" hidden="false" customHeight="false" outlineLevel="1" collapsed="false"/>
    <row r="1757" customFormat="false" ht="12.75" hidden="false" customHeight="false" outlineLevel="1" collapsed="false"/>
    <row r="1758" customFormat="false" ht="12.75" hidden="false" customHeight="false" outlineLevel="1" collapsed="false"/>
    <row r="1759" customFormat="false" ht="12.75" hidden="false" customHeight="false" outlineLevel="1" collapsed="false"/>
    <row r="1760" customFormat="false" ht="12.75" hidden="false" customHeight="false" outlineLevel="1" collapsed="false"/>
    <row r="1761" customFormat="false" ht="12.75" hidden="false" customHeight="false" outlineLevel="1" collapsed="false"/>
    <row r="1762" customFormat="false" ht="12.75" hidden="false" customHeight="false" outlineLevel="1" collapsed="false"/>
    <row r="1763" customFormat="false" ht="12.75" hidden="false" customHeight="false" outlineLevel="1" collapsed="false"/>
    <row r="1764" customFormat="false" ht="12.75" hidden="false" customHeight="false" outlineLevel="1" collapsed="false"/>
    <row r="1765" customFormat="false" ht="12.75" hidden="false" customHeight="false" outlineLevel="1" collapsed="false"/>
    <row r="1766" customFormat="false" ht="12.75" hidden="false" customHeight="false" outlineLevel="1" collapsed="false"/>
    <row r="1767" customFormat="false" ht="12.75" hidden="false" customHeight="false" outlineLevel="1" collapsed="false"/>
    <row r="1768" customFormat="false" ht="12.75" hidden="false" customHeight="false" outlineLevel="1" collapsed="false"/>
    <row r="1769" customFormat="false" ht="12.75" hidden="false" customHeight="false" outlineLevel="1" collapsed="false"/>
    <row r="1770" customFormat="false" ht="12.75" hidden="false" customHeight="false" outlineLevel="1" collapsed="false"/>
    <row r="1771" customFormat="false" ht="12.75" hidden="false" customHeight="false" outlineLevel="1" collapsed="false"/>
    <row r="1772" customFormat="false" ht="12.75" hidden="false" customHeight="false" outlineLevel="1" collapsed="false"/>
    <row r="1773" customFormat="false" ht="12.75" hidden="false" customHeight="false" outlineLevel="1" collapsed="false"/>
    <row r="1774" customFormat="false" ht="12.75" hidden="false" customHeight="false" outlineLevel="1" collapsed="false"/>
    <row r="1775" customFormat="false" ht="12.75" hidden="false" customHeight="false" outlineLevel="1" collapsed="false"/>
    <row r="1776" customFormat="false" ht="12.75" hidden="false" customHeight="false" outlineLevel="1" collapsed="false"/>
    <row r="1777" customFormat="false" ht="12.75" hidden="false" customHeight="false" outlineLevel="1" collapsed="false"/>
    <row r="1778" customFormat="false" ht="12.75" hidden="false" customHeight="false" outlineLevel="1" collapsed="false"/>
    <row r="1779" customFormat="false" ht="12.75" hidden="false" customHeight="false" outlineLevel="1" collapsed="false"/>
    <row r="1780" customFormat="false" ht="12.75" hidden="false" customHeight="false" outlineLevel="1" collapsed="false"/>
    <row r="1781" customFormat="false" ht="12.75" hidden="false" customHeight="false" outlineLevel="1" collapsed="false"/>
    <row r="1782" customFormat="false" ht="12.75" hidden="false" customHeight="false" outlineLevel="1" collapsed="false"/>
    <row r="1783" customFormat="false" ht="12.75" hidden="false" customHeight="false" outlineLevel="1" collapsed="false"/>
    <row r="1784" customFormat="false" ht="12.75" hidden="false" customHeight="false" outlineLevel="1" collapsed="false"/>
    <row r="1785" customFormat="false" ht="12.75" hidden="false" customHeight="false" outlineLevel="1" collapsed="false"/>
    <row r="1786" customFormat="false" ht="12.75" hidden="false" customHeight="false" outlineLevel="1" collapsed="false"/>
    <row r="1787" customFormat="false" ht="12.75" hidden="false" customHeight="false" outlineLevel="1" collapsed="false"/>
    <row r="1788" customFormat="false" ht="12.75" hidden="false" customHeight="false" outlineLevel="1" collapsed="false"/>
    <row r="1789" customFormat="false" ht="12.75" hidden="false" customHeight="false" outlineLevel="1" collapsed="false"/>
    <row r="1790" customFormat="false" ht="12.75" hidden="false" customHeight="false" outlineLevel="1" collapsed="false"/>
    <row r="1791" customFormat="false" ht="12.75" hidden="false" customHeight="false" outlineLevel="1" collapsed="false"/>
    <row r="1792" customFormat="false" ht="12.75" hidden="false" customHeight="false" outlineLevel="1" collapsed="false"/>
    <row r="1793" customFormat="false" ht="12.75" hidden="false" customHeight="false" outlineLevel="1" collapsed="false"/>
    <row r="1794" customFormat="false" ht="12.75" hidden="false" customHeight="false" outlineLevel="1" collapsed="false"/>
    <row r="1795" customFormat="false" ht="12.75" hidden="false" customHeight="false" outlineLevel="1" collapsed="false"/>
    <row r="1796" customFormat="false" ht="12.75" hidden="false" customHeight="false" outlineLevel="1" collapsed="false"/>
    <row r="1797" customFormat="false" ht="12.75" hidden="false" customHeight="false" outlineLevel="1" collapsed="false"/>
    <row r="1798" customFormat="false" ht="12.75" hidden="false" customHeight="false" outlineLevel="1" collapsed="false"/>
    <row r="1799" customFormat="false" ht="12.75" hidden="false" customHeight="false" outlineLevel="1" collapsed="false"/>
    <row r="1800" customFormat="false" ht="12.75" hidden="false" customHeight="false" outlineLevel="1" collapsed="false"/>
    <row r="1801" customFormat="false" ht="12.75" hidden="false" customHeight="false" outlineLevel="1" collapsed="false"/>
    <row r="1802" customFormat="false" ht="12.75" hidden="false" customHeight="false" outlineLevel="1" collapsed="false"/>
    <row r="1803" customFormat="false" ht="12.75" hidden="false" customHeight="false" outlineLevel="1" collapsed="false"/>
    <row r="1804" customFormat="false" ht="12.75" hidden="false" customHeight="false" outlineLevel="1" collapsed="false"/>
    <row r="1805" customFormat="false" ht="12.75" hidden="false" customHeight="false" outlineLevel="1" collapsed="false"/>
    <row r="1806" customFormat="false" ht="12.75" hidden="false" customHeight="false" outlineLevel="1" collapsed="false"/>
    <row r="1807" customFormat="false" ht="12.75" hidden="false" customHeight="false" outlineLevel="1" collapsed="false"/>
    <row r="1808" customFormat="false" ht="12.75" hidden="false" customHeight="false" outlineLevel="1" collapsed="false"/>
    <row r="1809" customFormat="false" ht="12.75" hidden="false" customHeight="false" outlineLevel="1" collapsed="false"/>
    <row r="1810" customFormat="false" ht="12.75" hidden="false" customHeight="false" outlineLevel="1" collapsed="false"/>
    <row r="1811" customFormat="false" ht="12.75" hidden="false" customHeight="false" outlineLevel="1" collapsed="false"/>
    <row r="1812" customFormat="false" ht="12.75" hidden="false" customHeight="false" outlineLevel="1" collapsed="false"/>
    <row r="1813" customFormat="false" ht="12.75" hidden="false" customHeight="false" outlineLevel="1" collapsed="false"/>
    <row r="1814" customFormat="false" ht="12.75" hidden="false" customHeight="false" outlineLevel="1" collapsed="false"/>
    <row r="1815" customFormat="false" ht="12.75" hidden="false" customHeight="false" outlineLevel="1" collapsed="false"/>
    <row r="1816" customFormat="false" ht="12.75" hidden="false" customHeight="false" outlineLevel="1" collapsed="false"/>
    <row r="1817" customFormat="false" ht="12.75" hidden="false" customHeight="false" outlineLevel="1" collapsed="false"/>
    <row r="1818" customFormat="false" ht="12.75" hidden="false" customHeight="false" outlineLevel="1" collapsed="false"/>
    <row r="1819" customFormat="false" ht="12.75" hidden="false" customHeight="false" outlineLevel="1" collapsed="false"/>
    <row r="1820" customFormat="false" ht="12.75" hidden="false" customHeight="false" outlineLevel="1" collapsed="false"/>
    <row r="1821" customFormat="false" ht="12.75" hidden="false" customHeight="false" outlineLevel="1" collapsed="false"/>
    <row r="1822" customFormat="false" ht="12.75" hidden="false" customHeight="false" outlineLevel="1" collapsed="false"/>
    <row r="1823" customFormat="false" ht="12.75" hidden="false" customHeight="false" outlineLevel="1" collapsed="false"/>
    <row r="1824" customFormat="false" ht="12.75" hidden="false" customHeight="false" outlineLevel="1" collapsed="false"/>
    <row r="1825" customFormat="false" ht="12.75" hidden="false" customHeight="false" outlineLevel="1" collapsed="false"/>
    <row r="1826" customFormat="false" ht="12.75" hidden="false" customHeight="false" outlineLevel="1" collapsed="false"/>
    <row r="1827" customFormat="false" ht="12.75" hidden="false" customHeight="false" outlineLevel="1" collapsed="false"/>
    <row r="1828" customFormat="false" ht="12.75" hidden="false" customHeight="false" outlineLevel="1" collapsed="false"/>
    <row r="1829" customFormat="false" ht="12.75" hidden="false" customHeight="false" outlineLevel="1" collapsed="false"/>
    <row r="1830" customFormat="false" ht="12.75" hidden="false" customHeight="false" outlineLevel="1" collapsed="false"/>
    <row r="1831" customFormat="false" ht="12.75" hidden="false" customHeight="false" outlineLevel="1" collapsed="false"/>
    <row r="1832" customFormat="false" ht="12.75" hidden="false" customHeight="false" outlineLevel="1" collapsed="false"/>
    <row r="1833" customFormat="false" ht="12.75" hidden="false" customHeight="false" outlineLevel="1" collapsed="false"/>
    <row r="1834" customFormat="false" ht="12.75" hidden="false" customHeight="false" outlineLevel="1" collapsed="false"/>
    <row r="1835" customFormat="false" ht="12.75" hidden="false" customHeight="false" outlineLevel="1" collapsed="false"/>
    <row r="1836" customFormat="false" ht="12.75" hidden="false" customHeight="false" outlineLevel="1" collapsed="false"/>
    <row r="1837" customFormat="false" ht="12.75" hidden="false" customHeight="false" outlineLevel="1" collapsed="false"/>
    <row r="1838" customFormat="false" ht="12.75" hidden="false" customHeight="false" outlineLevel="1" collapsed="false"/>
    <row r="1839" customFormat="false" ht="12.75" hidden="false" customHeight="false" outlineLevel="1" collapsed="false"/>
    <row r="1840" customFormat="false" ht="12.75" hidden="false" customHeight="false" outlineLevel="1" collapsed="false"/>
    <row r="1841" customFormat="false" ht="12.75" hidden="false" customHeight="false" outlineLevel="1" collapsed="false"/>
    <row r="1842" customFormat="false" ht="12.75" hidden="false" customHeight="false" outlineLevel="1" collapsed="false"/>
    <row r="1843" customFormat="false" ht="12.75" hidden="false" customHeight="false" outlineLevel="1" collapsed="false"/>
    <row r="1844" customFormat="false" ht="12.75" hidden="false" customHeight="false" outlineLevel="1" collapsed="false"/>
    <row r="1845" customFormat="false" ht="12.75" hidden="false" customHeight="false" outlineLevel="1" collapsed="false"/>
    <row r="1846" customFormat="false" ht="12.75" hidden="false" customHeight="false" outlineLevel="1" collapsed="false"/>
    <row r="1847" customFormat="false" ht="12.75" hidden="false" customHeight="false" outlineLevel="1" collapsed="false"/>
    <row r="1848" customFormat="false" ht="12.75" hidden="false" customHeight="false" outlineLevel="1" collapsed="false"/>
    <row r="1849" customFormat="false" ht="12.75" hidden="false" customHeight="false" outlineLevel="1" collapsed="false"/>
    <row r="1850" customFormat="false" ht="12.75" hidden="false" customHeight="false" outlineLevel="1" collapsed="false"/>
    <row r="1851" customFormat="false" ht="12.75" hidden="false" customHeight="false" outlineLevel="1" collapsed="false"/>
    <row r="1852" customFormat="false" ht="12.75" hidden="false" customHeight="false" outlineLevel="1" collapsed="false"/>
    <row r="1853" customFormat="false" ht="12.75" hidden="false" customHeight="false" outlineLevel="1" collapsed="false"/>
    <row r="1854" customFormat="false" ht="12.75" hidden="false" customHeight="false" outlineLevel="1" collapsed="false"/>
    <row r="1855" customFormat="false" ht="12.75" hidden="false" customHeight="false" outlineLevel="1" collapsed="false"/>
    <row r="1856" customFormat="false" ht="12.75" hidden="false" customHeight="false" outlineLevel="1" collapsed="false"/>
    <row r="1857" customFormat="false" ht="12.75" hidden="false" customHeight="false" outlineLevel="1" collapsed="false"/>
    <row r="1858" customFormat="false" ht="12.75" hidden="false" customHeight="false" outlineLevel="1" collapsed="false"/>
    <row r="1859" customFormat="false" ht="12.75" hidden="false" customHeight="false" outlineLevel="1" collapsed="false"/>
    <row r="1860" customFormat="false" ht="12.75" hidden="false" customHeight="false" outlineLevel="1" collapsed="false"/>
    <row r="1861" customFormat="false" ht="12.75" hidden="false" customHeight="false" outlineLevel="1" collapsed="false"/>
    <row r="1862" customFormat="false" ht="12.75" hidden="false" customHeight="false" outlineLevel="1" collapsed="false"/>
    <row r="1863" customFormat="false" ht="12.75" hidden="false" customHeight="false" outlineLevel="1" collapsed="false"/>
    <row r="1864" customFormat="false" ht="12.75" hidden="false" customHeight="false" outlineLevel="1" collapsed="false"/>
    <row r="1865" customFormat="false" ht="12.75" hidden="false" customHeight="false" outlineLevel="1" collapsed="false"/>
    <row r="1866" customFormat="false" ht="12.75" hidden="false" customHeight="false" outlineLevel="1" collapsed="false"/>
    <row r="1867" customFormat="false" ht="12.75" hidden="false" customHeight="false" outlineLevel="1" collapsed="false"/>
    <row r="1868" customFormat="false" ht="12.75" hidden="false" customHeight="false" outlineLevel="1" collapsed="false"/>
    <row r="1869" customFormat="false" ht="12.75" hidden="false" customHeight="false" outlineLevel="1" collapsed="false"/>
    <row r="1870" customFormat="false" ht="12.75" hidden="false" customHeight="false" outlineLevel="1" collapsed="false"/>
    <row r="1871" customFormat="false" ht="12.75" hidden="false" customHeight="false" outlineLevel="1" collapsed="false"/>
    <row r="1872" customFormat="false" ht="12.75" hidden="false" customHeight="false" outlineLevel="1" collapsed="false"/>
    <row r="1873" customFormat="false" ht="12.75" hidden="false" customHeight="false" outlineLevel="1" collapsed="false"/>
    <row r="1874" customFormat="false" ht="12.75" hidden="false" customHeight="false" outlineLevel="1" collapsed="false"/>
    <row r="1875" customFormat="false" ht="12.75" hidden="false" customHeight="false" outlineLevel="1" collapsed="false"/>
    <row r="1876" customFormat="false" ht="12.75" hidden="false" customHeight="false" outlineLevel="1" collapsed="false"/>
    <row r="1877" customFormat="false" ht="12.75" hidden="false" customHeight="false" outlineLevel="1" collapsed="false"/>
    <row r="1878" customFormat="false" ht="12.75" hidden="false" customHeight="false" outlineLevel="1" collapsed="false"/>
    <row r="1879" customFormat="false" ht="12.75" hidden="false" customHeight="false" outlineLevel="1" collapsed="false"/>
    <row r="1880" customFormat="false" ht="12.75" hidden="false" customHeight="false" outlineLevel="1" collapsed="false"/>
    <row r="1881" customFormat="false" ht="12.75" hidden="false" customHeight="false" outlineLevel="1" collapsed="false"/>
    <row r="1882" customFormat="false" ht="12.75" hidden="false" customHeight="false" outlineLevel="1" collapsed="false"/>
    <row r="1883" customFormat="false" ht="12.75" hidden="false" customHeight="false" outlineLevel="1" collapsed="false"/>
    <row r="1884" customFormat="false" ht="12.75" hidden="false" customHeight="false" outlineLevel="1" collapsed="false"/>
    <row r="1885" customFormat="false" ht="12.75" hidden="false" customHeight="false" outlineLevel="1" collapsed="false"/>
    <row r="1886" customFormat="false" ht="12.75" hidden="false" customHeight="false" outlineLevel="1" collapsed="false"/>
    <row r="1887" customFormat="false" ht="12.75" hidden="false" customHeight="false" outlineLevel="1" collapsed="false"/>
    <row r="1888" customFormat="false" ht="12.75" hidden="false" customHeight="false" outlineLevel="1" collapsed="false"/>
    <row r="1889" customFormat="false" ht="12.75" hidden="false" customHeight="false" outlineLevel="1" collapsed="false"/>
    <row r="1890" customFormat="false" ht="12.75" hidden="false" customHeight="false" outlineLevel="1" collapsed="false"/>
    <row r="1891" customFormat="false" ht="12.75" hidden="false" customHeight="false" outlineLevel="1" collapsed="false"/>
    <row r="1892" customFormat="false" ht="12.75" hidden="false" customHeight="false" outlineLevel="1" collapsed="false"/>
    <row r="1893" customFormat="false" ht="12.75" hidden="false" customHeight="false" outlineLevel="1" collapsed="false"/>
    <row r="1894" customFormat="false" ht="12.75" hidden="false" customHeight="false" outlineLevel="1" collapsed="false"/>
    <row r="1895" customFormat="false" ht="12.75" hidden="false" customHeight="false" outlineLevel="1" collapsed="false"/>
    <row r="1896" customFormat="false" ht="12.75" hidden="false" customHeight="false" outlineLevel="1" collapsed="false"/>
    <row r="1897" customFormat="false" ht="12.75" hidden="false" customHeight="false" outlineLevel="1" collapsed="false"/>
    <row r="1898" customFormat="false" ht="12.75" hidden="false" customHeight="false" outlineLevel="1" collapsed="false"/>
    <row r="1899" customFormat="false" ht="12.75" hidden="false" customHeight="false" outlineLevel="1" collapsed="false"/>
    <row r="1900" customFormat="false" ht="12.75" hidden="false" customHeight="false" outlineLevel="1" collapsed="false"/>
    <row r="1901" customFormat="false" ht="12.75" hidden="false" customHeight="false" outlineLevel="1" collapsed="false"/>
    <row r="1902" customFormat="false" ht="12.75" hidden="false" customHeight="false" outlineLevel="1" collapsed="false"/>
    <row r="1903" customFormat="false" ht="12.75" hidden="false" customHeight="false" outlineLevel="1" collapsed="false"/>
    <row r="1904" customFormat="false" ht="12.75" hidden="false" customHeight="false" outlineLevel="1" collapsed="false"/>
    <row r="1905" customFormat="false" ht="12.75" hidden="false" customHeight="false" outlineLevel="1" collapsed="false"/>
    <row r="1906" customFormat="false" ht="12.75" hidden="false" customHeight="false" outlineLevel="1" collapsed="false"/>
    <row r="1907" customFormat="false" ht="12.75" hidden="false" customHeight="false" outlineLevel="1" collapsed="false"/>
    <row r="1908" customFormat="false" ht="12.75" hidden="false" customHeight="false" outlineLevel="1" collapsed="false"/>
    <row r="1909" customFormat="false" ht="12.75" hidden="false" customHeight="false" outlineLevel="1" collapsed="false"/>
    <row r="1910" customFormat="false" ht="12.75" hidden="false" customHeight="false" outlineLevel="1" collapsed="false"/>
    <row r="1911" customFormat="false" ht="12.75" hidden="false" customHeight="false" outlineLevel="1" collapsed="false"/>
    <row r="1912" customFormat="false" ht="12.75" hidden="false" customHeight="false" outlineLevel="1" collapsed="false"/>
    <row r="1913" customFormat="false" ht="12.75" hidden="false" customHeight="false" outlineLevel="1" collapsed="false"/>
    <row r="1914" customFormat="false" ht="12.75" hidden="false" customHeight="false" outlineLevel="1" collapsed="false"/>
    <row r="1915" customFormat="false" ht="12.75" hidden="false" customHeight="false" outlineLevel="1" collapsed="false"/>
    <row r="1916" customFormat="false" ht="12.75" hidden="false" customHeight="false" outlineLevel="1" collapsed="false"/>
    <row r="1917" customFormat="false" ht="12.75" hidden="false" customHeight="false" outlineLevel="1" collapsed="false"/>
    <row r="1918" customFormat="false" ht="12.75" hidden="false" customHeight="false" outlineLevel="1" collapsed="false"/>
    <row r="1919" customFormat="false" ht="12.75" hidden="false" customHeight="false" outlineLevel="1" collapsed="false"/>
    <row r="1920" customFormat="false" ht="12.75" hidden="false" customHeight="false" outlineLevel="1" collapsed="false"/>
    <row r="1921" customFormat="false" ht="12.75" hidden="false" customHeight="false" outlineLevel="1" collapsed="false"/>
    <row r="1922" customFormat="false" ht="12.75" hidden="false" customHeight="false" outlineLevel="1" collapsed="false"/>
    <row r="1923" customFormat="false" ht="12.75" hidden="false" customHeight="false" outlineLevel="1" collapsed="false"/>
    <row r="1924" customFormat="false" ht="12.75" hidden="false" customHeight="false" outlineLevel="1" collapsed="false"/>
    <row r="1925" customFormat="false" ht="12.75" hidden="false" customHeight="false" outlineLevel="1" collapsed="false"/>
    <row r="1926" customFormat="false" ht="12.75" hidden="false" customHeight="false" outlineLevel="1" collapsed="false"/>
    <row r="1927" customFormat="false" ht="12.75" hidden="false" customHeight="false" outlineLevel="1" collapsed="false"/>
    <row r="1928" customFormat="false" ht="12.75" hidden="false" customHeight="false" outlineLevel="1" collapsed="false"/>
    <row r="1929" customFormat="false" ht="12.75" hidden="false" customHeight="false" outlineLevel="1" collapsed="false"/>
    <row r="1930" customFormat="false" ht="12.75" hidden="false" customHeight="false" outlineLevel="1" collapsed="false"/>
    <row r="1931" customFormat="false" ht="12.75" hidden="false" customHeight="false" outlineLevel="1" collapsed="false"/>
    <row r="1932" customFormat="false" ht="12.75" hidden="false" customHeight="false" outlineLevel="1" collapsed="false"/>
    <row r="1933" customFormat="false" ht="12.75" hidden="false" customHeight="false" outlineLevel="1" collapsed="false"/>
    <row r="1934" customFormat="false" ht="12.75" hidden="false" customHeight="false" outlineLevel="1" collapsed="false"/>
    <row r="1935" customFormat="false" ht="12.75" hidden="false" customHeight="false" outlineLevel="1" collapsed="false"/>
    <row r="1936" customFormat="false" ht="12.75" hidden="false" customHeight="false" outlineLevel="1" collapsed="false"/>
    <row r="1937" customFormat="false" ht="12.75" hidden="false" customHeight="false" outlineLevel="1" collapsed="false"/>
    <row r="1938" customFormat="false" ht="12.75" hidden="false" customHeight="false" outlineLevel="1" collapsed="false"/>
    <row r="1939" customFormat="false" ht="12.75" hidden="false" customHeight="false" outlineLevel="1" collapsed="false"/>
    <row r="1940" customFormat="false" ht="12.75" hidden="false" customHeight="false" outlineLevel="1" collapsed="false"/>
    <row r="1941" customFormat="false" ht="12.75" hidden="false" customHeight="false" outlineLevel="1" collapsed="false"/>
    <row r="1942" customFormat="false" ht="12.75" hidden="false" customHeight="false" outlineLevel="1" collapsed="false"/>
    <row r="1943" customFormat="false" ht="12.75" hidden="false" customHeight="false" outlineLevel="1" collapsed="false"/>
    <row r="1944" customFormat="false" ht="12.75" hidden="false" customHeight="false" outlineLevel="1" collapsed="false"/>
    <row r="1945" customFormat="false" ht="12.75" hidden="false" customHeight="false" outlineLevel="1" collapsed="false"/>
    <row r="1946" customFormat="false" ht="12.75" hidden="false" customHeight="false" outlineLevel="1" collapsed="false"/>
    <row r="1947" customFormat="false" ht="12.75" hidden="false" customHeight="false" outlineLevel="1" collapsed="false"/>
    <row r="1948" customFormat="false" ht="12.75" hidden="false" customHeight="false" outlineLevel="1" collapsed="false"/>
    <row r="1949" customFormat="false" ht="12.75" hidden="false" customHeight="false" outlineLevel="1" collapsed="false"/>
    <row r="1950" customFormat="false" ht="12.75" hidden="false" customHeight="false" outlineLevel="1" collapsed="false"/>
    <row r="1951" customFormat="false" ht="12.75" hidden="false" customHeight="false" outlineLevel="1" collapsed="false"/>
    <row r="1952" customFormat="false" ht="12.75" hidden="false" customHeight="false" outlineLevel="1" collapsed="false"/>
    <row r="1953" customFormat="false" ht="12.75" hidden="false" customHeight="false" outlineLevel="1" collapsed="false"/>
    <row r="1954" customFormat="false" ht="12.75" hidden="false" customHeight="false" outlineLevel="1" collapsed="false"/>
    <row r="1955" customFormat="false" ht="12.75" hidden="false" customHeight="false" outlineLevel="1" collapsed="false"/>
    <row r="1956" customFormat="false" ht="12.75" hidden="false" customHeight="false" outlineLevel="1" collapsed="false"/>
    <row r="1957" customFormat="false" ht="12.75" hidden="false" customHeight="false" outlineLevel="1" collapsed="false"/>
    <row r="1958" customFormat="false" ht="12.75" hidden="false" customHeight="false" outlineLevel="1" collapsed="false"/>
    <row r="1959" customFormat="false" ht="12.75" hidden="false" customHeight="false" outlineLevel="1" collapsed="false"/>
    <row r="1960" customFormat="false" ht="12.75" hidden="false" customHeight="false" outlineLevel="1" collapsed="false"/>
    <row r="1961" customFormat="false" ht="12.75" hidden="false" customHeight="false" outlineLevel="1" collapsed="false"/>
    <row r="1962" customFormat="false" ht="12.75" hidden="false" customHeight="false" outlineLevel="1" collapsed="false"/>
    <row r="1963" customFormat="false" ht="12.75" hidden="false" customHeight="false" outlineLevel="1" collapsed="false"/>
    <row r="1964" customFormat="false" ht="12.75" hidden="false" customHeight="false" outlineLevel="1" collapsed="false"/>
    <row r="1965" customFormat="false" ht="12.75" hidden="false" customHeight="false" outlineLevel="1" collapsed="false"/>
    <row r="1966" customFormat="false" ht="12.75" hidden="false" customHeight="false" outlineLevel="1" collapsed="false"/>
    <row r="1967" customFormat="false" ht="12.75" hidden="false" customHeight="false" outlineLevel="1" collapsed="false"/>
    <row r="1968" customFormat="false" ht="12.75" hidden="false" customHeight="false" outlineLevel="1" collapsed="false"/>
    <row r="1969" customFormat="false" ht="12.75" hidden="false" customHeight="false" outlineLevel="1" collapsed="false"/>
    <row r="1970" customFormat="false" ht="12.75" hidden="false" customHeight="false" outlineLevel="1" collapsed="false"/>
    <row r="1971" customFormat="false" ht="12.75" hidden="false" customHeight="false" outlineLevel="1" collapsed="false"/>
    <row r="1972" customFormat="false" ht="12.75" hidden="false" customHeight="false" outlineLevel="1" collapsed="false"/>
    <row r="1973" customFormat="false" ht="12.75" hidden="false" customHeight="false" outlineLevel="1" collapsed="false"/>
    <row r="1974" customFormat="false" ht="12.75" hidden="false" customHeight="false" outlineLevel="1" collapsed="false"/>
    <row r="1975" customFormat="false" ht="12.75" hidden="false" customHeight="false" outlineLevel="1" collapsed="false"/>
    <row r="1976" customFormat="false" ht="12.75" hidden="false" customHeight="false" outlineLevel="1" collapsed="false"/>
    <row r="1977" customFormat="false" ht="12.75" hidden="false" customHeight="false" outlineLevel="1" collapsed="false"/>
    <row r="1978" customFormat="false" ht="12.75" hidden="false" customHeight="false" outlineLevel="1" collapsed="false"/>
    <row r="1979" customFormat="false" ht="12.75" hidden="false" customHeight="false" outlineLevel="1" collapsed="false"/>
    <row r="1980" customFormat="false" ht="12.75" hidden="false" customHeight="false" outlineLevel="1" collapsed="false"/>
    <row r="1981" customFormat="false" ht="12.75" hidden="false" customHeight="false" outlineLevel="1" collapsed="false"/>
    <row r="1982" customFormat="false" ht="12.75" hidden="false" customHeight="false" outlineLevel="1" collapsed="false"/>
    <row r="1983" customFormat="false" ht="12.75" hidden="false" customHeight="false" outlineLevel="1" collapsed="false"/>
    <row r="1984" customFormat="false" ht="12.75" hidden="false" customHeight="false" outlineLevel="1" collapsed="false"/>
    <row r="1985" customFormat="false" ht="12.75" hidden="false" customHeight="false" outlineLevel="1" collapsed="false"/>
    <row r="1986" customFormat="false" ht="12.75" hidden="false" customHeight="false" outlineLevel="1" collapsed="false"/>
    <row r="1987" customFormat="false" ht="12.75" hidden="false" customHeight="false" outlineLevel="1" collapsed="false"/>
    <row r="1988" customFormat="false" ht="12.75" hidden="false" customHeight="false" outlineLevel="1" collapsed="false"/>
    <row r="1989" customFormat="false" ht="12.75" hidden="false" customHeight="false" outlineLevel="1" collapsed="false"/>
    <row r="1990" customFormat="false" ht="12.75" hidden="false" customHeight="false" outlineLevel="1" collapsed="false"/>
    <row r="1991" customFormat="false" ht="12.75" hidden="false" customHeight="false" outlineLevel="1" collapsed="false"/>
    <row r="1992" customFormat="false" ht="12.75" hidden="false" customHeight="false" outlineLevel="1" collapsed="false"/>
    <row r="1993" customFormat="false" ht="12.75" hidden="false" customHeight="false" outlineLevel="1" collapsed="false"/>
    <row r="1994" customFormat="false" ht="12.75" hidden="false" customHeight="false" outlineLevel="1" collapsed="false"/>
    <row r="1995" customFormat="false" ht="12.75" hidden="false" customHeight="false" outlineLevel="1" collapsed="false"/>
    <row r="1996" customFormat="false" ht="12.75" hidden="false" customHeight="false" outlineLevel="1" collapsed="false"/>
    <row r="1997" customFormat="false" ht="12.75" hidden="false" customHeight="false" outlineLevel="1" collapsed="false"/>
    <row r="1998" customFormat="false" ht="12.75" hidden="false" customHeight="false" outlineLevel="1" collapsed="false"/>
    <row r="1999" customFormat="false" ht="12.75" hidden="false" customHeight="false" outlineLevel="1" collapsed="false"/>
    <row r="2000" customFormat="false" ht="12.75" hidden="false" customHeight="false" outlineLevel="1" collapsed="false"/>
    <row r="2001" customFormat="false" ht="12.75" hidden="false" customHeight="false" outlineLevel="1" collapsed="false"/>
    <row r="2002" customFormat="false" ht="12.75" hidden="false" customHeight="false" outlineLevel="1" collapsed="false"/>
    <row r="2003" customFormat="false" ht="12.75" hidden="false" customHeight="false" outlineLevel="1" collapsed="false"/>
    <row r="2004" customFormat="false" ht="12.75" hidden="false" customHeight="false" outlineLevel="1" collapsed="false"/>
    <row r="2005" customFormat="false" ht="12.75" hidden="false" customHeight="false" outlineLevel="1" collapsed="false"/>
    <row r="2006" customFormat="false" ht="12.75" hidden="false" customHeight="false" outlineLevel="1" collapsed="false"/>
    <row r="2007" customFormat="false" ht="12.75" hidden="false" customHeight="false" outlineLevel="1" collapsed="false"/>
    <row r="2008" customFormat="false" ht="12.75" hidden="false" customHeight="false" outlineLevel="1" collapsed="false"/>
    <row r="2009" customFormat="false" ht="12.75" hidden="false" customHeight="false" outlineLevel="1" collapsed="false"/>
    <row r="2010" customFormat="false" ht="12.75" hidden="false" customHeight="false" outlineLevel="1" collapsed="false"/>
    <row r="2011" customFormat="false" ht="12.75" hidden="false" customHeight="false" outlineLevel="1" collapsed="false"/>
    <row r="2012" customFormat="false" ht="12.75" hidden="false" customHeight="false" outlineLevel="1" collapsed="false"/>
    <row r="2013" customFormat="false" ht="12.75" hidden="false" customHeight="false" outlineLevel="1" collapsed="false"/>
    <row r="2014" customFormat="false" ht="12.75" hidden="false" customHeight="false" outlineLevel="1" collapsed="false"/>
    <row r="2015" customFormat="false" ht="12.75" hidden="false" customHeight="false" outlineLevel="1" collapsed="false"/>
    <row r="2016" customFormat="false" ht="12.75" hidden="false" customHeight="false" outlineLevel="1" collapsed="false"/>
    <row r="2017" customFormat="false" ht="12.75" hidden="false" customHeight="false" outlineLevel="1" collapsed="false"/>
    <row r="2018" customFormat="false" ht="12.75" hidden="false" customHeight="false" outlineLevel="1" collapsed="false"/>
    <row r="2019" customFormat="false" ht="12.75" hidden="false" customHeight="false" outlineLevel="1" collapsed="false"/>
    <row r="2020" customFormat="false" ht="12.75" hidden="false" customHeight="false" outlineLevel="1" collapsed="false"/>
    <row r="2021" customFormat="false" ht="12.75" hidden="false" customHeight="false" outlineLevel="1" collapsed="false"/>
    <row r="2022" customFormat="false" ht="12.75" hidden="false" customHeight="false" outlineLevel="1" collapsed="false"/>
    <row r="2023" customFormat="false" ht="12.75" hidden="false" customHeight="false" outlineLevel="1" collapsed="false"/>
    <row r="2024" customFormat="false" ht="12.75" hidden="false" customHeight="false" outlineLevel="1" collapsed="false"/>
    <row r="2025" customFormat="false" ht="12.75" hidden="false" customHeight="false" outlineLevel="1" collapsed="false"/>
    <row r="2026" customFormat="false" ht="12.75" hidden="false" customHeight="false" outlineLevel="1" collapsed="false"/>
    <row r="2027" customFormat="false" ht="12.75" hidden="false" customHeight="false" outlineLevel="1" collapsed="false"/>
    <row r="2028" customFormat="false" ht="12.75" hidden="false" customHeight="false" outlineLevel="1" collapsed="false"/>
    <row r="2029" customFormat="false" ht="12.75" hidden="false" customHeight="false" outlineLevel="1" collapsed="false"/>
    <row r="2030" customFormat="false" ht="12.75" hidden="false" customHeight="false" outlineLevel="1" collapsed="false"/>
    <row r="2031" customFormat="false" ht="12.75" hidden="false" customHeight="false" outlineLevel="1" collapsed="false"/>
    <row r="2032" customFormat="false" ht="12.75" hidden="false" customHeight="false" outlineLevel="1" collapsed="false"/>
    <row r="2033" customFormat="false" ht="12.75" hidden="false" customHeight="false" outlineLevel="1" collapsed="false"/>
    <row r="2034" customFormat="false" ht="12.75" hidden="false" customHeight="false" outlineLevel="1" collapsed="false"/>
    <row r="2035" customFormat="false" ht="12.75" hidden="false" customHeight="false" outlineLevel="1" collapsed="false"/>
    <row r="2036" customFormat="false" ht="12.75" hidden="false" customHeight="false" outlineLevel="1" collapsed="false"/>
    <row r="2037" customFormat="false" ht="12.75" hidden="false" customHeight="false" outlineLevel="1" collapsed="false"/>
    <row r="2038" customFormat="false" ht="12.75" hidden="false" customHeight="false" outlineLevel="1" collapsed="false"/>
    <row r="2039" customFormat="false" ht="12.75" hidden="false" customHeight="false" outlineLevel="1" collapsed="false"/>
    <row r="2040" customFormat="false" ht="12.75" hidden="false" customHeight="false" outlineLevel="1" collapsed="false"/>
    <row r="2041" customFormat="false" ht="12.75" hidden="false" customHeight="false" outlineLevel="1" collapsed="false"/>
    <row r="2042" customFormat="false" ht="12.75" hidden="false" customHeight="false" outlineLevel="1" collapsed="false"/>
    <row r="2043" customFormat="false" ht="12.75" hidden="false" customHeight="false" outlineLevel="1" collapsed="false"/>
    <row r="2044" customFormat="false" ht="12.75" hidden="false" customHeight="false" outlineLevel="1" collapsed="false"/>
    <row r="2045" customFormat="false" ht="12.75" hidden="false" customHeight="false" outlineLevel="1" collapsed="false"/>
    <row r="2046" customFormat="false" ht="12.75" hidden="false" customHeight="false" outlineLevel="1" collapsed="false"/>
    <row r="2047" customFormat="false" ht="12.75" hidden="false" customHeight="false" outlineLevel="1" collapsed="false"/>
    <row r="2048" customFormat="false" ht="12.75" hidden="false" customHeight="false" outlineLevel="1" collapsed="false"/>
    <row r="2049" customFormat="false" ht="12.75" hidden="false" customHeight="false" outlineLevel="1" collapsed="false"/>
    <row r="2050" customFormat="false" ht="12.75" hidden="false" customHeight="false" outlineLevel="1" collapsed="false"/>
    <row r="2051" customFormat="false" ht="12.75" hidden="false" customHeight="false" outlineLevel="1" collapsed="false"/>
    <row r="2052" customFormat="false" ht="12.75" hidden="false" customHeight="false" outlineLevel="1" collapsed="false"/>
    <row r="2053" customFormat="false" ht="12.75" hidden="false" customHeight="false" outlineLevel="1" collapsed="false"/>
    <row r="2054" customFormat="false" ht="12.75" hidden="false" customHeight="false" outlineLevel="1" collapsed="false"/>
    <row r="2055" customFormat="false" ht="12.75" hidden="false" customHeight="false" outlineLevel="1" collapsed="false"/>
    <row r="2056" customFormat="false" ht="12.75" hidden="false" customHeight="false" outlineLevel="1" collapsed="false"/>
    <row r="2057" customFormat="false" ht="12.75" hidden="false" customHeight="false" outlineLevel="1" collapsed="false"/>
    <row r="2058" customFormat="false" ht="12.75" hidden="false" customHeight="false" outlineLevel="1" collapsed="false"/>
    <row r="2059" customFormat="false" ht="12.75" hidden="false" customHeight="false" outlineLevel="1" collapsed="false"/>
    <row r="2060" customFormat="false" ht="12.75" hidden="false" customHeight="false" outlineLevel="1" collapsed="false"/>
    <row r="2061" customFormat="false" ht="12.75" hidden="false" customHeight="false" outlineLevel="1" collapsed="false"/>
    <row r="2062" customFormat="false" ht="12.75" hidden="false" customHeight="false" outlineLevel="1" collapsed="false"/>
    <row r="2063" customFormat="false" ht="12.75" hidden="false" customHeight="false" outlineLevel="1" collapsed="false"/>
    <row r="2064" customFormat="false" ht="12.75" hidden="false" customHeight="false" outlineLevel="1" collapsed="false"/>
    <row r="2065" customFormat="false" ht="12.75" hidden="false" customHeight="false" outlineLevel="1" collapsed="false"/>
    <row r="2066" customFormat="false" ht="12.75" hidden="false" customHeight="false" outlineLevel="1" collapsed="false"/>
    <row r="2067" customFormat="false" ht="12.75" hidden="false" customHeight="false" outlineLevel="1" collapsed="false"/>
    <row r="2068" customFormat="false" ht="12.75" hidden="false" customHeight="false" outlineLevel="1" collapsed="false"/>
    <row r="2069" customFormat="false" ht="12.75" hidden="false" customHeight="false" outlineLevel="1" collapsed="false"/>
    <row r="2070" customFormat="false" ht="12.75" hidden="false" customHeight="false" outlineLevel="1" collapsed="false"/>
    <row r="2071" customFormat="false" ht="12.75" hidden="false" customHeight="false" outlineLevel="1" collapsed="false"/>
    <row r="2072" customFormat="false" ht="12.75" hidden="false" customHeight="false" outlineLevel="1" collapsed="false"/>
    <row r="2073" customFormat="false" ht="12.75" hidden="false" customHeight="false" outlineLevel="1" collapsed="false"/>
    <row r="2074" customFormat="false" ht="12.75" hidden="false" customHeight="false" outlineLevel="1" collapsed="false"/>
    <row r="2075" customFormat="false" ht="12.75" hidden="false" customHeight="false" outlineLevel="1" collapsed="false"/>
    <row r="2076" customFormat="false" ht="12.75" hidden="false" customHeight="false" outlineLevel="1" collapsed="false"/>
    <row r="2077" customFormat="false" ht="12.75" hidden="false" customHeight="false" outlineLevel="1" collapsed="false"/>
    <row r="2078" customFormat="false" ht="12.75" hidden="false" customHeight="false" outlineLevel="1" collapsed="false"/>
    <row r="2079" customFormat="false" ht="12.75" hidden="false" customHeight="false" outlineLevel="1" collapsed="false"/>
    <row r="2080" customFormat="false" ht="12.75" hidden="false" customHeight="false" outlineLevel="1" collapsed="false"/>
    <row r="2081" customFormat="false" ht="12.75" hidden="false" customHeight="false" outlineLevel="1" collapsed="false"/>
    <row r="2082" customFormat="false" ht="12.75" hidden="false" customHeight="false" outlineLevel="1" collapsed="false"/>
    <row r="2083" customFormat="false" ht="12.75" hidden="false" customHeight="false" outlineLevel="1" collapsed="false"/>
    <row r="2084" customFormat="false" ht="12.75" hidden="false" customHeight="false" outlineLevel="1" collapsed="false"/>
    <row r="2085" customFormat="false" ht="12.75" hidden="false" customHeight="false" outlineLevel="1" collapsed="false"/>
    <row r="2086" customFormat="false" ht="12.75" hidden="false" customHeight="false" outlineLevel="1" collapsed="false"/>
    <row r="2087" customFormat="false" ht="12.75" hidden="false" customHeight="false" outlineLevel="1" collapsed="false"/>
    <row r="2088" customFormat="false" ht="12.75" hidden="false" customHeight="false" outlineLevel="1" collapsed="false"/>
    <row r="2089" customFormat="false" ht="12.75" hidden="false" customHeight="false" outlineLevel="1" collapsed="false"/>
    <row r="2090" customFormat="false" ht="12.75" hidden="false" customHeight="false" outlineLevel="1" collapsed="false"/>
    <row r="2091" customFormat="false" ht="12.75" hidden="false" customHeight="false" outlineLevel="1" collapsed="false"/>
    <row r="2092" customFormat="false" ht="12.75" hidden="false" customHeight="false" outlineLevel="1" collapsed="false"/>
    <row r="2093" customFormat="false" ht="12.75" hidden="false" customHeight="false" outlineLevel="1" collapsed="false"/>
    <row r="2094" customFormat="false" ht="12.75" hidden="false" customHeight="false" outlineLevel="1" collapsed="false"/>
    <row r="2095" customFormat="false" ht="12.75" hidden="false" customHeight="false" outlineLevel="1" collapsed="false"/>
    <row r="2096" customFormat="false" ht="12.75" hidden="false" customHeight="false" outlineLevel="1" collapsed="false"/>
    <row r="2097" customFormat="false" ht="12.75" hidden="false" customHeight="false" outlineLevel="1" collapsed="false"/>
    <row r="2098" customFormat="false" ht="12.75" hidden="false" customHeight="false" outlineLevel="1" collapsed="false"/>
    <row r="2099" customFormat="false" ht="12.75" hidden="false" customHeight="false" outlineLevel="1" collapsed="false"/>
    <row r="2100" customFormat="false" ht="12.75" hidden="false" customHeight="false" outlineLevel="1" collapsed="false"/>
    <row r="2101" customFormat="false" ht="12.75" hidden="false" customHeight="false" outlineLevel="1" collapsed="false"/>
    <row r="2102" customFormat="false" ht="12.75" hidden="false" customHeight="false" outlineLevel="1" collapsed="false"/>
    <row r="2103" customFormat="false" ht="12.75" hidden="false" customHeight="false" outlineLevel="1" collapsed="false"/>
    <row r="2104" customFormat="false" ht="12.75" hidden="false" customHeight="false" outlineLevel="1" collapsed="false"/>
    <row r="2105" customFormat="false" ht="12.75" hidden="false" customHeight="false" outlineLevel="1" collapsed="false"/>
    <row r="2106" customFormat="false" ht="12.75" hidden="false" customHeight="false" outlineLevel="1" collapsed="false"/>
    <row r="2107" customFormat="false" ht="12.75" hidden="false" customHeight="false" outlineLevel="1" collapsed="false"/>
    <row r="2108" customFormat="false" ht="12.75" hidden="false" customHeight="false" outlineLevel="1" collapsed="false"/>
    <row r="2109" customFormat="false" ht="12.75" hidden="false" customHeight="false" outlineLevel="1" collapsed="false"/>
    <row r="2110" customFormat="false" ht="12.75" hidden="false" customHeight="false" outlineLevel="1" collapsed="false"/>
    <row r="2111" customFormat="false" ht="12.75" hidden="false" customHeight="false" outlineLevel="1" collapsed="false"/>
    <row r="2112" customFormat="false" ht="12.75" hidden="false" customHeight="false" outlineLevel="1" collapsed="false"/>
    <row r="2113" customFormat="false" ht="12.75" hidden="false" customHeight="false" outlineLevel="1" collapsed="false"/>
    <row r="2114" customFormat="false" ht="12.75" hidden="false" customHeight="false" outlineLevel="1" collapsed="false"/>
    <row r="2115" customFormat="false" ht="12.75" hidden="false" customHeight="false" outlineLevel="1" collapsed="false"/>
    <row r="2116" customFormat="false" ht="12.75" hidden="false" customHeight="false" outlineLevel="1" collapsed="false"/>
    <row r="2117" customFormat="false" ht="12.75" hidden="false" customHeight="false" outlineLevel="1" collapsed="false"/>
    <row r="2118" customFormat="false" ht="12.75" hidden="false" customHeight="false" outlineLevel="1" collapsed="false"/>
    <row r="2119" customFormat="false" ht="12.75" hidden="false" customHeight="false" outlineLevel="1" collapsed="false"/>
    <row r="2120" customFormat="false" ht="12.75" hidden="false" customHeight="false" outlineLevel="1" collapsed="false"/>
    <row r="2121" customFormat="false" ht="12.75" hidden="false" customHeight="false" outlineLevel="1" collapsed="false"/>
    <row r="2122" customFormat="false" ht="12.75" hidden="false" customHeight="false" outlineLevel="1" collapsed="false"/>
    <row r="2123" customFormat="false" ht="12.75" hidden="false" customHeight="false" outlineLevel="1" collapsed="false"/>
    <row r="2124" customFormat="false" ht="12.75" hidden="false" customHeight="false" outlineLevel="1" collapsed="false"/>
    <row r="2125" customFormat="false" ht="12.75" hidden="false" customHeight="false" outlineLevel="1" collapsed="false"/>
    <row r="2126" customFormat="false" ht="12.75" hidden="false" customHeight="false" outlineLevel="1" collapsed="false"/>
    <row r="2127" customFormat="false" ht="12.75" hidden="false" customHeight="false" outlineLevel="1" collapsed="false"/>
    <row r="2128" customFormat="false" ht="12.75" hidden="false" customHeight="false" outlineLevel="1" collapsed="false"/>
    <row r="2129" customFormat="false" ht="12.75" hidden="false" customHeight="false" outlineLevel="1" collapsed="false"/>
    <row r="2130" customFormat="false" ht="12.75" hidden="false" customHeight="false" outlineLevel="1" collapsed="false"/>
    <row r="2131" customFormat="false" ht="12.75" hidden="false" customHeight="false" outlineLevel="1" collapsed="false"/>
    <row r="2132" customFormat="false" ht="12.75" hidden="false" customHeight="false" outlineLevel="1" collapsed="false"/>
    <row r="2133" customFormat="false" ht="12.75" hidden="false" customHeight="false" outlineLevel="1" collapsed="false"/>
    <row r="2134" customFormat="false" ht="12.75" hidden="false" customHeight="false" outlineLevel="1" collapsed="false"/>
    <row r="2135" customFormat="false" ht="12.75" hidden="false" customHeight="false" outlineLevel="1" collapsed="false"/>
    <row r="2136" customFormat="false" ht="12.75" hidden="false" customHeight="false" outlineLevel="1" collapsed="false"/>
    <row r="2137" customFormat="false" ht="12.75" hidden="false" customHeight="false" outlineLevel="1" collapsed="false"/>
    <row r="2138" customFormat="false" ht="12.75" hidden="false" customHeight="false" outlineLevel="1" collapsed="false"/>
    <row r="2139" customFormat="false" ht="12.75" hidden="false" customHeight="false" outlineLevel="1" collapsed="false"/>
    <row r="2140" customFormat="false" ht="12.75" hidden="false" customHeight="false" outlineLevel="1" collapsed="false"/>
    <row r="2141" customFormat="false" ht="12.75" hidden="false" customHeight="false" outlineLevel="1" collapsed="false"/>
    <row r="2142" customFormat="false" ht="12.75" hidden="false" customHeight="false" outlineLevel="1" collapsed="false"/>
    <row r="2143" customFormat="false" ht="12.75" hidden="false" customHeight="false" outlineLevel="1" collapsed="false"/>
    <row r="2144" customFormat="false" ht="12.75" hidden="false" customHeight="false" outlineLevel="1" collapsed="false"/>
    <row r="2145" customFormat="false" ht="12.75" hidden="false" customHeight="false" outlineLevel="1" collapsed="false"/>
    <row r="2146" customFormat="false" ht="12.75" hidden="false" customHeight="false" outlineLevel="1" collapsed="false"/>
    <row r="2147" customFormat="false" ht="12.75" hidden="false" customHeight="false" outlineLevel="1" collapsed="false"/>
    <row r="2148" customFormat="false" ht="12.75" hidden="false" customHeight="false" outlineLevel="1" collapsed="false"/>
    <row r="2149" customFormat="false" ht="12.75" hidden="false" customHeight="false" outlineLevel="1" collapsed="false"/>
    <row r="2150" customFormat="false" ht="12.75" hidden="false" customHeight="false" outlineLevel="1" collapsed="false"/>
    <row r="2151" customFormat="false" ht="12.75" hidden="false" customHeight="false" outlineLevel="1" collapsed="false"/>
    <row r="2152" customFormat="false" ht="12.75" hidden="false" customHeight="false" outlineLevel="1" collapsed="false"/>
    <row r="2153" customFormat="false" ht="12.75" hidden="false" customHeight="false" outlineLevel="1" collapsed="false"/>
    <row r="2154" customFormat="false" ht="12.75" hidden="false" customHeight="false" outlineLevel="1" collapsed="false"/>
    <row r="2155" customFormat="false" ht="12.75" hidden="false" customHeight="false" outlineLevel="1" collapsed="false"/>
    <row r="2156" customFormat="false" ht="12.75" hidden="false" customHeight="false" outlineLevel="1" collapsed="false"/>
    <row r="2157" customFormat="false" ht="12.75" hidden="false" customHeight="false" outlineLevel="1" collapsed="false"/>
    <row r="2158" customFormat="false" ht="12.75" hidden="false" customHeight="false" outlineLevel="1" collapsed="false"/>
    <row r="2159" customFormat="false" ht="12.75" hidden="false" customHeight="false" outlineLevel="1" collapsed="false"/>
    <row r="2160" customFormat="false" ht="12.75" hidden="false" customHeight="false" outlineLevel="1" collapsed="false"/>
    <row r="2161" customFormat="false" ht="12.75" hidden="false" customHeight="false" outlineLevel="1" collapsed="false"/>
    <row r="2162" customFormat="false" ht="12.75" hidden="false" customHeight="false" outlineLevel="1" collapsed="false"/>
    <row r="2163" customFormat="false" ht="12.75" hidden="false" customHeight="false" outlineLevel="1" collapsed="false"/>
    <row r="2164" customFormat="false" ht="12.75" hidden="false" customHeight="false" outlineLevel="1" collapsed="false"/>
    <row r="2165" customFormat="false" ht="12.75" hidden="false" customHeight="false" outlineLevel="1" collapsed="false"/>
    <row r="2166" customFormat="false" ht="12.75" hidden="false" customHeight="false" outlineLevel="1" collapsed="false"/>
    <row r="2167" customFormat="false" ht="12.75" hidden="false" customHeight="false" outlineLevel="1" collapsed="false"/>
    <row r="2168" customFormat="false" ht="12.75" hidden="false" customHeight="false" outlineLevel="1" collapsed="false"/>
    <row r="2169" customFormat="false" ht="12.75" hidden="false" customHeight="false" outlineLevel="1" collapsed="false"/>
    <row r="2170" customFormat="false" ht="12.75" hidden="false" customHeight="false" outlineLevel="1" collapsed="false"/>
    <row r="2171" customFormat="false" ht="12.75" hidden="false" customHeight="false" outlineLevel="1" collapsed="false"/>
    <row r="2172" customFormat="false" ht="12.75" hidden="false" customHeight="false" outlineLevel="1" collapsed="false"/>
    <row r="2173" customFormat="false" ht="12.75" hidden="false" customHeight="false" outlineLevel="1" collapsed="false"/>
    <row r="2174" customFormat="false" ht="12.75" hidden="false" customHeight="false" outlineLevel="1" collapsed="false"/>
    <row r="2175" customFormat="false" ht="12.75" hidden="false" customHeight="false" outlineLevel="1" collapsed="false"/>
    <row r="2176" customFormat="false" ht="12.75" hidden="false" customHeight="false" outlineLevel="1" collapsed="false"/>
    <row r="2177" customFormat="false" ht="12.75" hidden="false" customHeight="false" outlineLevel="1" collapsed="false"/>
    <row r="2178" customFormat="false" ht="12.75" hidden="false" customHeight="false" outlineLevel="1" collapsed="false"/>
    <row r="2179" customFormat="false" ht="12.75" hidden="false" customHeight="false" outlineLevel="1" collapsed="false"/>
    <row r="2180" customFormat="false" ht="12.75" hidden="false" customHeight="false" outlineLevel="1" collapsed="false"/>
    <row r="2181" customFormat="false" ht="12.75" hidden="false" customHeight="false" outlineLevel="1" collapsed="false"/>
    <row r="2182" customFormat="false" ht="12.75" hidden="false" customHeight="false" outlineLevel="1" collapsed="false"/>
    <row r="2183" customFormat="false" ht="12.75" hidden="false" customHeight="false" outlineLevel="1" collapsed="false"/>
    <row r="2184" customFormat="false" ht="12.75" hidden="false" customHeight="false" outlineLevel="1" collapsed="false"/>
    <row r="2185" customFormat="false" ht="12.75" hidden="false" customHeight="false" outlineLevel="1" collapsed="false"/>
    <row r="2186" customFormat="false" ht="12.75" hidden="false" customHeight="false" outlineLevel="1" collapsed="false"/>
    <row r="2187" customFormat="false" ht="12.75" hidden="false" customHeight="false" outlineLevel="1" collapsed="false"/>
    <row r="2188" customFormat="false" ht="12.75" hidden="false" customHeight="false" outlineLevel="1" collapsed="false"/>
    <row r="2189" customFormat="false" ht="12.75" hidden="false" customHeight="false" outlineLevel="1" collapsed="false"/>
    <row r="2190" customFormat="false" ht="12.75" hidden="false" customHeight="false" outlineLevel="1" collapsed="false"/>
    <row r="2191" customFormat="false" ht="12.75" hidden="false" customHeight="false" outlineLevel="1" collapsed="false"/>
    <row r="2192" customFormat="false" ht="12.75" hidden="false" customHeight="false" outlineLevel="1" collapsed="false"/>
    <row r="2193" customFormat="false" ht="12.75" hidden="false" customHeight="false" outlineLevel="1" collapsed="false"/>
    <row r="2194" customFormat="false" ht="12.75" hidden="false" customHeight="false" outlineLevel="1" collapsed="false"/>
    <row r="2195" customFormat="false" ht="12.75" hidden="false" customHeight="false" outlineLevel="1" collapsed="false"/>
    <row r="2196" customFormat="false" ht="12.75" hidden="false" customHeight="false" outlineLevel="1" collapsed="false"/>
    <row r="2197" customFormat="false" ht="12.75" hidden="false" customHeight="false" outlineLevel="1" collapsed="false"/>
    <row r="2198" customFormat="false" ht="12.75" hidden="false" customHeight="false" outlineLevel="1" collapsed="false"/>
    <row r="2199" customFormat="false" ht="12.75" hidden="false" customHeight="false" outlineLevel="1" collapsed="false"/>
    <row r="2200" customFormat="false" ht="12.75" hidden="false" customHeight="false" outlineLevel="1" collapsed="false"/>
    <row r="2201" customFormat="false" ht="12.75" hidden="false" customHeight="false" outlineLevel="1" collapsed="false"/>
    <row r="2202" customFormat="false" ht="12.75" hidden="false" customHeight="false" outlineLevel="1" collapsed="false"/>
    <row r="2203" customFormat="false" ht="12.75" hidden="false" customHeight="false" outlineLevel="1" collapsed="false"/>
    <row r="2204" customFormat="false" ht="12.75" hidden="false" customHeight="false" outlineLevel="1" collapsed="false"/>
    <row r="2205" customFormat="false" ht="12.75" hidden="false" customHeight="false" outlineLevel="1" collapsed="false"/>
    <row r="2206" customFormat="false" ht="12.75" hidden="false" customHeight="false" outlineLevel="1" collapsed="false"/>
    <row r="2207" customFormat="false" ht="12.75" hidden="false" customHeight="false" outlineLevel="1" collapsed="false"/>
    <row r="2208" customFormat="false" ht="12.75" hidden="false" customHeight="false" outlineLevel="1" collapsed="false"/>
    <row r="2209" customFormat="false" ht="12.75" hidden="false" customHeight="false" outlineLevel="1" collapsed="false"/>
    <row r="2210" customFormat="false" ht="12.75" hidden="false" customHeight="false" outlineLevel="1" collapsed="false"/>
    <row r="2211" customFormat="false" ht="12.75" hidden="false" customHeight="false" outlineLevel="1" collapsed="false"/>
    <row r="2212" customFormat="false" ht="12.75" hidden="false" customHeight="false" outlineLevel="1" collapsed="false"/>
    <row r="2213" customFormat="false" ht="12.75" hidden="false" customHeight="false" outlineLevel="1" collapsed="false"/>
    <row r="2214" customFormat="false" ht="12.75" hidden="false" customHeight="false" outlineLevel="1" collapsed="false"/>
    <row r="2215" customFormat="false" ht="12.75" hidden="false" customHeight="false" outlineLevel="1" collapsed="false"/>
    <row r="2216" customFormat="false" ht="12.75" hidden="false" customHeight="false" outlineLevel="1" collapsed="false"/>
    <row r="2217" customFormat="false" ht="12.75" hidden="false" customHeight="false" outlineLevel="1" collapsed="false"/>
    <row r="2218" customFormat="false" ht="12.75" hidden="false" customHeight="false" outlineLevel="1" collapsed="false"/>
    <row r="2219" customFormat="false" ht="12.75" hidden="false" customHeight="false" outlineLevel="1" collapsed="false"/>
    <row r="2220" customFormat="false" ht="12.75" hidden="false" customHeight="false" outlineLevel="1" collapsed="false"/>
    <row r="2221" customFormat="false" ht="12.75" hidden="false" customHeight="false" outlineLevel="1" collapsed="false"/>
    <row r="2222" customFormat="false" ht="12.75" hidden="false" customHeight="false" outlineLevel="1" collapsed="false"/>
    <row r="2223" customFormat="false" ht="12.75" hidden="false" customHeight="false" outlineLevel="1" collapsed="false"/>
    <row r="2224" customFormat="false" ht="12.75" hidden="false" customHeight="false" outlineLevel="1" collapsed="false"/>
    <row r="2225" customFormat="false" ht="12.75" hidden="false" customHeight="false" outlineLevel="1" collapsed="false"/>
    <row r="2226" customFormat="false" ht="12.75" hidden="false" customHeight="false" outlineLevel="1" collapsed="false"/>
    <row r="2227" customFormat="false" ht="12.75" hidden="false" customHeight="false" outlineLevel="1" collapsed="false"/>
    <row r="2228" customFormat="false" ht="12.75" hidden="false" customHeight="false" outlineLevel="1" collapsed="false"/>
    <row r="2229" customFormat="false" ht="12.75" hidden="false" customHeight="false" outlineLevel="1" collapsed="false"/>
    <row r="2230" customFormat="false" ht="12.75" hidden="false" customHeight="false" outlineLevel="1" collapsed="false"/>
    <row r="2231" customFormat="false" ht="12.75" hidden="false" customHeight="false" outlineLevel="1" collapsed="false"/>
    <row r="2232" customFormat="false" ht="12.75" hidden="false" customHeight="false" outlineLevel="1" collapsed="false"/>
    <row r="2233" customFormat="false" ht="12.75" hidden="false" customHeight="false" outlineLevel="1" collapsed="false"/>
    <row r="2234" customFormat="false" ht="12.75" hidden="false" customHeight="false" outlineLevel="1" collapsed="false"/>
    <row r="2235" customFormat="false" ht="12.75" hidden="false" customHeight="false" outlineLevel="1" collapsed="false"/>
    <row r="2236" customFormat="false" ht="12.75" hidden="false" customHeight="false" outlineLevel="1" collapsed="false"/>
    <row r="2237" customFormat="false" ht="12.75" hidden="false" customHeight="false" outlineLevel="1" collapsed="false"/>
    <row r="2238" customFormat="false" ht="12.75" hidden="false" customHeight="false" outlineLevel="1" collapsed="false"/>
    <row r="2239" customFormat="false" ht="12.75" hidden="false" customHeight="false" outlineLevel="1" collapsed="false"/>
    <row r="2240" customFormat="false" ht="12.75" hidden="false" customHeight="false" outlineLevel="1" collapsed="false"/>
    <row r="2241" customFormat="false" ht="12.75" hidden="false" customHeight="false" outlineLevel="1" collapsed="false"/>
    <row r="2242" customFormat="false" ht="12.75" hidden="false" customHeight="false" outlineLevel="1" collapsed="false"/>
    <row r="2243" customFormat="false" ht="12.75" hidden="false" customHeight="false" outlineLevel="1" collapsed="false"/>
    <row r="2244" customFormat="false" ht="12.75" hidden="false" customHeight="false" outlineLevel="1" collapsed="false"/>
    <row r="2245" customFormat="false" ht="12.75" hidden="false" customHeight="false" outlineLevel="1" collapsed="false"/>
    <row r="2246" customFormat="false" ht="12.75" hidden="false" customHeight="false" outlineLevel="1" collapsed="false"/>
    <row r="2247" customFormat="false" ht="12.75" hidden="false" customHeight="false" outlineLevel="1" collapsed="false"/>
    <row r="2248" customFormat="false" ht="12.75" hidden="false" customHeight="false" outlineLevel="1" collapsed="false"/>
    <row r="2249" customFormat="false" ht="12.75" hidden="false" customHeight="false" outlineLevel="1" collapsed="false"/>
    <row r="2250" customFormat="false" ht="12.75" hidden="false" customHeight="false" outlineLevel="1" collapsed="false"/>
    <row r="2251" customFormat="false" ht="12.75" hidden="false" customHeight="false" outlineLevel="1" collapsed="false"/>
    <row r="2252" customFormat="false" ht="12.75" hidden="false" customHeight="false" outlineLevel="1" collapsed="false"/>
    <row r="2253" customFormat="false" ht="12.75" hidden="false" customHeight="false" outlineLevel="1" collapsed="false"/>
    <row r="2254" customFormat="false" ht="12.75" hidden="false" customHeight="false" outlineLevel="1" collapsed="false"/>
    <row r="2255" customFormat="false" ht="12.75" hidden="false" customHeight="false" outlineLevel="1" collapsed="false"/>
    <row r="2256" customFormat="false" ht="12.75" hidden="false" customHeight="false" outlineLevel="1" collapsed="false"/>
    <row r="2257" customFormat="false" ht="12.75" hidden="false" customHeight="false" outlineLevel="1" collapsed="false"/>
    <row r="2258" customFormat="false" ht="12.75" hidden="false" customHeight="false" outlineLevel="1" collapsed="false"/>
    <row r="2259" customFormat="false" ht="12.75" hidden="false" customHeight="false" outlineLevel="1" collapsed="false"/>
    <row r="2260" customFormat="false" ht="12.75" hidden="false" customHeight="false" outlineLevel="1" collapsed="false"/>
    <row r="2261" customFormat="false" ht="12.75" hidden="false" customHeight="false" outlineLevel="1" collapsed="false"/>
    <row r="2262" customFormat="false" ht="12.75" hidden="false" customHeight="false" outlineLevel="1" collapsed="false"/>
    <row r="2263" customFormat="false" ht="12.75" hidden="false" customHeight="false" outlineLevel="1" collapsed="false"/>
    <row r="2264" customFormat="false" ht="12.75" hidden="false" customHeight="false" outlineLevel="1" collapsed="false"/>
    <row r="2265" customFormat="false" ht="12.75" hidden="false" customHeight="false" outlineLevel="1" collapsed="false"/>
    <row r="2266" customFormat="false" ht="12.75" hidden="false" customHeight="false" outlineLevel="1" collapsed="false"/>
    <row r="2267" customFormat="false" ht="12.75" hidden="false" customHeight="false" outlineLevel="1" collapsed="false"/>
    <row r="2268" customFormat="false" ht="12.75" hidden="false" customHeight="false" outlineLevel="1" collapsed="false"/>
    <row r="2269" customFormat="false" ht="12.75" hidden="false" customHeight="false" outlineLevel="1" collapsed="false"/>
    <row r="2270" customFormat="false" ht="12.75" hidden="false" customHeight="false" outlineLevel="1" collapsed="false"/>
    <row r="2271" customFormat="false" ht="12.75" hidden="false" customHeight="false" outlineLevel="1" collapsed="false"/>
    <row r="2272" customFormat="false" ht="12.75" hidden="false" customHeight="false" outlineLevel="1" collapsed="false"/>
    <row r="2273" customFormat="false" ht="12.75" hidden="false" customHeight="false" outlineLevel="1" collapsed="false"/>
    <row r="2274" customFormat="false" ht="12.75" hidden="false" customHeight="false" outlineLevel="1" collapsed="false"/>
    <row r="2275" customFormat="false" ht="12.75" hidden="false" customHeight="false" outlineLevel="1" collapsed="false"/>
    <row r="2276" customFormat="false" ht="12.75" hidden="false" customHeight="false" outlineLevel="1" collapsed="false"/>
    <row r="2277" customFormat="false" ht="12.75" hidden="false" customHeight="false" outlineLevel="1" collapsed="false"/>
    <row r="2278" customFormat="false" ht="12.75" hidden="false" customHeight="false" outlineLevel="1" collapsed="false"/>
    <row r="2279" customFormat="false" ht="12.75" hidden="false" customHeight="false" outlineLevel="1" collapsed="false"/>
    <row r="2280" customFormat="false" ht="12.75" hidden="false" customHeight="false" outlineLevel="1" collapsed="false"/>
    <row r="2281" customFormat="false" ht="12.75" hidden="false" customHeight="false" outlineLevel="1" collapsed="false"/>
    <row r="2282" customFormat="false" ht="12.75" hidden="false" customHeight="false" outlineLevel="1" collapsed="false"/>
    <row r="2283" customFormat="false" ht="12.75" hidden="false" customHeight="false" outlineLevel="1" collapsed="false"/>
    <row r="2284" customFormat="false" ht="12.75" hidden="false" customHeight="false" outlineLevel="1" collapsed="false"/>
    <row r="2285" customFormat="false" ht="12.75" hidden="false" customHeight="false" outlineLevel="1" collapsed="false"/>
    <row r="2286" customFormat="false" ht="12.75" hidden="false" customHeight="false" outlineLevel="1" collapsed="false"/>
    <row r="2287" customFormat="false" ht="12.75" hidden="false" customHeight="false" outlineLevel="1" collapsed="false"/>
    <row r="2288" customFormat="false" ht="12.75" hidden="false" customHeight="false" outlineLevel="1" collapsed="false"/>
    <row r="2289" customFormat="false" ht="12.75" hidden="false" customHeight="false" outlineLevel="1" collapsed="false"/>
    <row r="2290" customFormat="false" ht="12.75" hidden="false" customHeight="false" outlineLevel="1" collapsed="false"/>
    <row r="2291" customFormat="false" ht="12.75" hidden="false" customHeight="false" outlineLevel="1" collapsed="false"/>
    <row r="2292" customFormat="false" ht="12.75" hidden="false" customHeight="false" outlineLevel="1" collapsed="false"/>
    <row r="2293" customFormat="false" ht="12.75" hidden="false" customHeight="false" outlineLevel="1" collapsed="false"/>
    <row r="2294" customFormat="false" ht="12.75" hidden="false" customHeight="false" outlineLevel="1" collapsed="false"/>
    <row r="2295" customFormat="false" ht="12.75" hidden="false" customHeight="false" outlineLevel="1" collapsed="false"/>
    <row r="2296" customFormat="false" ht="12.75" hidden="false" customHeight="false" outlineLevel="1" collapsed="false"/>
    <row r="2297" customFormat="false" ht="12.75" hidden="false" customHeight="false" outlineLevel="1" collapsed="false"/>
    <row r="2298" customFormat="false" ht="12.75" hidden="false" customHeight="false" outlineLevel="1" collapsed="false"/>
    <row r="2299" customFormat="false" ht="12.75" hidden="false" customHeight="false" outlineLevel="1" collapsed="false"/>
    <row r="2300" customFormat="false" ht="12.75" hidden="false" customHeight="false" outlineLevel="1" collapsed="false"/>
    <row r="2301" customFormat="false" ht="12.75" hidden="false" customHeight="false" outlineLevel="1" collapsed="false"/>
    <row r="2302" customFormat="false" ht="12.75" hidden="false" customHeight="false" outlineLevel="1" collapsed="false"/>
    <row r="2303" customFormat="false" ht="12.75" hidden="false" customHeight="false" outlineLevel="1" collapsed="false"/>
    <row r="2304" customFormat="false" ht="12.75" hidden="false" customHeight="false" outlineLevel="1" collapsed="false"/>
    <row r="2305" customFormat="false" ht="12.75" hidden="false" customHeight="false" outlineLevel="1" collapsed="false"/>
    <row r="2306" customFormat="false" ht="12.75" hidden="false" customHeight="false" outlineLevel="1" collapsed="false"/>
    <row r="2307" customFormat="false" ht="12.75" hidden="false" customHeight="false" outlineLevel="1" collapsed="false"/>
    <row r="2308" customFormat="false" ht="12.75" hidden="false" customHeight="false" outlineLevel="1" collapsed="false"/>
    <row r="2309" customFormat="false" ht="12.75" hidden="false" customHeight="false" outlineLevel="1" collapsed="false"/>
    <row r="2310" customFormat="false" ht="12.75" hidden="false" customHeight="false" outlineLevel="1" collapsed="false"/>
    <row r="2311" customFormat="false" ht="12.75" hidden="false" customHeight="false" outlineLevel="1" collapsed="false"/>
    <row r="2312" customFormat="false" ht="12.75" hidden="false" customHeight="false" outlineLevel="1" collapsed="false"/>
    <row r="2313" customFormat="false" ht="12.75" hidden="false" customHeight="false" outlineLevel="1" collapsed="false"/>
    <row r="2314" customFormat="false" ht="12.75" hidden="false" customHeight="false" outlineLevel="1" collapsed="false"/>
    <row r="2315" customFormat="false" ht="12.75" hidden="false" customHeight="false" outlineLevel="1" collapsed="false"/>
    <row r="2316" customFormat="false" ht="12.75" hidden="false" customHeight="false" outlineLevel="1" collapsed="false"/>
    <row r="2317" customFormat="false" ht="12.75" hidden="false" customHeight="false" outlineLevel="1" collapsed="false"/>
    <row r="2318" customFormat="false" ht="12.75" hidden="false" customHeight="false" outlineLevel="1" collapsed="false"/>
    <row r="2319" customFormat="false" ht="12.75" hidden="false" customHeight="false" outlineLevel="1" collapsed="false"/>
    <row r="2320" customFormat="false" ht="12.75" hidden="false" customHeight="false" outlineLevel="1" collapsed="false"/>
    <row r="2321" customFormat="false" ht="12.75" hidden="false" customHeight="false" outlineLevel="1" collapsed="false"/>
    <row r="2322" customFormat="false" ht="12.75" hidden="false" customHeight="false" outlineLevel="1" collapsed="false"/>
    <row r="2323" customFormat="false" ht="12.75" hidden="false" customHeight="false" outlineLevel="1" collapsed="false"/>
    <row r="2324" customFormat="false" ht="12.75" hidden="false" customHeight="false" outlineLevel="1" collapsed="false"/>
    <row r="2325" customFormat="false" ht="12.75" hidden="false" customHeight="false" outlineLevel="1" collapsed="false"/>
    <row r="2326" customFormat="false" ht="12.75" hidden="false" customHeight="false" outlineLevel="1" collapsed="false"/>
    <row r="2327" customFormat="false" ht="12.75" hidden="false" customHeight="false" outlineLevel="1" collapsed="false"/>
    <row r="2328" customFormat="false" ht="12.75" hidden="false" customHeight="false" outlineLevel="1" collapsed="false"/>
    <row r="2329" customFormat="false" ht="12.75" hidden="false" customHeight="false" outlineLevel="1" collapsed="false"/>
    <row r="2330" customFormat="false" ht="12.75" hidden="false" customHeight="false" outlineLevel="1" collapsed="false"/>
    <row r="2331" customFormat="false" ht="12.75" hidden="false" customHeight="false" outlineLevel="1" collapsed="false"/>
    <row r="2332" customFormat="false" ht="12.75" hidden="false" customHeight="false" outlineLevel="1" collapsed="false"/>
    <row r="2333" customFormat="false" ht="12.75" hidden="false" customHeight="false" outlineLevel="1" collapsed="false"/>
    <row r="2334" customFormat="false" ht="12.75" hidden="false" customHeight="false" outlineLevel="1" collapsed="false"/>
    <row r="2335" customFormat="false" ht="12.75" hidden="false" customHeight="false" outlineLevel="1" collapsed="false"/>
    <row r="2336" customFormat="false" ht="12.75" hidden="false" customHeight="false" outlineLevel="1" collapsed="false"/>
    <row r="2337" customFormat="false" ht="12.75" hidden="false" customHeight="false" outlineLevel="1" collapsed="false"/>
    <row r="2338" customFormat="false" ht="12.75" hidden="false" customHeight="false" outlineLevel="1" collapsed="false"/>
    <row r="2339" customFormat="false" ht="12.75" hidden="false" customHeight="false" outlineLevel="1" collapsed="false"/>
    <row r="2340" customFormat="false" ht="12.75" hidden="false" customHeight="false" outlineLevel="1" collapsed="false"/>
    <row r="2341" customFormat="false" ht="12.75" hidden="false" customHeight="false" outlineLevel="1" collapsed="false"/>
    <row r="2342" customFormat="false" ht="12.75" hidden="false" customHeight="false" outlineLevel="1" collapsed="false"/>
    <row r="2343" customFormat="false" ht="12.75" hidden="false" customHeight="false" outlineLevel="1" collapsed="false"/>
    <row r="2344" customFormat="false" ht="12.75" hidden="false" customHeight="false" outlineLevel="1" collapsed="false"/>
    <row r="2345" customFormat="false" ht="12.75" hidden="false" customHeight="false" outlineLevel="1" collapsed="false"/>
    <row r="2346" customFormat="false" ht="12.75" hidden="false" customHeight="false" outlineLevel="1" collapsed="false"/>
    <row r="2347" customFormat="false" ht="12.75" hidden="false" customHeight="false" outlineLevel="1" collapsed="false"/>
    <row r="2348" customFormat="false" ht="12.75" hidden="false" customHeight="false" outlineLevel="1" collapsed="false"/>
    <row r="2349" customFormat="false" ht="12.75" hidden="false" customHeight="false" outlineLevel="1" collapsed="false"/>
    <row r="2350" customFormat="false" ht="12.75" hidden="false" customHeight="false" outlineLevel="1" collapsed="false"/>
    <row r="2351" customFormat="false" ht="12.75" hidden="false" customHeight="false" outlineLevel="1" collapsed="false"/>
    <row r="2352" customFormat="false" ht="12.75" hidden="false" customHeight="false" outlineLevel="1" collapsed="false"/>
    <row r="2353" customFormat="false" ht="12.75" hidden="false" customHeight="false" outlineLevel="1" collapsed="false"/>
    <row r="2354" customFormat="false" ht="12.75" hidden="false" customHeight="false" outlineLevel="1" collapsed="false"/>
    <row r="2355" customFormat="false" ht="12.75" hidden="false" customHeight="false" outlineLevel="1" collapsed="false"/>
    <row r="2356" customFormat="false" ht="12.75" hidden="false" customHeight="false" outlineLevel="1" collapsed="false"/>
    <row r="2357" customFormat="false" ht="12.75" hidden="false" customHeight="false" outlineLevel="1" collapsed="false"/>
    <row r="2358" customFormat="false" ht="12.75" hidden="false" customHeight="false" outlineLevel="1" collapsed="false"/>
    <row r="2359" customFormat="false" ht="12.75" hidden="false" customHeight="false" outlineLevel="1" collapsed="false"/>
    <row r="2360" customFormat="false" ht="12.75" hidden="false" customHeight="false" outlineLevel="1" collapsed="false"/>
    <row r="2361" customFormat="false" ht="12.75" hidden="false" customHeight="false" outlineLevel="1" collapsed="false"/>
    <row r="2362" customFormat="false" ht="12.75" hidden="false" customHeight="false" outlineLevel="1" collapsed="false"/>
    <row r="2363" customFormat="false" ht="12.75" hidden="false" customHeight="false" outlineLevel="1" collapsed="false"/>
    <row r="2364" customFormat="false" ht="12.75" hidden="false" customHeight="false" outlineLevel="1" collapsed="false"/>
    <row r="2365" customFormat="false" ht="12.75" hidden="false" customHeight="false" outlineLevel="1" collapsed="false"/>
    <row r="2366" customFormat="false" ht="12.75" hidden="false" customHeight="false" outlineLevel="1" collapsed="false"/>
    <row r="2367" customFormat="false" ht="12.75" hidden="false" customHeight="false" outlineLevel="1" collapsed="false"/>
    <row r="2368" customFormat="false" ht="12.75" hidden="false" customHeight="false" outlineLevel="1" collapsed="false"/>
    <row r="2369" customFormat="false" ht="12.75" hidden="false" customHeight="false" outlineLevel="1" collapsed="false"/>
    <row r="2370" customFormat="false" ht="12.75" hidden="false" customHeight="false" outlineLevel="1" collapsed="false"/>
    <row r="2371" customFormat="false" ht="12.75" hidden="false" customHeight="false" outlineLevel="1" collapsed="false"/>
    <row r="2372" customFormat="false" ht="12.75" hidden="false" customHeight="false" outlineLevel="1" collapsed="false"/>
    <row r="2373" customFormat="false" ht="12.75" hidden="false" customHeight="false" outlineLevel="1" collapsed="false"/>
    <row r="2374" customFormat="false" ht="12.75" hidden="false" customHeight="false" outlineLevel="1" collapsed="false"/>
    <row r="2375" customFormat="false" ht="12.75" hidden="false" customHeight="false" outlineLevel="1" collapsed="false"/>
    <row r="2376" customFormat="false" ht="12.75" hidden="false" customHeight="false" outlineLevel="1" collapsed="false"/>
    <row r="2377" customFormat="false" ht="12.75" hidden="false" customHeight="false" outlineLevel="1" collapsed="false"/>
    <row r="2378" customFormat="false" ht="12.75" hidden="false" customHeight="false" outlineLevel="1" collapsed="false"/>
    <row r="2379" customFormat="false" ht="12.75" hidden="false" customHeight="false" outlineLevel="1" collapsed="false"/>
    <row r="2380" customFormat="false" ht="12.75" hidden="false" customHeight="false" outlineLevel="1" collapsed="false"/>
    <row r="2381" customFormat="false" ht="12.75" hidden="false" customHeight="false" outlineLevel="1" collapsed="false"/>
    <row r="2382" customFormat="false" ht="12.75" hidden="false" customHeight="false" outlineLevel="1" collapsed="false"/>
    <row r="2383" customFormat="false" ht="12.75" hidden="false" customHeight="false" outlineLevel="1" collapsed="false"/>
    <row r="2384" customFormat="false" ht="12.75" hidden="false" customHeight="false" outlineLevel="1" collapsed="false"/>
    <row r="2385" customFormat="false" ht="12.75" hidden="false" customHeight="false" outlineLevel="1" collapsed="false"/>
    <row r="2386" customFormat="false" ht="12.75" hidden="false" customHeight="false" outlineLevel="1" collapsed="false"/>
    <row r="2387" customFormat="false" ht="12.75" hidden="false" customHeight="false" outlineLevel="1" collapsed="false"/>
    <row r="2388" customFormat="false" ht="12.75" hidden="false" customHeight="false" outlineLevel="1" collapsed="false"/>
    <row r="2389" customFormat="false" ht="12.75" hidden="false" customHeight="false" outlineLevel="1" collapsed="false"/>
    <row r="2390" customFormat="false" ht="12.75" hidden="false" customHeight="false" outlineLevel="1" collapsed="false"/>
    <row r="2391" customFormat="false" ht="12.75" hidden="false" customHeight="false" outlineLevel="1" collapsed="false"/>
    <row r="2392" customFormat="false" ht="12.75" hidden="false" customHeight="false" outlineLevel="1" collapsed="false"/>
    <row r="2393" customFormat="false" ht="12.75" hidden="false" customHeight="false" outlineLevel="1" collapsed="false"/>
    <row r="2394" customFormat="false" ht="12.75" hidden="false" customHeight="false" outlineLevel="1" collapsed="false"/>
    <row r="2395" customFormat="false" ht="12.75" hidden="false" customHeight="false" outlineLevel="1" collapsed="false"/>
    <row r="2396" customFormat="false" ht="12.75" hidden="false" customHeight="false" outlineLevel="1" collapsed="false"/>
    <row r="2397" customFormat="false" ht="12.75" hidden="false" customHeight="false" outlineLevel="1" collapsed="false"/>
    <row r="2398" customFormat="false" ht="12.75" hidden="false" customHeight="false" outlineLevel="1" collapsed="false"/>
    <row r="2399" customFormat="false" ht="12.75" hidden="false" customHeight="false" outlineLevel="1" collapsed="false"/>
    <row r="2400" customFormat="false" ht="12.75" hidden="false" customHeight="false" outlineLevel="1" collapsed="false"/>
    <row r="2401" customFormat="false" ht="12.75" hidden="false" customHeight="false" outlineLevel="1" collapsed="false"/>
    <row r="2402" customFormat="false" ht="12.75" hidden="false" customHeight="false" outlineLevel="1" collapsed="false"/>
    <row r="2403" customFormat="false" ht="12.75" hidden="false" customHeight="false" outlineLevel="1" collapsed="false"/>
    <row r="2404" customFormat="false" ht="12.75" hidden="false" customHeight="false" outlineLevel="1" collapsed="false"/>
    <row r="2405" customFormat="false" ht="12.75" hidden="false" customHeight="false" outlineLevel="1" collapsed="false"/>
    <row r="2406" customFormat="false" ht="12.75" hidden="false" customHeight="false" outlineLevel="1" collapsed="false"/>
    <row r="2407" customFormat="false" ht="12.75" hidden="false" customHeight="false" outlineLevel="1" collapsed="false"/>
    <row r="2408" customFormat="false" ht="12.75" hidden="false" customHeight="false" outlineLevel="1" collapsed="false"/>
    <row r="2409" customFormat="false" ht="12.75" hidden="false" customHeight="false" outlineLevel="1" collapsed="false"/>
    <row r="2410" customFormat="false" ht="12.75" hidden="false" customHeight="false" outlineLevel="1" collapsed="false"/>
    <row r="2411" customFormat="false" ht="12.75" hidden="false" customHeight="false" outlineLevel="1" collapsed="false"/>
    <row r="2412" customFormat="false" ht="12.75" hidden="false" customHeight="false" outlineLevel="1" collapsed="false"/>
    <row r="2413" customFormat="false" ht="12.75" hidden="false" customHeight="false" outlineLevel="1" collapsed="false"/>
    <row r="2414" customFormat="false" ht="12.75" hidden="false" customHeight="false" outlineLevel="1" collapsed="false"/>
    <row r="2415" customFormat="false" ht="12.75" hidden="false" customHeight="false" outlineLevel="1" collapsed="false"/>
    <row r="2416" customFormat="false" ht="12.75" hidden="false" customHeight="false" outlineLevel="1" collapsed="false"/>
    <row r="2417" customFormat="false" ht="12.75" hidden="false" customHeight="false" outlineLevel="1" collapsed="false"/>
    <row r="2418" customFormat="false" ht="12.75" hidden="false" customHeight="false" outlineLevel="1" collapsed="false"/>
    <row r="2419" customFormat="false" ht="12.75" hidden="false" customHeight="false" outlineLevel="1" collapsed="false"/>
    <row r="2420" customFormat="false" ht="12.75" hidden="false" customHeight="false" outlineLevel="1" collapsed="false"/>
    <row r="2421" customFormat="false" ht="12.75" hidden="false" customHeight="false" outlineLevel="1" collapsed="false"/>
    <row r="2422" customFormat="false" ht="12.75" hidden="false" customHeight="false" outlineLevel="1" collapsed="false"/>
    <row r="2423" customFormat="false" ht="12.75" hidden="false" customHeight="false" outlineLevel="1" collapsed="false"/>
    <row r="2424" customFormat="false" ht="12.75" hidden="false" customHeight="false" outlineLevel="1" collapsed="false"/>
    <row r="2425" customFormat="false" ht="12.75" hidden="false" customHeight="false" outlineLevel="1" collapsed="false"/>
    <row r="2426" customFormat="false" ht="12.75" hidden="false" customHeight="false" outlineLevel="1" collapsed="false"/>
    <row r="2427" customFormat="false" ht="12.75" hidden="false" customHeight="false" outlineLevel="1" collapsed="false"/>
    <row r="2428" customFormat="false" ht="12.75" hidden="false" customHeight="false" outlineLevel="1" collapsed="false"/>
    <row r="2429" customFormat="false" ht="12.75" hidden="false" customHeight="false" outlineLevel="1" collapsed="false"/>
    <row r="2430" customFormat="false" ht="12.75" hidden="false" customHeight="false" outlineLevel="1" collapsed="false"/>
    <row r="2431" customFormat="false" ht="12.75" hidden="false" customHeight="false" outlineLevel="1" collapsed="false"/>
    <row r="2432" customFormat="false" ht="12.75" hidden="false" customHeight="false" outlineLevel="1" collapsed="false"/>
    <row r="2433" customFormat="false" ht="12.75" hidden="false" customHeight="false" outlineLevel="1" collapsed="false"/>
    <row r="2434" customFormat="false" ht="12.75" hidden="false" customHeight="false" outlineLevel="1" collapsed="false"/>
    <row r="2435" customFormat="false" ht="12.75" hidden="false" customHeight="false" outlineLevel="1" collapsed="false"/>
    <row r="2436" customFormat="false" ht="12.75" hidden="false" customHeight="false" outlineLevel="1" collapsed="false"/>
    <row r="2437" customFormat="false" ht="12.75" hidden="false" customHeight="false" outlineLevel="1" collapsed="false"/>
    <row r="2438" customFormat="false" ht="12.75" hidden="false" customHeight="false" outlineLevel="1" collapsed="false"/>
    <row r="2439" customFormat="false" ht="12.75" hidden="false" customHeight="false" outlineLevel="1" collapsed="false"/>
    <row r="2440" customFormat="false" ht="12.75" hidden="false" customHeight="false" outlineLevel="1" collapsed="false"/>
    <row r="2441" customFormat="false" ht="12.75" hidden="false" customHeight="false" outlineLevel="1" collapsed="false"/>
    <row r="2442" customFormat="false" ht="12.75" hidden="false" customHeight="false" outlineLevel="1" collapsed="false"/>
    <row r="2443" customFormat="false" ht="12.75" hidden="false" customHeight="false" outlineLevel="1" collapsed="false"/>
    <row r="2444" customFormat="false" ht="12.75" hidden="false" customHeight="false" outlineLevel="1" collapsed="false"/>
    <row r="2445" customFormat="false" ht="12.75" hidden="false" customHeight="false" outlineLevel="1" collapsed="false"/>
    <row r="2446" customFormat="false" ht="12.75" hidden="false" customHeight="false" outlineLevel="1" collapsed="false"/>
    <row r="2447" customFormat="false" ht="12.75" hidden="false" customHeight="false" outlineLevel="1" collapsed="false"/>
    <row r="2448" customFormat="false" ht="12.75" hidden="false" customHeight="false" outlineLevel="1" collapsed="false"/>
    <row r="2449" customFormat="false" ht="12.75" hidden="false" customHeight="false" outlineLevel="1" collapsed="false"/>
    <row r="2450" customFormat="false" ht="12.75" hidden="false" customHeight="false" outlineLevel="1" collapsed="false"/>
    <row r="2451" customFormat="false" ht="12.75" hidden="false" customHeight="false" outlineLevel="1" collapsed="false"/>
    <row r="2452" customFormat="false" ht="12.75" hidden="false" customHeight="false" outlineLevel="1" collapsed="false"/>
    <row r="2453" customFormat="false" ht="12.75" hidden="false" customHeight="false" outlineLevel="1" collapsed="false"/>
    <row r="2454" customFormat="false" ht="12.75" hidden="false" customHeight="false" outlineLevel="1" collapsed="false"/>
    <row r="2455" customFormat="false" ht="12.75" hidden="false" customHeight="false" outlineLevel="1" collapsed="false"/>
    <row r="2456" customFormat="false" ht="12.75" hidden="false" customHeight="false" outlineLevel="1" collapsed="false"/>
    <row r="2457" customFormat="false" ht="12.75" hidden="false" customHeight="false" outlineLevel="1" collapsed="false"/>
    <row r="2458" customFormat="false" ht="12.75" hidden="false" customHeight="false" outlineLevel="1" collapsed="false"/>
    <row r="2459" customFormat="false" ht="12.75" hidden="false" customHeight="false" outlineLevel="1" collapsed="false"/>
    <row r="2460" customFormat="false" ht="12.75" hidden="false" customHeight="false" outlineLevel="1" collapsed="false"/>
    <row r="2461" customFormat="false" ht="12.75" hidden="false" customHeight="false" outlineLevel="1" collapsed="false"/>
    <row r="2462" customFormat="false" ht="12.75" hidden="false" customHeight="false" outlineLevel="1" collapsed="false"/>
    <row r="2463" customFormat="false" ht="12.75" hidden="false" customHeight="false" outlineLevel="1" collapsed="false"/>
    <row r="2464" customFormat="false" ht="12.75" hidden="false" customHeight="false" outlineLevel="1" collapsed="false"/>
    <row r="2465" customFormat="false" ht="12.75" hidden="false" customHeight="false" outlineLevel="1" collapsed="false"/>
    <row r="2466" customFormat="false" ht="12.75" hidden="false" customHeight="false" outlineLevel="1" collapsed="false"/>
    <row r="2467" customFormat="false" ht="12.75" hidden="false" customHeight="false" outlineLevel="1" collapsed="false"/>
    <row r="2468" customFormat="false" ht="12.75" hidden="false" customHeight="false" outlineLevel="1" collapsed="false"/>
    <row r="2469" customFormat="false" ht="12.75" hidden="false" customHeight="false" outlineLevel="1" collapsed="false"/>
    <row r="2470" customFormat="false" ht="12.75" hidden="false" customHeight="false" outlineLevel="1" collapsed="false"/>
    <row r="2471" customFormat="false" ht="12.75" hidden="false" customHeight="false" outlineLevel="1" collapsed="false"/>
    <row r="2472" customFormat="false" ht="12.75" hidden="false" customHeight="false" outlineLevel="1" collapsed="false"/>
    <row r="2473" customFormat="false" ht="12.75" hidden="false" customHeight="false" outlineLevel="1" collapsed="false"/>
    <row r="2474" customFormat="false" ht="12.75" hidden="false" customHeight="false" outlineLevel="1" collapsed="false"/>
    <row r="2475" customFormat="false" ht="12.75" hidden="false" customHeight="false" outlineLevel="1" collapsed="false"/>
    <row r="2476" customFormat="false" ht="12.75" hidden="false" customHeight="false" outlineLevel="1" collapsed="false"/>
    <row r="2477" customFormat="false" ht="12.75" hidden="false" customHeight="false" outlineLevel="1" collapsed="false"/>
    <row r="2478" customFormat="false" ht="12.75" hidden="false" customHeight="false" outlineLevel="1" collapsed="false"/>
    <row r="2479" customFormat="false" ht="12.75" hidden="false" customHeight="false" outlineLevel="1" collapsed="false"/>
    <row r="2480" customFormat="false" ht="12.75" hidden="false" customHeight="false" outlineLevel="1" collapsed="false"/>
    <row r="2481" customFormat="false" ht="12.75" hidden="false" customHeight="false" outlineLevel="1" collapsed="false"/>
    <row r="2482" customFormat="false" ht="12.75" hidden="false" customHeight="false" outlineLevel="1" collapsed="false"/>
    <row r="2483" customFormat="false" ht="12.75" hidden="false" customHeight="false" outlineLevel="1" collapsed="false"/>
    <row r="2484" customFormat="false" ht="12.75" hidden="false" customHeight="false" outlineLevel="1" collapsed="false"/>
    <row r="2485" customFormat="false" ht="12.75" hidden="false" customHeight="false" outlineLevel="1" collapsed="false"/>
    <row r="2486" customFormat="false" ht="12.75" hidden="false" customHeight="false" outlineLevel="1" collapsed="false"/>
    <row r="2487" customFormat="false" ht="12.75" hidden="false" customHeight="false" outlineLevel="1" collapsed="false"/>
    <row r="2488" customFormat="false" ht="12.75" hidden="false" customHeight="false" outlineLevel="1" collapsed="false"/>
    <row r="2489" customFormat="false" ht="12.75" hidden="false" customHeight="false" outlineLevel="1" collapsed="false"/>
    <row r="2490" customFormat="false" ht="12.75" hidden="false" customHeight="false" outlineLevel="1" collapsed="false"/>
    <row r="2491" customFormat="false" ht="12.75" hidden="false" customHeight="false" outlineLevel="1" collapsed="false"/>
    <row r="2492" customFormat="false" ht="12.75" hidden="false" customHeight="false" outlineLevel="1" collapsed="false"/>
    <row r="2493" customFormat="false" ht="12.75" hidden="false" customHeight="false" outlineLevel="1" collapsed="false"/>
    <row r="2494" customFormat="false" ht="12.75" hidden="false" customHeight="false" outlineLevel="1" collapsed="false"/>
    <row r="2495" customFormat="false" ht="12.75" hidden="false" customHeight="false" outlineLevel="1" collapsed="false"/>
    <row r="2496" customFormat="false" ht="12.75" hidden="false" customHeight="false" outlineLevel="1" collapsed="false"/>
    <row r="2497" customFormat="false" ht="12.75" hidden="false" customHeight="false" outlineLevel="1" collapsed="false"/>
    <row r="2498" customFormat="false" ht="12.75" hidden="false" customHeight="false" outlineLevel="1" collapsed="false"/>
    <row r="2499" customFormat="false" ht="12.75" hidden="false" customHeight="false" outlineLevel="1" collapsed="false"/>
    <row r="2500" customFormat="false" ht="12.75" hidden="false" customHeight="false" outlineLevel="1" collapsed="false"/>
    <row r="2501" customFormat="false" ht="12.75" hidden="false" customHeight="false" outlineLevel="1" collapsed="false"/>
    <row r="2502" customFormat="false" ht="12.75" hidden="false" customHeight="false" outlineLevel="1" collapsed="false"/>
    <row r="2503" customFormat="false" ht="12.75" hidden="false" customHeight="false" outlineLevel="1" collapsed="false"/>
    <row r="2504" customFormat="false" ht="12.75" hidden="false" customHeight="false" outlineLevel="1" collapsed="false"/>
    <row r="2505" customFormat="false" ht="12.75" hidden="false" customHeight="false" outlineLevel="1" collapsed="false"/>
    <row r="2506" customFormat="false" ht="12.75" hidden="false" customHeight="false" outlineLevel="1" collapsed="false"/>
    <row r="2507" customFormat="false" ht="12.75" hidden="false" customHeight="false" outlineLevel="1" collapsed="false"/>
    <row r="2508" customFormat="false" ht="12.75" hidden="false" customHeight="false" outlineLevel="1" collapsed="false"/>
    <row r="2509" customFormat="false" ht="12.75" hidden="false" customHeight="false" outlineLevel="1" collapsed="false"/>
    <row r="2510" customFormat="false" ht="12.75" hidden="false" customHeight="false" outlineLevel="1" collapsed="false"/>
    <row r="2511" customFormat="false" ht="12.75" hidden="false" customHeight="false" outlineLevel="1" collapsed="false"/>
    <row r="2512" customFormat="false" ht="12.75" hidden="false" customHeight="false" outlineLevel="1" collapsed="false"/>
    <row r="2513" customFormat="false" ht="12.75" hidden="false" customHeight="false" outlineLevel="1" collapsed="false"/>
    <row r="2514" customFormat="false" ht="12.75" hidden="false" customHeight="false" outlineLevel="1" collapsed="false"/>
    <row r="2515" customFormat="false" ht="12.75" hidden="false" customHeight="false" outlineLevel="1" collapsed="false"/>
    <row r="2516" customFormat="false" ht="12.75" hidden="false" customHeight="false" outlineLevel="1" collapsed="false"/>
    <row r="2517" customFormat="false" ht="12.75" hidden="false" customHeight="false" outlineLevel="1" collapsed="false"/>
    <row r="2518" customFormat="false" ht="12.75" hidden="false" customHeight="false" outlineLevel="1" collapsed="false"/>
    <row r="2519" customFormat="false" ht="12.75" hidden="false" customHeight="false" outlineLevel="1" collapsed="false"/>
    <row r="2520" customFormat="false" ht="12.75" hidden="false" customHeight="false" outlineLevel="1" collapsed="false"/>
    <row r="2521" customFormat="false" ht="12.75" hidden="false" customHeight="false" outlineLevel="1" collapsed="false"/>
    <row r="2522" customFormat="false" ht="12.75" hidden="false" customHeight="false" outlineLevel="1" collapsed="false"/>
    <row r="2523" customFormat="false" ht="12.75" hidden="false" customHeight="false" outlineLevel="1" collapsed="false"/>
    <row r="2524" customFormat="false" ht="12.75" hidden="false" customHeight="false" outlineLevel="1" collapsed="false"/>
    <row r="2525" customFormat="false" ht="12.75" hidden="false" customHeight="false" outlineLevel="1" collapsed="false"/>
    <row r="2526" customFormat="false" ht="12.75" hidden="false" customHeight="false" outlineLevel="1" collapsed="false"/>
    <row r="2527" customFormat="false" ht="12.75" hidden="false" customHeight="false" outlineLevel="1" collapsed="false"/>
    <row r="2528" customFormat="false" ht="12.75" hidden="false" customHeight="false" outlineLevel="1" collapsed="false"/>
    <row r="2529" customFormat="false" ht="12.75" hidden="false" customHeight="false" outlineLevel="1" collapsed="false"/>
    <row r="2530" customFormat="false" ht="12.75" hidden="false" customHeight="false" outlineLevel="1" collapsed="false"/>
    <row r="2531" customFormat="false" ht="12.75" hidden="false" customHeight="false" outlineLevel="1" collapsed="false"/>
    <row r="2532" customFormat="false" ht="12.75" hidden="false" customHeight="false" outlineLevel="1" collapsed="false"/>
    <row r="2533" customFormat="false" ht="12.75" hidden="false" customHeight="false" outlineLevel="1" collapsed="false"/>
    <row r="2534" customFormat="false" ht="12.75" hidden="false" customHeight="false" outlineLevel="1" collapsed="false"/>
    <row r="2535" customFormat="false" ht="12.75" hidden="false" customHeight="false" outlineLevel="1" collapsed="false"/>
    <row r="2536" customFormat="false" ht="12.75" hidden="false" customHeight="false" outlineLevel="1" collapsed="false"/>
    <row r="2537" customFormat="false" ht="12.75" hidden="false" customHeight="false" outlineLevel="1" collapsed="false"/>
    <row r="2538" customFormat="false" ht="12.75" hidden="false" customHeight="false" outlineLevel="1" collapsed="false"/>
    <row r="2539" customFormat="false" ht="12.75" hidden="false" customHeight="false" outlineLevel="1" collapsed="false"/>
    <row r="2540" customFormat="false" ht="12.75" hidden="false" customHeight="false" outlineLevel="1" collapsed="false"/>
    <row r="2541" customFormat="false" ht="12.75" hidden="false" customHeight="false" outlineLevel="1" collapsed="false"/>
    <row r="2542" customFormat="false" ht="12.75" hidden="false" customHeight="false" outlineLevel="1" collapsed="false"/>
    <row r="2543" customFormat="false" ht="12.75" hidden="false" customHeight="false" outlineLevel="1" collapsed="false"/>
    <row r="2544" customFormat="false" ht="12.75" hidden="false" customHeight="false" outlineLevel="1" collapsed="false"/>
    <row r="2545" customFormat="false" ht="12.75" hidden="false" customHeight="false" outlineLevel="1" collapsed="false"/>
    <row r="2546" customFormat="false" ht="12.75" hidden="false" customHeight="false" outlineLevel="1" collapsed="false"/>
    <row r="2547" customFormat="false" ht="12.75" hidden="false" customHeight="false" outlineLevel="1" collapsed="false"/>
    <row r="2548" customFormat="false" ht="12.75" hidden="false" customHeight="false" outlineLevel="1" collapsed="false"/>
    <row r="2549" customFormat="false" ht="12.75" hidden="false" customHeight="false" outlineLevel="1" collapsed="false"/>
    <row r="2550" customFormat="false" ht="12.75" hidden="false" customHeight="false" outlineLevel="1" collapsed="false"/>
    <row r="2551" customFormat="false" ht="12.75" hidden="false" customHeight="false" outlineLevel="1" collapsed="false"/>
    <row r="2552" customFormat="false" ht="12.75" hidden="false" customHeight="false" outlineLevel="1" collapsed="false"/>
    <row r="2553" customFormat="false" ht="12.75" hidden="false" customHeight="false" outlineLevel="1" collapsed="false"/>
    <row r="2554" customFormat="false" ht="12.75" hidden="false" customHeight="false" outlineLevel="1" collapsed="false"/>
    <row r="2555" customFormat="false" ht="12.75" hidden="false" customHeight="false" outlineLevel="1" collapsed="false"/>
    <row r="2556" customFormat="false" ht="12.75" hidden="false" customHeight="false" outlineLevel="1" collapsed="false"/>
    <row r="2557" customFormat="false" ht="12.75" hidden="false" customHeight="false" outlineLevel="1" collapsed="false"/>
    <row r="2558" customFormat="false" ht="12.75" hidden="false" customHeight="false" outlineLevel="1" collapsed="false"/>
    <row r="2559" customFormat="false" ht="12.75" hidden="false" customHeight="false" outlineLevel="1" collapsed="false"/>
    <row r="2560" customFormat="false" ht="12.75" hidden="false" customHeight="false" outlineLevel="1" collapsed="false"/>
    <row r="2561" customFormat="false" ht="12.75" hidden="false" customHeight="false" outlineLevel="1" collapsed="false"/>
    <row r="2562" customFormat="false" ht="12.75" hidden="false" customHeight="false" outlineLevel="1" collapsed="false"/>
    <row r="2563" customFormat="false" ht="12.75" hidden="false" customHeight="false" outlineLevel="1" collapsed="false"/>
    <row r="2564" customFormat="false" ht="12.75" hidden="false" customHeight="false" outlineLevel="1" collapsed="false"/>
    <row r="2565" customFormat="false" ht="12.75" hidden="false" customHeight="false" outlineLevel="1" collapsed="false"/>
    <row r="2566" customFormat="false" ht="12.75" hidden="false" customHeight="false" outlineLevel="1" collapsed="false"/>
    <row r="2567" customFormat="false" ht="12.75" hidden="false" customHeight="false" outlineLevel="1" collapsed="false"/>
    <row r="2568" customFormat="false" ht="12.75" hidden="false" customHeight="false" outlineLevel="1" collapsed="false"/>
    <row r="2569" customFormat="false" ht="12.75" hidden="false" customHeight="false" outlineLevel="1" collapsed="false"/>
    <row r="2570" customFormat="false" ht="12.75" hidden="false" customHeight="false" outlineLevel="1" collapsed="false"/>
    <row r="2571" customFormat="false" ht="12.75" hidden="false" customHeight="false" outlineLevel="1" collapsed="false"/>
    <row r="2572" customFormat="false" ht="12.75" hidden="false" customHeight="false" outlineLevel="1" collapsed="false"/>
    <row r="2573" customFormat="false" ht="12.75" hidden="false" customHeight="false" outlineLevel="1" collapsed="false"/>
    <row r="2574" customFormat="false" ht="12.75" hidden="false" customHeight="false" outlineLevel="1" collapsed="false"/>
    <row r="2575" customFormat="false" ht="12.75" hidden="false" customHeight="false" outlineLevel="1" collapsed="false"/>
    <row r="2576" customFormat="false" ht="12.75" hidden="false" customHeight="false" outlineLevel="1" collapsed="false"/>
    <row r="2577" customFormat="false" ht="12.75" hidden="false" customHeight="false" outlineLevel="1" collapsed="false"/>
    <row r="2578" customFormat="false" ht="12.75" hidden="false" customHeight="false" outlineLevel="1" collapsed="false"/>
    <row r="2579" customFormat="false" ht="12.75" hidden="false" customHeight="false" outlineLevel="1" collapsed="false"/>
    <row r="2580" customFormat="false" ht="12.75" hidden="false" customHeight="false" outlineLevel="1" collapsed="false"/>
    <row r="2581" customFormat="false" ht="12.75" hidden="false" customHeight="false" outlineLevel="1" collapsed="false"/>
    <row r="2582" customFormat="false" ht="12.75" hidden="false" customHeight="false" outlineLevel="1" collapsed="false"/>
    <row r="2583" customFormat="false" ht="12.75" hidden="false" customHeight="false" outlineLevel="1" collapsed="false"/>
    <row r="2584" customFormat="false" ht="12.75" hidden="false" customHeight="false" outlineLevel="1" collapsed="false"/>
    <row r="2585" customFormat="false" ht="12.75" hidden="false" customHeight="false" outlineLevel="1" collapsed="false"/>
    <row r="2586" customFormat="false" ht="12.75" hidden="false" customHeight="false" outlineLevel="1" collapsed="false"/>
    <row r="2587" customFormat="false" ht="12.75" hidden="false" customHeight="false" outlineLevel="1" collapsed="false"/>
    <row r="2588" customFormat="false" ht="12.75" hidden="false" customHeight="false" outlineLevel="1" collapsed="false"/>
    <row r="2589" customFormat="false" ht="12.75" hidden="false" customHeight="false" outlineLevel="1" collapsed="false"/>
    <row r="2590" customFormat="false" ht="12.75" hidden="false" customHeight="false" outlineLevel="1" collapsed="false"/>
    <row r="2591" customFormat="false" ht="12.75" hidden="false" customHeight="false" outlineLevel="1" collapsed="false"/>
    <row r="2592" customFormat="false" ht="12.75" hidden="false" customHeight="false" outlineLevel="1" collapsed="false"/>
    <row r="2593" customFormat="false" ht="12.75" hidden="false" customHeight="false" outlineLevel="1" collapsed="false"/>
    <row r="2594" customFormat="false" ht="12.75" hidden="false" customHeight="false" outlineLevel="1" collapsed="false"/>
    <row r="2595" customFormat="false" ht="12.75" hidden="false" customHeight="false" outlineLevel="1" collapsed="false"/>
    <row r="2596" customFormat="false" ht="12.75" hidden="false" customHeight="false" outlineLevel="1" collapsed="false"/>
    <row r="2597" customFormat="false" ht="12.75" hidden="false" customHeight="false" outlineLevel="1" collapsed="false"/>
    <row r="2598" customFormat="false" ht="12.75" hidden="false" customHeight="false" outlineLevel="1" collapsed="false"/>
    <row r="2599" customFormat="false" ht="12.75" hidden="false" customHeight="false" outlineLevel="1" collapsed="false"/>
    <row r="2600" customFormat="false" ht="12.75" hidden="false" customHeight="false" outlineLevel="1" collapsed="false"/>
    <row r="2601" customFormat="false" ht="12.75" hidden="false" customHeight="false" outlineLevel="1" collapsed="false"/>
    <row r="2602" customFormat="false" ht="12.75" hidden="false" customHeight="false" outlineLevel="1" collapsed="false"/>
    <row r="2603" customFormat="false" ht="12.75" hidden="false" customHeight="false" outlineLevel="1" collapsed="false"/>
    <row r="2604" customFormat="false" ht="12.75" hidden="false" customHeight="false" outlineLevel="1" collapsed="false"/>
    <row r="2605" customFormat="false" ht="12.75" hidden="false" customHeight="false" outlineLevel="1" collapsed="false"/>
    <row r="2606" customFormat="false" ht="12.75" hidden="false" customHeight="false" outlineLevel="1" collapsed="false"/>
    <row r="2607" customFormat="false" ht="12.75" hidden="false" customHeight="false" outlineLevel="1" collapsed="false"/>
    <row r="2608" customFormat="false" ht="12.75" hidden="false" customHeight="false" outlineLevel="1" collapsed="false"/>
    <row r="2609" customFormat="false" ht="12.75" hidden="false" customHeight="false" outlineLevel="1" collapsed="false"/>
    <row r="2610" customFormat="false" ht="12.75" hidden="false" customHeight="false" outlineLevel="1" collapsed="false"/>
    <row r="2611" customFormat="false" ht="12.75" hidden="false" customHeight="false" outlineLevel="1" collapsed="false"/>
    <row r="2612" customFormat="false" ht="12.75" hidden="false" customHeight="false" outlineLevel="1" collapsed="false"/>
    <row r="2613" customFormat="false" ht="12.75" hidden="false" customHeight="false" outlineLevel="1" collapsed="false"/>
    <row r="2614" customFormat="false" ht="12.75" hidden="false" customHeight="false" outlineLevel="1" collapsed="false"/>
    <row r="2615" customFormat="false" ht="12.75" hidden="false" customHeight="false" outlineLevel="1" collapsed="false"/>
    <row r="2616" customFormat="false" ht="12.75" hidden="false" customHeight="false" outlineLevel="1" collapsed="false"/>
    <row r="2617" customFormat="false" ht="12.75" hidden="false" customHeight="false" outlineLevel="1" collapsed="false"/>
    <row r="2618" customFormat="false" ht="12.75" hidden="false" customHeight="false" outlineLevel="1" collapsed="false"/>
    <row r="2619" customFormat="false" ht="12.75" hidden="false" customHeight="false" outlineLevel="1" collapsed="false"/>
    <row r="2620" customFormat="false" ht="12.75" hidden="false" customHeight="false" outlineLevel="1" collapsed="false"/>
    <row r="2621" customFormat="false" ht="12.75" hidden="false" customHeight="false" outlineLevel="1" collapsed="false"/>
    <row r="2622" customFormat="false" ht="12.75" hidden="false" customHeight="false" outlineLevel="1" collapsed="false"/>
    <row r="2623" customFormat="false" ht="12.75" hidden="false" customHeight="false" outlineLevel="1" collapsed="false"/>
    <row r="2624" customFormat="false" ht="12.75" hidden="false" customHeight="false" outlineLevel="1" collapsed="false"/>
    <row r="2625" customFormat="false" ht="12.75" hidden="false" customHeight="false" outlineLevel="1" collapsed="false"/>
    <row r="2626" customFormat="false" ht="12.75" hidden="false" customHeight="false" outlineLevel="1" collapsed="false"/>
    <row r="2627" customFormat="false" ht="12.75" hidden="false" customHeight="false" outlineLevel="1" collapsed="false"/>
    <row r="2628" customFormat="false" ht="12.75" hidden="false" customHeight="false" outlineLevel="1" collapsed="false"/>
    <row r="2629" customFormat="false" ht="12.75" hidden="false" customHeight="false" outlineLevel="1" collapsed="false"/>
    <row r="2630" customFormat="false" ht="12.75" hidden="false" customHeight="false" outlineLevel="1" collapsed="false"/>
    <row r="2631" customFormat="false" ht="12.75" hidden="false" customHeight="false" outlineLevel="1" collapsed="false"/>
    <row r="2632" customFormat="false" ht="12.75" hidden="false" customHeight="false" outlineLevel="1" collapsed="false"/>
    <row r="2633" customFormat="false" ht="12.75" hidden="false" customHeight="false" outlineLevel="1" collapsed="false"/>
    <row r="2634" customFormat="false" ht="12.75" hidden="false" customHeight="false" outlineLevel="1" collapsed="false"/>
    <row r="2635" customFormat="false" ht="12.75" hidden="false" customHeight="false" outlineLevel="1" collapsed="false"/>
    <row r="2636" customFormat="false" ht="12.75" hidden="false" customHeight="false" outlineLevel="1" collapsed="false"/>
    <row r="2637" customFormat="false" ht="12.75" hidden="false" customHeight="false" outlineLevel="1" collapsed="false"/>
    <row r="2638" customFormat="false" ht="12.75" hidden="false" customHeight="false" outlineLevel="1" collapsed="false"/>
    <row r="2639" customFormat="false" ht="12.75" hidden="false" customHeight="false" outlineLevel="1" collapsed="false"/>
    <row r="2640" customFormat="false" ht="12.75" hidden="false" customHeight="false" outlineLevel="1" collapsed="false"/>
    <row r="2641" customFormat="false" ht="12.75" hidden="false" customHeight="false" outlineLevel="1" collapsed="false"/>
    <row r="2642" customFormat="false" ht="12.75" hidden="false" customHeight="false" outlineLevel="1" collapsed="false"/>
    <row r="2643" customFormat="false" ht="12.75" hidden="false" customHeight="false" outlineLevel="1" collapsed="false"/>
    <row r="2644" customFormat="false" ht="12.75" hidden="false" customHeight="false" outlineLevel="1" collapsed="false"/>
    <row r="2645" customFormat="false" ht="12.75" hidden="false" customHeight="false" outlineLevel="1" collapsed="false"/>
    <row r="2646" customFormat="false" ht="12.75" hidden="false" customHeight="false" outlineLevel="1" collapsed="false"/>
    <row r="2647" customFormat="false" ht="12.75" hidden="false" customHeight="false" outlineLevel="1" collapsed="false"/>
    <row r="2648" customFormat="false" ht="12.75" hidden="false" customHeight="false" outlineLevel="1" collapsed="false"/>
    <row r="2649" customFormat="false" ht="12.75" hidden="false" customHeight="false" outlineLevel="1" collapsed="false"/>
    <row r="2650" customFormat="false" ht="12.75" hidden="false" customHeight="false" outlineLevel="1" collapsed="false"/>
    <row r="2651" customFormat="false" ht="12.75" hidden="false" customHeight="false" outlineLevel="1" collapsed="false"/>
    <row r="2652" customFormat="false" ht="12.75" hidden="false" customHeight="false" outlineLevel="1" collapsed="false"/>
    <row r="2653" customFormat="false" ht="12.75" hidden="false" customHeight="false" outlineLevel="1" collapsed="false"/>
    <row r="2654" customFormat="false" ht="12.75" hidden="false" customHeight="false" outlineLevel="1" collapsed="false"/>
    <row r="2655" customFormat="false" ht="12.75" hidden="false" customHeight="false" outlineLevel="1" collapsed="false"/>
    <row r="2656" customFormat="false" ht="12.75" hidden="false" customHeight="false" outlineLevel="1" collapsed="false"/>
    <row r="2657" customFormat="false" ht="12.75" hidden="false" customHeight="false" outlineLevel="1" collapsed="false"/>
    <row r="2658" customFormat="false" ht="12.75" hidden="false" customHeight="false" outlineLevel="1" collapsed="false"/>
    <row r="2659" customFormat="false" ht="12.75" hidden="false" customHeight="false" outlineLevel="1" collapsed="false"/>
    <row r="2660" customFormat="false" ht="12.75" hidden="false" customHeight="false" outlineLevel="1" collapsed="false"/>
    <row r="2661" customFormat="false" ht="12.75" hidden="false" customHeight="false" outlineLevel="1" collapsed="false"/>
    <row r="2662" customFormat="false" ht="12.75" hidden="false" customHeight="false" outlineLevel="1" collapsed="false"/>
    <row r="2663" customFormat="false" ht="12.75" hidden="false" customHeight="false" outlineLevel="1" collapsed="false"/>
    <row r="2664" customFormat="false" ht="12.75" hidden="false" customHeight="false" outlineLevel="1" collapsed="false"/>
    <row r="2665" customFormat="false" ht="12.75" hidden="false" customHeight="false" outlineLevel="1" collapsed="false"/>
    <row r="2666" customFormat="false" ht="12.75" hidden="false" customHeight="false" outlineLevel="1" collapsed="false"/>
    <row r="2667" customFormat="false" ht="12.75" hidden="false" customHeight="false" outlineLevel="1" collapsed="false"/>
    <row r="2668" customFormat="false" ht="12.75" hidden="false" customHeight="false" outlineLevel="1" collapsed="false"/>
    <row r="2669" customFormat="false" ht="12.75" hidden="false" customHeight="false" outlineLevel="1" collapsed="false"/>
    <row r="2670" customFormat="false" ht="12.75" hidden="false" customHeight="false" outlineLevel="1" collapsed="false"/>
    <row r="2671" customFormat="false" ht="12.75" hidden="false" customHeight="false" outlineLevel="1" collapsed="false"/>
    <row r="2672" customFormat="false" ht="12.75" hidden="false" customHeight="false" outlineLevel="1" collapsed="false"/>
    <row r="2673" customFormat="false" ht="12.75" hidden="false" customHeight="false" outlineLevel="1" collapsed="false"/>
    <row r="2674" customFormat="false" ht="12.75" hidden="false" customHeight="false" outlineLevel="1" collapsed="false"/>
    <row r="2675" customFormat="false" ht="12.75" hidden="false" customHeight="false" outlineLevel="1" collapsed="false"/>
    <row r="2676" customFormat="false" ht="12.75" hidden="false" customHeight="false" outlineLevel="1" collapsed="false"/>
    <row r="2677" customFormat="false" ht="12.75" hidden="false" customHeight="false" outlineLevel="1" collapsed="false"/>
    <row r="2678" customFormat="false" ht="12.75" hidden="false" customHeight="false" outlineLevel="1" collapsed="false"/>
    <row r="2679" customFormat="false" ht="12.75" hidden="false" customHeight="false" outlineLevel="1" collapsed="false"/>
    <row r="2680" customFormat="false" ht="12.75" hidden="false" customHeight="false" outlineLevel="1" collapsed="false"/>
    <row r="2681" customFormat="false" ht="12.75" hidden="false" customHeight="false" outlineLevel="1" collapsed="false"/>
    <row r="2682" customFormat="false" ht="12.75" hidden="false" customHeight="false" outlineLevel="1" collapsed="false"/>
    <row r="2683" customFormat="false" ht="12.75" hidden="false" customHeight="false" outlineLevel="1" collapsed="false"/>
    <row r="2684" customFormat="false" ht="12.75" hidden="false" customHeight="false" outlineLevel="1" collapsed="false"/>
    <row r="2685" customFormat="false" ht="12.75" hidden="false" customHeight="false" outlineLevel="1" collapsed="false"/>
    <row r="2686" customFormat="false" ht="12.75" hidden="false" customHeight="false" outlineLevel="1" collapsed="false"/>
    <row r="2687" customFormat="false" ht="12.75" hidden="false" customHeight="false" outlineLevel="1" collapsed="false"/>
    <row r="2688" customFormat="false" ht="12.75" hidden="false" customHeight="false" outlineLevel="1" collapsed="false"/>
    <row r="2689" customFormat="false" ht="12.75" hidden="false" customHeight="false" outlineLevel="1" collapsed="false"/>
    <row r="2690" customFormat="false" ht="12.75" hidden="false" customHeight="false" outlineLevel="1" collapsed="false"/>
    <row r="2691" customFormat="false" ht="12.75" hidden="false" customHeight="false" outlineLevel="1" collapsed="false"/>
    <row r="2692" customFormat="false" ht="12.75" hidden="false" customHeight="false" outlineLevel="1" collapsed="false"/>
    <row r="2693" customFormat="false" ht="12.75" hidden="false" customHeight="false" outlineLevel="1" collapsed="false"/>
    <row r="2694" customFormat="false" ht="12.75" hidden="false" customHeight="false" outlineLevel="1" collapsed="false"/>
    <row r="2695" customFormat="false" ht="12.75" hidden="false" customHeight="false" outlineLevel="1" collapsed="false"/>
    <row r="2696" customFormat="false" ht="12.75" hidden="false" customHeight="false" outlineLevel="1" collapsed="false"/>
    <row r="2697" customFormat="false" ht="12.75" hidden="false" customHeight="false" outlineLevel="1" collapsed="false"/>
    <row r="2698" customFormat="false" ht="12.75" hidden="false" customHeight="false" outlineLevel="1" collapsed="false"/>
    <row r="2699" customFormat="false" ht="12.75" hidden="false" customHeight="false" outlineLevel="1" collapsed="false"/>
    <row r="2700" customFormat="false" ht="12.75" hidden="false" customHeight="false" outlineLevel="1" collapsed="false"/>
    <row r="2701" customFormat="false" ht="12.75" hidden="false" customHeight="false" outlineLevel="1" collapsed="false"/>
    <row r="2702" customFormat="false" ht="12.75" hidden="false" customHeight="false" outlineLevel="1" collapsed="false"/>
    <row r="2703" customFormat="false" ht="12.75" hidden="false" customHeight="false" outlineLevel="1" collapsed="false"/>
    <row r="2704" customFormat="false" ht="12.75" hidden="false" customHeight="false" outlineLevel="1" collapsed="false"/>
    <row r="2705" customFormat="false" ht="12.75" hidden="false" customHeight="false" outlineLevel="1" collapsed="false"/>
    <row r="2706" customFormat="false" ht="12.75" hidden="false" customHeight="false" outlineLevel="1" collapsed="false"/>
    <row r="2707" customFormat="false" ht="12.75" hidden="false" customHeight="false" outlineLevel="1" collapsed="false"/>
    <row r="2708" customFormat="false" ht="12.75" hidden="false" customHeight="false" outlineLevel="1" collapsed="false"/>
    <row r="2709" customFormat="false" ht="12.75" hidden="false" customHeight="false" outlineLevel="1" collapsed="false"/>
    <row r="2710" customFormat="false" ht="12.75" hidden="false" customHeight="false" outlineLevel="1" collapsed="false"/>
    <row r="2711" customFormat="false" ht="12.75" hidden="false" customHeight="false" outlineLevel="1" collapsed="false"/>
    <row r="2712" customFormat="false" ht="12.75" hidden="false" customHeight="false" outlineLevel="1" collapsed="false"/>
    <row r="2713" customFormat="false" ht="12.75" hidden="false" customHeight="false" outlineLevel="1" collapsed="false"/>
    <row r="2714" customFormat="false" ht="12.75" hidden="false" customHeight="false" outlineLevel="1" collapsed="false"/>
    <row r="2715" customFormat="false" ht="12.75" hidden="false" customHeight="false" outlineLevel="1" collapsed="false"/>
    <row r="2716" customFormat="false" ht="12.75" hidden="false" customHeight="false" outlineLevel="1" collapsed="false"/>
    <row r="2717" customFormat="false" ht="12.75" hidden="false" customHeight="false" outlineLevel="1" collapsed="false"/>
    <row r="2718" customFormat="false" ht="12.75" hidden="false" customHeight="false" outlineLevel="1" collapsed="false"/>
    <row r="2719" customFormat="false" ht="12.75" hidden="false" customHeight="false" outlineLevel="1" collapsed="false"/>
    <row r="2720" customFormat="false" ht="12.75" hidden="false" customHeight="false" outlineLevel="1" collapsed="false"/>
    <row r="2721" customFormat="false" ht="12.75" hidden="false" customHeight="false" outlineLevel="1" collapsed="false"/>
    <row r="2722" customFormat="false" ht="12.75" hidden="false" customHeight="false" outlineLevel="1" collapsed="false"/>
    <row r="2723" customFormat="false" ht="12.75" hidden="false" customHeight="false" outlineLevel="1" collapsed="false"/>
    <row r="2724" customFormat="false" ht="12.75" hidden="false" customHeight="false" outlineLevel="1" collapsed="false"/>
    <row r="2725" customFormat="false" ht="12.75" hidden="false" customHeight="false" outlineLevel="1" collapsed="false"/>
    <row r="2726" customFormat="false" ht="12.75" hidden="false" customHeight="false" outlineLevel="1" collapsed="false"/>
    <row r="2727" customFormat="false" ht="12.75" hidden="false" customHeight="false" outlineLevel="1" collapsed="false"/>
    <row r="2728" customFormat="false" ht="12.75" hidden="false" customHeight="false" outlineLevel="1" collapsed="false"/>
    <row r="2729" customFormat="false" ht="12.75" hidden="false" customHeight="false" outlineLevel="1" collapsed="false"/>
    <row r="2730" customFormat="false" ht="12.75" hidden="false" customHeight="false" outlineLevel="1" collapsed="false"/>
    <row r="2731" customFormat="false" ht="12.75" hidden="false" customHeight="false" outlineLevel="1" collapsed="false"/>
    <row r="2732" customFormat="false" ht="12.75" hidden="false" customHeight="false" outlineLevel="1" collapsed="false"/>
    <row r="2733" customFormat="false" ht="12.75" hidden="false" customHeight="false" outlineLevel="1" collapsed="false"/>
    <row r="2734" customFormat="false" ht="12.75" hidden="false" customHeight="false" outlineLevel="1" collapsed="false"/>
    <row r="2735" customFormat="false" ht="12.75" hidden="false" customHeight="false" outlineLevel="1" collapsed="false"/>
    <row r="2736" customFormat="false" ht="12.75" hidden="false" customHeight="false" outlineLevel="1" collapsed="false"/>
    <row r="2737" customFormat="false" ht="12.75" hidden="false" customHeight="false" outlineLevel="1" collapsed="false"/>
    <row r="2738" customFormat="false" ht="12.75" hidden="false" customHeight="false" outlineLevel="1" collapsed="false"/>
    <row r="2739" customFormat="false" ht="12.75" hidden="false" customHeight="false" outlineLevel="1" collapsed="false"/>
    <row r="2740" customFormat="false" ht="12.75" hidden="false" customHeight="false" outlineLevel="1" collapsed="false"/>
    <row r="2741" customFormat="false" ht="12.75" hidden="false" customHeight="false" outlineLevel="1" collapsed="false"/>
    <row r="2742" customFormat="false" ht="12.75" hidden="false" customHeight="false" outlineLevel="1" collapsed="false"/>
    <row r="2743" customFormat="false" ht="12.75" hidden="false" customHeight="false" outlineLevel="1" collapsed="false"/>
    <row r="2744" customFormat="false" ht="12.75" hidden="false" customHeight="false" outlineLevel="1" collapsed="false"/>
    <row r="2745" customFormat="false" ht="12.75" hidden="false" customHeight="false" outlineLevel="1" collapsed="false"/>
    <row r="2746" customFormat="false" ht="12.75" hidden="false" customHeight="false" outlineLevel="1" collapsed="false"/>
    <row r="2747" customFormat="false" ht="12.75" hidden="false" customHeight="false" outlineLevel="1" collapsed="false"/>
    <row r="2748" customFormat="false" ht="12.75" hidden="false" customHeight="false" outlineLevel="1" collapsed="false"/>
    <row r="2749" customFormat="false" ht="12.75" hidden="false" customHeight="false" outlineLevel="1" collapsed="false"/>
    <row r="2750" customFormat="false" ht="12.75" hidden="false" customHeight="false" outlineLevel="1" collapsed="false"/>
    <row r="2751" customFormat="false" ht="12.75" hidden="false" customHeight="false" outlineLevel="1" collapsed="false"/>
    <row r="2752" customFormat="false" ht="12.75" hidden="false" customHeight="false" outlineLevel="1" collapsed="false"/>
    <row r="2753" customFormat="false" ht="12.75" hidden="false" customHeight="false" outlineLevel="1" collapsed="false"/>
    <row r="2754" customFormat="false" ht="12.75" hidden="false" customHeight="false" outlineLevel="1" collapsed="false"/>
    <row r="2755" customFormat="false" ht="12.75" hidden="false" customHeight="false" outlineLevel="1" collapsed="false"/>
    <row r="2756" customFormat="false" ht="12.75" hidden="false" customHeight="false" outlineLevel="1" collapsed="false"/>
    <row r="2757" customFormat="false" ht="12.75" hidden="false" customHeight="false" outlineLevel="1" collapsed="false"/>
    <row r="2758" customFormat="false" ht="12.75" hidden="false" customHeight="false" outlineLevel="1" collapsed="false"/>
    <row r="2759" customFormat="false" ht="12.75" hidden="false" customHeight="false" outlineLevel="1" collapsed="false"/>
    <row r="2760" customFormat="false" ht="12.75" hidden="false" customHeight="false" outlineLevel="1" collapsed="false"/>
    <row r="2761" customFormat="false" ht="12.75" hidden="false" customHeight="false" outlineLevel="1" collapsed="false"/>
    <row r="2762" customFormat="false" ht="12.75" hidden="false" customHeight="false" outlineLevel="1" collapsed="false"/>
    <row r="2763" customFormat="false" ht="12.75" hidden="false" customHeight="false" outlineLevel="1" collapsed="false"/>
    <row r="2764" customFormat="false" ht="12.75" hidden="false" customHeight="false" outlineLevel="1" collapsed="false"/>
    <row r="2765" customFormat="false" ht="12.75" hidden="false" customHeight="false" outlineLevel="1" collapsed="false"/>
    <row r="2766" customFormat="false" ht="12.75" hidden="false" customHeight="false" outlineLevel="1" collapsed="false"/>
    <row r="2767" customFormat="false" ht="12.75" hidden="false" customHeight="false" outlineLevel="1" collapsed="false"/>
    <row r="2768" customFormat="false" ht="12.75" hidden="false" customHeight="false" outlineLevel="1" collapsed="false"/>
    <row r="2769" customFormat="false" ht="12.75" hidden="false" customHeight="false" outlineLevel="1" collapsed="false"/>
    <row r="2770" customFormat="false" ht="12.75" hidden="false" customHeight="false" outlineLevel="1" collapsed="false"/>
    <row r="2771" customFormat="false" ht="12.75" hidden="false" customHeight="false" outlineLevel="1" collapsed="false"/>
    <row r="2772" customFormat="false" ht="12.75" hidden="false" customHeight="false" outlineLevel="1" collapsed="false"/>
    <row r="2773" customFormat="false" ht="12.75" hidden="false" customHeight="false" outlineLevel="1" collapsed="false"/>
    <row r="2774" customFormat="false" ht="12.75" hidden="false" customHeight="false" outlineLevel="1" collapsed="false"/>
    <row r="2775" customFormat="false" ht="12.75" hidden="false" customHeight="false" outlineLevel="1" collapsed="false"/>
    <row r="2776" customFormat="false" ht="12.75" hidden="false" customHeight="false" outlineLevel="1" collapsed="false"/>
    <row r="2777" customFormat="false" ht="12.75" hidden="false" customHeight="false" outlineLevel="1" collapsed="false"/>
    <row r="2778" customFormat="false" ht="12.75" hidden="false" customHeight="false" outlineLevel="1" collapsed="false"/>
    <row r="2779" customFormat="false" ht="12.75" hidden="false" customHeight="false" outlineLevel="1" collapsed="false"/>
    <row r="2780" customFormat="false" ht="12.75" hidden="false" customHeight="false" outlineLevel="1" collapsed="false"/>
    <row r="2781" customFormat="false" ht="12.75" hidden="false" customHeight="false" outlineLevel="1" collapsed="false"/>
    <row r="2782" customFormat="false" ht="12.75" hidden="false" customHeight="false" outlineLevel="1" collapsed="false"/>
    <row r="2783" customFormat="false" ht="12.75" hidden="false" customHeight="false" outlineLevel="1" collapsed="false"/>
    <row r="2784" customFormat="false" ht="12.75" hidden="false" customHeight="false" outlineLevel="1" collapsed="false"/>
    <row r="2785" customFormat="false" ht="12.75" hidden="false" customHeight="false" outlineLevel="1" collapsed="false"/>
    <row r="2786" customFormat="false" ht="12.75" hidden="false" customHeight="false" outlineLevel="1" collapsed="false"/>
    <row r="2787" customFormat="false" ht="12.75" hidden="false" customHeight="false" outlineLevel="1" collapsed="false"/>
    <row r="2788" customFormat="false" ht="12.75" hidden="false" customHeight="false" outlineLevel="1" collapsed="false"/>
    <row r="2789" customFormat="false" ht="12.75" hidden="false" customHeight="false" outlineLevel="1" collapsed="false"/>
    <row r="2790" customFormat="false" ht="12.75" hidden="false" customHeight="false" outlineLevel="1" collapsed="false"/>
    <row r="2791" customFormat="false" ht="12.75" hidden="false" customHeight="false" outlineLevel="1" collapsed="false"/>
    <row r="2792" customFormat="false" ht="12.75" hidden="false" customHeight="false" outlineLevel="1" collapsed="false"/>
    <row r="2793" customFormat="false" ht="12.75" hidden="false" customHeight="false" outlineLevel="1" collapsed="false"/>
    <row r="2794" customFormat="false" ht="12.75" hidden="false" customHeight="false" outlineLevel="1" collapsed="false"/>
    <row r="2795" customFormat="false" ht="12.75" hidden="false" customHeight="false" outlineLevel="1" collapsed="false"/>
    <row r="2796" customFormat="false" ht="12.75" hidden="false" customHeight="false" outlineLevel="1" collapsed="false"/>
    <row r="2797" customFormat="false" ht="12.75" hidden="false" customHeight="false" outlineLevel="1" collapsed="false"/>
    <row r="2798" customFormat="false" ht="12.75" hidden="false" customHeight="false" outlineLevel="1" collapsed="false"/>
    <row r="2799" customFormat="false" ht="12.75" hidden="false" customHeight="false" outlineLevel="1" collapsed="false"/>
    <row r="2800" customFormat="false" ht="12.75" hidden="false" customHeight="false" outlineLevel="1" collapsed="false"/>
    <row r="2801" customFormat="false" ht="12.75" hidden="false" customHeight="false" outlineLevel="1" collapsed="false"/>
    <row r="2802" customFormat="false" ht="12.75" hidden="false" customHeight="false" outlineLevel="1" collapsed="false"/>
    <row r="2803" customFormat="false" ht="12.75" hidden="false" customHeight="false" outlineLevel="1" collapsed="false"/>
    <row r="2804" customFormat="false" ht="12.75" hidden="false" customHeight="false" outlineLevel="1" collapsed="false"/>
    <row r="2805" customFormat="false" ht="12.75" hidden="false" customHeight="false" outlineLevel="1" collapsed="false"/>
    <row r="2806" customFormat="false" ht="12.75" hidden="false" customHeight="false" outlineLevel="1" collapsed="false"/>
    <row r="2807" customFormat="false" ht="12.75" hidden="false" customHeight="false" outlineLevel="1" collapsed="false"/>
    <row r="2808" customFormat="false" ht="12.75" hidden="false" customHeight="false" outlineLevel="1" collapsed="false"/>
    <row r="2809" customFormat="false" ht="12.75" hidden="false" customHeight="false" outlineLevel="1" collapsed="false"/>
    <row r="2810" customFormat="false" ht="12.75" hidden="false" customHeight="false" outlineLevel="1" collapsed="false"/>
    <row r="2811" customFormat="false" ht="12.75" hidden="false" customHeight="false" outlineLevel="1" collapsed="false"/>
    <row r="2812" customFormat="false" ht="12.75" hidden="false" customHeight="false" outlineLevel="1" collapsed="false"/>
    <row r="2813" customFormat="false" ht="12.75" hidden="false" customHeight="false" outlineLevel="1" collapsed="false"/>
    <row r="2814" customFormat="false" ht="12.75" hidden="false" customHeight="false" outlineLevel="1" collapsed="false"/>
    <row r="2815" customFormat="false" ht="12.75" hidden="false" customHeight="false" outlineLevel="1" collapsed="false"/>
    <row r="2816" customFormat="false" ht="12.75" hidden="false" customHeight="false" outlineLevel="1" collapsed="false"/>
    <row r="2817" customFormat="false" ht="12.75" hidden="false" customHeight="false" outlineLevel="1" collapsed="false"/>
    <row r="2818" customFormat="false" ht="12.75" hidden="false" customHeight="false" outlineLevel="1" collapsed="false"/>
    <row r="2819" customFormat="false" ht="12.75" hidden="false" customHeight="false" outlineLevel="1" collapsed="false"/>
    <row r="2820" customFormat="false" ht="12.75" hidden="false" customHeight="false" outlineLevel="1" collapsed="false"/>
    <row r="2821" customFormat="false" ht="12.75" hidden="false" customHeight="false" outlineLevel="1" collapsed="false"/>
    <row r="2822" customFormat="false" ht="12.75" hidden="false" customHeight="false" outlineLevel="1" collapsed="false"/>
    <row r="2823" customFormat="false" ht="12.75" hidden="false" customHeight="false" outlineLevel="1" collapsed="false"/>
    <row r="2824" customFormat="false" ht="12.75" hidden="false" customHeight="false" outlineLevel="1" collapsed="false"/>
    <row r="2825" customFormat="false" ht="12.75" hidden="false" customHeight="false" outlineLevel="1" collapsed="false"/>
    <row r="2826" customFormat="false" ht="12.75" hidden="false" customHeight="false" outlineLevel="1" collapsed="false"/>
    <row r="2827" customFormat="false" ht="12.75" hidden="false" customHeight="false" outlineLevel="1" collapsed="false"/>
    <row r="2828" customFormat="false" ht="12.75" hidden="false" customHeight="false" outlineLevel="1" collapsed="false"/>
    <row r="2829" customFormat="false" ht="12.75" hidden="false" customHeight="false" outlineLevel="1" collapsed="false"/>
    <row r="2830" customFormat="false" ht="12.75" hidden="false" customHeight="false" outlineLevel="1" collapsed="false"/>
    <row r="2831" customFormat="false" ht="12.75" hidden="false" customHeight="false" outlineLevel="1" collapsed="false"/>
    <row r="2832" customFormat="false" ht="12.75" hidden="false" customHeight="false" outlineLevel="1" collapsed="false"/>
    <row r="2833" customFormat="false" ht="12.75" hidden="false" customHeight="false" outlineLevel="1" collapsed="false"/>
    <row r="2834" customFormat="false" ht="12.75" hidden="false" customHeight="false" outlineLevel="1" collapsed="false"/>
    <row r="2835" customFormat="false" ht="12.75" hidden="false" customHeight="false" outlineLevel="1" collapsed="false"/>
    <row r="2836" customFormat="false" ht="12.75" hidden="false" customHeight="false" outlineLevel="1" collapsed="false"/>
    <row r="2837" customFormat="false" ht="12.75" hidden="false" customHeight="false" outlineLevel="1" collapsed="false"/>
    <row r="2838" customFormat="false" ht="12.75" hidden="false" customHeight="false" outlineLevel="1" collapsed="false"/>
    <row r="2839" customFormat="false" ht="12.75" hidden="false" customHeight="false" outlineLevel="1" collapsed="false"/>
    <row r="2840" customFormat="false" ht="12.75" hidden="false" customHeight="false" outlineLevel="1" collapsed="false"/>
    <row r="2841" customFormat="false" ht="12.75" hidden="false" customHeight="false" outlineLevel="1" collapsed="false"/>
    <row r="2842" customFormat="false" ht="12.75" hidden="false" customHeight="false" outlineLevel="1" collapsed="false"/>
    <row r="2843" customFormat="false" ht="12.75" hidden="false" customHeight="false" outlineLevel="1" collapsed="false"/>
    <row r="2844" customFormat="false" ht="12.75" hidden="false" customHeight="false" outlineLevel="1" collapsed="false"/>
    <row r="2845" customFormat="false" ht="12.75" hidden="false" customHeight="false" outlineLevel="1" collapsed="false"/>
    <row r="2846" customFormat="false" ht="12.75" hidden="false" customHeight="false" outlineLevel="1" collapsed="false"/>
    <row r="2847" customFormat="false" ht="12.75" hidden="false" customHeight="false" outlineLevel="1" collapsed="false"/>
    <row r="2848" customFormat="false" ht="12.75" hidden="false" customHeight="false" outlineLevel="1" collapsed="false"/>
    <row r="2849" customFormat="false" ht="12.75" hidden="false" customHeight="false" outlineLevel="1" collapsed="false"/>
    <row r="2850" customFormat="false" ht="12.75" hidden="false" customHeight="false" outlineLevel="1" collapsed="false"/>
    <row r="2851" customFormat="false" ht="12.75" hidden="false" customHeight="false" outlineLevel="1" collapsed="false"/>
    <row r="2852" customFormat="false" ht="12.75" hidden="false" customHeight="false" outlineLevel="1" collapsed="false"/>
    <row r="2853" customFormat="false" ht="12.75" hidden="false" customHeight="false" outlineLevel="1" collapsed="false"/>
    <row r="2854" customFormat="false" ht="12.75" hidden="false" customHeight="false" outlineLevel="1" collapsed="false"/>
    <row r="2855" customFormat="false" ht="12.75" hidden="false" customHeight="false" outlineLevel="1" collapsed="false"/>
    <row r="2856" customFormat="false" ht="12.75" hidden="false" customHeight="false" outlineLevel="1" collapsed="false"/>
    <row r="2857" customFormat="false" ht="12.75" hidden="false" customHeight="false" outlineLevel="1" collapsed="false"/>
    <row r="2858" customFormat="false" ht="12.75" hidden="false" customHeight="false" outlineLevel="1" collapsed="false"/>
    <row r="2859" customFormat="false" ht="12.75" hidden="false" customHeight="false" outlineLevel="1" collapsed="false"/>
    <row r="2860" customFormat="false" ht="12.75" hidden="false" customHeight="false" outlineLevel="1" collapsed="false"/>
    <row r="2861" customFormat="false" ht="12.75" hidden="false" customHeight="false" outlineLevel="1" collapsed="false"/>
    <row r="2862" customFormat="false" ht="12.75" hidden="false" customHeight="false" outlineLevel="1" collapsed="false"/>
    <row r="2863" customFormat="false" ht="12.75" hidden="false" customHeight="false" outlineLevel="1" collapsed="false"/>
    <row r="2864" customFormat="false" ht="12.75" hidden="false" customHeight="false" outlineLevel="1" collapsed="false"/>
    <row r="2865" customFormat="false" ht="12.75" hidden="false" customHeight="false" outlineLevel="1" collapsed="false"/>
    <row r="2866" customFormat="false" ht="12.75" hidden="false" customHeight="false" outlineLevel="1" collapsed="false"/>
    <row r="2867" customFormat="false" ht="12.75" hidden="false" customHeight="false" outlineLevel="1" collapsed="false"/>
    <row r="2868" customFormat="false" ht="12.75" hidden="false" customHeight="false" outlineLevel="1" collapsed="false"/>
    <row r="2869" customFormat="false" ht="12.75" hidden="false" customHeight="false" outlineLevel="1" collapsed="false"/>
    <row r="2870" customFormat="false" ht="12.75" hidden="false" customHeight="false" outlineLevel="1" collapsed="false"/>
    <row r="2871" customFormat="false" ht="12.75" hidden="false" customHeight="false" outlineLevel="1" collapsed="false"/>
    <row r="2872" customFormat="false" ht="12.75" hidden="false" customHeight="false" outlineLevel="1" collapsed="false"/>
    <row r="2873" customFormat="false" ht="12.75" hidden="false" customHeight="false" outlineLevel="1" collapsed="false"/>
    <row r="2874" customFormat="false" ht="12.75" hidden="false" customHeight="false" outlineLevel="1" collapsed="false"/>
    <row r="2875" customFormat="false" ht="12.75" hidden="false" customHeight="false" outlineLevel="1" collapsed="false"/>
    <row r="2876" customFormat="false" ht="12.75" hidden="false" customHeight="false" outlineLevel="1" collapsed="false"/>
    <row r="2877" customFormat="false" ht="12.75" hidden="false" customHeight="false" outlineLevel="1" collapsed="false"/>
    <row r="2878" customFormat="false" ht="12.75" hidden="false" customHeight="false" outlineLevel="1" collapsed="false"/>
    <row r="2879" customFormat="false" ht="12.75" hidden="false" customHeight="false" outlineLevel="1" collapsed="false"/>
    <row r="2880" customFormat="false" ht="12.75" hidden="false" customHeight="false" outlineLevel="1" collapsed="false"/>
    <row r="2881" customFormat="false" ht="12.75" hidden="false" customHeight="false" outlineLevel="1" collapsed="false"/>
    <row r="2882" customFormat="false" ht="12.75" hidden="false" customHeight="false" outlineLevel="1" collapsed="false"/>
    <row r="2883" customFormat="false" ht="12.75" hidden="false" customHeight="false" outlineLevel="1" collapsed="false"/>
    <row r="2884" customFormat="false" ht="12.75" hidden="false" customHeight="false" outlineLevel="1" collapsed="false"/>
    <row r="2885" customFormat="false" ht="12.75" hidden="false" customHeight="false" outlineLevel="1" collapsed="false"/>
    <row r="2886" customFormat="false" ht="12.75" hidden="false" customHeight="false" outlineLevel="1" collapsed="false"/>
    <row r="2887" customFormat="false" ht="12.75" hidden="false" customHeight="false" outlineLevel="1" collapsed="false"/>
    <row r="2888" customFormat="false" ht="12.75" hidden="false" customHeight="false" outlineLevel="1" collapsed="false"/>
    <row r="2889" customFormat="false" ht="12.75" hidden="false" customHeight="false" outlineLevel="1" collapsed="false"/>
    <row r="2890" customFormat="false" ht="12.75" hidden="false" customHeight="false" outlineLevel="1" collapsed="false"/>
    <row r="2891" customFormat="false" ht="12.75" hidden="false" customHeight="false" outlineLevel="1" collapsed="false"/>
    <row r="2892" customFormat="false" ht="12.75" hidden="false" customHeight="false" outlineLevel="1" collapsed="false"/>
    <row r="2893" customFormat="false" ht="12.75" hidden="false" customHeight="false" outlineLevel="1" collapsed="false"/>
    <row r="2894" customFormat="false" ht="12.75" hidden="false" customHeight="false" outlineLevel="1" collapsed="false"/>
    <row r="2895" customFormat="false" ht="12.75" hidden="false" customHeight="false" outlineLevel="1" collapsed="false"/>
    <row r="2896" customFormat="false" ht="12.75" hidden="false" customHeight="false" outlineLevel="1" collapsed="false"/>
    <row r="2897" customFormat="false" ht="12.75" hidden="false" customHeight="false" outlineLevel="1" collapsed="false"/>
    <row r="2898" customFormat="false" ht="12.75" hidden="false" customHeight="false" outlineLevel="1" collapsed="false"/>
    <row r="2899" customFormat="false" ht="12.75" hidden="false" customHeight="false" outlineLevel="1" collapsed="false"/>
    <row r="2900" customFormat="false" ht="12.75" hidden="false" customHeight="false" outlineLevel="1" collapsed="false"/>
    <row r="2901" customFormat="false" ht="12.75" hidden="false" customHeight="false" outlineLevel="1" collapsed="false"/>
    <row r="2902" customFormat="false" ht="12.75" hidden="false" customHeight="false" outlineLevel="1" collapsed="false"/>
    <row r="2903" customFormat="false" ht="12.75" hidden="false" customHeight="false" outlineLevel="1" collapsed="false"/>
    <row r="2904" customFormat="false" ht="12.75" hidden="false" customHeight="false" outlineLevel="1" collapsed="false"/>
    <row r="2905" customFormat="false" ht="12.75" hidden="false" customHeight="false" outlineLevel="1" collapsed="false"/>
    <row r="2906" customFormat="false" ht="12.75" hidden="false" customHeight="false" outlineLevel="1" collapsed="false"/>
    <row r="2907" customFormat="false" ht="12.75" hidden="false" customHeight="false" outlineLevel="1" collapsed="false"/>
    <row r="2908" customFormat="false" ht="12.75" hidden="false" customHeight="false" outlineLevel="1" collapsed="false"/>
    <row r="2909" customFormat="false" ht="12.75" hidden="false" customHeight="false" outlineLevel="1" collapsed="false"/>
    <row r="2910" customFormat="false" ht="12.75" hidden="false" customHeight="false" outlineLevel="1" collapsed="false"/>
    <row r="2911" customFormat="false" ht="12.75" hidden="false" customHeight="false" outlineLevel="1" collapsed="false"/>
    <row r="2912" customFormat="false" ht="12.75" hidden="false" customHeight="false" outlineLevel="1" collapsed="false"/>
    <row r="2913" customFormat="false" ht="12.75" hidden="false" customHeight="false" outlineLevel="1" collapsed="false"/>
    <row r="2914" customFormat="false" ht="12.75" hidden="false" customHeight="false" outlineLevel="1" collapsed="false"/>
    <row r="2915" customFormat="false" ht="12.75" hidden="false" customHeight="false" outlineLevel="1" collapsed="false"/>
    <row r="2916" customFormat="false" ht="12.75" hidden="false" customHeight="false" outlineLevel="1" collapsed="false"/>
    <row r="2917" customFormat="false" ht="12.75" hidden="false" customHeight="false" outlineLevel="1" collapsed="false"/>
    <row r="2918" customFormat="false" ht="12.75" hidden="false" customHeight="false" outlineLevel="1" collapsed="false"/>
    <row r="2919" customFormat="false" ht="12.75" hidden="false" customHeight="false" outlineLevel="1" collapsed="false"/>
    <row r="2920" customFormat="false" ht="12.75" hidden="false" customHeight="false" outlineLevel="1" collapsed="false"/>
    <row r="2921" customFormat="false" ht="12.75" hidden="false" customHeight="false" outlineLevel="1" collapsed="false"/>
    <row r="2922" customFormat="false" ht="12.75" hidden="false" customHeight="false" outlineLevel="1" collapsed="false"/>
    <row r="2923" customFormat="false" ht="12.75" hidden="false" customHeight="false" outlineLevel="1" collapsed="false"/>
    <row r="2924" customFormat="false" ht="12.75" hidden="false" customHeight="false" outlineLevel="1" collapsed="false"/>
    <row r="2925" customFormat="false" ht="12.75" hidden="false" customHeight="false" outlineLevel="1" collapsed="false"/>
    <row r="2926" customFormat="false" ht="12.75" hidden="false" customHeight="false" outlineLevel="1" collapsed="false"/>
    <row r="2927" customFormat="false" ht="12.75" hidden="false" customHeight="false" outlineLevel="1" collapsed="false"/>
    <row r="2928" customFormat="false" ht="12.75" hidden="false" customHeight="false" outlineLevel="1" collapsed="false"/>
    <row r="2929" customFormat="false" ht="12.75" hidden="false" customHeight="false" outlineLevel="1" collapsed="false"/>
    <row r="2930" customFormat="false" ht="12.75" hidden="false" customHeight="false" outlineLevel="1" collapsed="false"/>
    <row r="2931" customFormat="false" ht="12.75" hidden="false" customHeight="false" outlineLevel="1" collapsed="false"/>
    <row r="2932" customFormat="false" ht="12.75" hidden="false" customHeight="false" outlineLevel="1" collapsed="false"/>
    <row r="2933" customFormat="false" ht="12.75" hidden="false" customHeight="false" outlineLevel="1" collapsed="false"/>
    <row r="2934" customFormat="false" ht="12.75" hidden="false" customHeight="false" outlineLevel="1" collapsed="false"/>
    <row r="2935" customFormat="false" ht="12.75" hidden="false" customHeight="false" outlineLevel="1" collapsed="false"/>
    <row r="2936" customFormat="false" ht="12.75" hidden="false" customHeight="false" outlineLevel="1" collapsed="false"/>
    <row r="2937" customFormat="false" ht="12.75" hidden="false" customHeight="false" outlineLevel="1" collapsed="false"/>
    <row r="2938" customFormat="false" ht="12.75" hidden="false" customHeight="false" outlineLevel="1" collapsed="false"/>
    <row r="2939" customFormat="false" ht="12.75" hidden="false" customHeight="false" outlineLevel="1" collapsed="false"/>
    <row r="2940" customFormat="false" ht="12.75" hidden="false" customHeight="false" outlineLevel="1" collapsed="false"/>
    <row r="2941" customFormat="false" ht="12.75" hidden="false" customHeight="false" outlineLevel="1" collapsed="false"/>
    <row r="2942" customFormat="false" ht="12.75" hidden="false" customHeight="false" outlineLevel="1" collapsed="false"/>
    <row r="2943" customFormat="false" ht="12.75" hidden="false" customHeight="false" outlineLevel="1" collapsed="false"/>
    <row r="2944" customFormat="false" ht="12.75" hidden="false" customHeight="false" outlineLevel="1" collapsed="false"/>
    <row r="2945" customFormat="false" ht="12.75" hidden="false" customHeight="false" outlineLevel="1" collapsed="false"/>
    <row r="2946" customFormat="false" ht="12.75" hidden="false" customHeight="false" outlineLevel="1" collapsed="false"/>
    <row r="2947" customFormat="false" ht="12.75" hidden="false" customHeight="false" outlineLevel="1" collapsed="false"/>
    <row r="2948" customFormat="false" ht="12.75" hidden="false" customHeight="false" outlineLevel="1" collapsed="false"/>
    <row r="2949" customFormat="false" ht="12.75" hidden="false" customHeight="false" outlineLevel="1" collapsed="false"/>
    <row r="2950" customFormat="false" ht="12.75" hidden="false" customHeight="false" outlineLevel="1" collapsed="false"/>
    <row r="2951" customFormat="false" ht="12.75" hidden="false" customHeight="false" outlineLevel="1" collapsed="false"/>
    <row r="2952" customFormat="false" ht="12.75" hidden="false" customHeight="false" outlineLevel="1" collapsed="false"/>
    <row r="2953" customFormat="false" ht="12.75" hidden="false" customHeight="false" outlineLevel="1" collapsed="false"/>
    <row r="2954" customFormat="false" ht="12.75" hidden="false" customHeight="false" outlineLevel="1" collapsed="false"/>
    <row r="2955" customFormat="false" ht="12.75" hidden="false" customHeight="false" outlineLevel="1" collapsed="false"/>
    <row r="2956" customFormat="false" ht="12.75" hidden="false" customHeight="false" outlineLevel="1" collapsed="false"/>
    <row r="2957" customFormat="false" ht="12.75" hidden="false" customHeight="false" outlineLevel="1" collapsed="false"/>
    <row r="2958" customFormat="false" ht="12.75" hidden="false" customHeight="false" outlineLevel="1" collapsed="false"/>
    <row r="2959" customFormat="false" ht="12.75" hidden="false" customHeight="false" outlineLevel="1" collapsed="false"/>
    <row r="2960" customFormat="false" ht="12.75" hidden="false" customHeight="false" outlineLevel="1" collapsed="false"/>
    <row r="2961" customFormat="false" ht="12.75" hidden="false" customHeight="false" outlineLevel="1" collapsed="false"/>
    <row r="2962" customFormat="false" ht="12.75" hidden="false" customHeight="false" outlineLevel="1" collapsed="false"/>
    <row r="2963" customFormat="false" ht="12.75" hidden="false" customHeight="false" outlineLevel="1" collapsed="false"/>
    <row r="2964" customFormat="false" ht="12.75" hidden="false" customHeight="false" outlineLevel="1" collapsed="false"/>
    <row r="2965" customFormat="false" ht="12.75" hidden="false" customHeight="false" outlineLevel="1" collapsed="false"/>
    <row r="2966" customFormat="false" ht="12.75" hidden="false" customHeight="false" outlineLevel="1" collapsed="false"/>
    <row r="2967" customFormat="false" ht="12.75" hidden="false" customHeight="false" outlineLevel="1" collapsed="false"/>
    <row r="2968" customFormat="false" ht="12.75" hidden="false" customHeight="false" outlineLevel="1" collapsed="false"/>
    <row r="2969" customFormat="false" ht="12.75" hidden="false" customHeight="false" outlineLevel="1" collapsed="false"/>
    <row r="2970" customFormat="false" ht="12.75" hidden="false" customHeight="false" outlineLevel="1" collapsed="false"/>
    <row r="2971" customFormat="false" ht="12.75" hidden="false" customHeight="false" outlineLevel="1" collapsed="false"/>
    <row r="2972" customFormat="false" ht="12.75" hidden="false" customHeight="false" outlineLevel="1" collapsed="false"/>
    <row r="2973" customFormat="false" ht="12.75" hidden="false" customHeight="false" outlineLevel="1" collapsed="false"/>
    <row r="2974" customFormat="false" ht="12.75" hidden="false" customHeight="false" outlineLevel="1" collapsed="false"/>
    <row r="2975" customFormat="false" ht="12.75" hidden="false" customHeight="false" outlineLevel="1" collapsed="false"/>
    <row r="2976" customFormat="false" ht="12.75" hidden="false" customHeight="false" outlineLevel="1" collapsed="false"/>
    <row r="2977" customFormat="false" ht="12.75" hidden="false" customHeight="false" outlineLevel="1" collapsed="false"/>
    <row r="2978" customFormat="false" ht="12.75" hidden="false" customHeight="false" outlineLevel="1" collapsed="false"/>
    <row r="2979" customFormat="false" ht="12.75" hidden="false" customHeight="false" outlineLevel="1" collapsed="false"/>
    <row r="2980" customFormat="false" ht="12.75" hidden="false" customHeight="false" outlineLevel="1" collapsed="false"/>
    <row r="2981" customFormat="false" ht="12.75" hidden="false" customHeight="false" outlineLevel="1" collapsed="false"/>
    <row r="2982" customFormat="false" ht="12.75" hidden="false" customHeight="false" outlineLevel="1" collapsed="false"/>
    <row r="2983" customFormat="false" ht="12.75" hidden="false" customHeight="false" outlineLevel="1" collapsed="false"/>
    <row r="2984" customFormat="false" ht="12.75" hidden="false" customHeight="false" outlineLevel="1" collapsed="false"/>
    <row r="2985" customFormat="false" ht="12.75" hidden="false" customHeight="false" outlineLevel="1" collapsed="false"/>
    <row r="2986" customFormat="false" ht="12.75" hidden="false" customHeight="false" outlineLevel="1" collapsed="false"/>
    <row r="2987" customFormat="false" ht="12.75" hidden="false" customHeight="false" outlineLevel="1" collapsed="false"/>
    <row r="2988" customFormat="false" ht="12.75" hidden="false" customHeight="false" outlineLevel="1" collapsed="false"/>
    <row r="2989" customFormat="false" ht="12.75" hidden="false" customHeight="false" outlineLevel="1" collapsed="false"/>
    <row r="2990" customFormat="false" ht="12.75" hidden="false" customHeight="false" outlineLevel="1" collapsed="false"/>
    <row r="2991" customFormat="false" ht="12.75" hidden="false" customHeight="false" outlineLevel="1" collapsed="false"/>
    <row r="2992" customFormat="false" ht="12.75" hidden="false" customHeight="false" outlineLevel="1" collapsed="false"/>
    <row r="2993" customFormat="false" ht="12.75" hidden="false" customHeight="false" outlineLevel="1" collapsed="false"/>
    <row r="2994" customFormat="false" ht="12.75" hidden="false" customHeight="false" outlineLevel="1" collapsed="false"/>
    <row r="2995" customFormat="false" ht="12.75" hidden="false" customHeight="false" outlineLevel="1" collapsed="false"/>
    <row r="2996" customFormat="false" ht="12.75" hidden="false" customHeight="false" outlineLevel="1" collapsed="false"/>
    <row r="2997" customFormat="false" ht="12.75" hidden="false" customHeight="false" outlineLevel="1" collapsed="false"/>
    <row r="2998" customFormat="false" ht="12.75" hidden="false" customHeight="false" outlineLevel="1" collapsed="false"/>
    <row r="2999" customFormat="false" ht="12.75" hidden="false" customHeight="false" outlineLevel="1" collapsed="false"/>
    <row r="3000" customFormat="false" ht="12.75" hidden="false" customHeight="false" outlineLevel="1" collapsed="false"/>
    <row r="3001" customFormat="false" ht="12.75" hidden="false" customHeight="false" outlineLevel="1" collapsed="false"/>
    <row r="3002" customFormat="false" ht="12.75" hidden="false" customHeight="false" outlineLevel="1" collapsed="false"/>
    <row r="3003" customFormat="false" ht="12.75" hidden="false" customHeight="false" outlineLevel="1" collapsed="false"/>
    <row r="3004" customFormat="false" ht="12.75" hidden="false" customHeight="false" outlineLevel="1" collapsed="false"/>
    <row r="3005" customFormat="false" ht="12.75" hidden="false" customHeight="false" outlineLevel="1" collapsed="false"/>
    <row r="3006" customFormat="false" ht="12.75" hidden="false" customHeight="false" outlineLevel="1" collapsed="false"/>
    <row r="3007" customFormat="false" ht="12.75" hidden="false" customHeight="false" outlineLevel="1" collapsed="false"/>
    <row r="3008" customFormat="false" ht="12.75" hidden="false" customHeight="false" outlineLevel="1" collapsed="false"/>
    <row r="3009" customFormat="false" ht="12.75" hidden="false" customHeight="false" outlineLevel="1" collapsed="false"/>
    <row r="3010" customFormat="false" ht="12.75" hidden="false" customHeight="false" outlineLevel="1" collapsed="false"/>
    <row r="3011" customFormat="false" ht="12.75" hidden="false" customHeight="false" outlineLevel="1" collapsed="false"/>
    <row r="3012" customFormat="false" ht="12.75" hidden="false" customHeight="false" outlineLevel="1" collapsed="false"/>
    <row r="3013" customFormat="false" ht="12.75" hidden="false" customHeight="false" outlineLevel="1" collapsed="false"/>
    <row r="3014" customFormat="false" ht="12.75" hidden="false" customHeight="false" outlineLevel="1" collapsed="false"/>
    <row r="3015" customFormat="false" ht="12.75" hidden="false" customHeight="false" outlineLevel="1" collapsed="false"/>
    <row r="3016" customFormat="false" ht="12.75" hidden="false" customHeight="false" outlineLevel="1" collapsed="false"/>
    <row r="3017" customFormat="false" ht="12.75" hidden="false" customHeight="false" outlineLevel="1" collapsed="false"/>
    <row r="3018" customFormat="false" ht="12.75" hidden="false" customHeight="false" outlineLevel="1" collapsed="false"/>
    <row r="3019" customFormat="false" ht="12.75" hidden="false" customHeight="false" outlineLevel="1" collapsed="false"/>
    <row r="3020" customFormat="false" ht="12.75" hidden="false" customHeight="false" outlineLevel="1" collapsed="false"/>
    <row r="3021" customFormat="false" ht="12.75" hidden="false" customHeight="false" outlineLevel="1" collapsed="false"/>
    <row r="3022" customFormat="false" ht="12.75" hidden="false" customHeight="false" outlineLevel="1" collapsed="false"/>
    <row r="3023" customFormat="false" ht="12.75" hidden="false" customHeight="false" outlineLevel="1" collapsed="false"/>
    <row r="3024" customFormat="false" ht="12.75" hidden="false" customHeight="false" outlineLevel="1" collapsed="false"/>
    <row r="3025" customFormat="false" ht="12.75" hidden="false" customHeight="false" outlineLevel="1" collapsed="false"/>
    <row r="3026" customFormat="false" ht="12.75" hidden="false" customHeight="false" outlineLevel="1" collapsed="false"/>
    <row r="3027" customFormat="false" ht="12.75" hidden="false" customHeight="false" outlineLevel="1" collapsed="false"/>
    <row r="3028" customFormat="false" ht="12.75" hidden="false" customHeight="false" outlineLevel="1" collapsed="false"/>
    <row r="3029" customFormat="false" ht="12.75" hidden="false" customHeight="false" outlineLevel="1" collapsed="false"/>
    <row r="3030" customFormat="false" ht="12.75" hidden="false" customHeight="false" outlineLevel="1" collapsed="false"/>
    <row r="3031" customFormat="false" ht="12.75" hidden="false" customHeight="false" outlineLevel="1" collapsed="false"/>
    <row r="3032" customFormat="false" ht="12.75" hidden="false" customHeight="false" outlineLevel="1" collapsed="false"/>
    <row r="3033" customFormat="false" ht="12.75" hidden="false" customHeight="false" outlineLevel="1" collapsed="false"/>
    <row r="3034" customFormat="false" ht="12.75" hidden="false" customHeight="false" outlineLevel="1" collapsed="false"/>
    <row r="3035" customFormat="false" ht="12.75" hidden="false" customHeight="false" outlineLevel="1" collapsed="false"/>
    <row r="3036" customFormat="false" ht="12.75" hidden="false" customHeight="false" outlineLevel="1" collapsed="false"/>
    <row r="3037" customFormat="false" ht="12.75" hidden="false" customHeight="false" outlineLevel="1" collapsed="false"/>
    <row r="3038" customFormat="false" ht="12.75" hidden="false" customHeight="false" outlineLevel="1" collapsed="false"/>
    <row r="3039" customFormat="false" ht="12.75" hidden="false" customHeight="false" outlineLevel="1" collapsed="false"/>
    <row r="3040" customFormat="false" ht="12.75" hidden="false" customHeight="false" outlineLevel="1" collapsed="false"/>
    <row r="3041" customFormat="false" ht="12.75" hidden="false" customHeight="false" outlineLevel="1" collapsed="false"/>
    <row r="3042" customFormat="false" ht="12.75" hidden="false" customHeight="false" outlineLevel="1" collapsed="false"/>
    <row r="3043" customFormat="false" ht="12.75" hidden="false" customHeight="false" outlineLevel="1" collapsed="false"/>
    <row r="3044" customFormat="false" ht="12.75" hidden="false" customHeight="false" outlineLevel="1" collapsed="false"/>
    <row r="3045" customFormat="false" ht="12.75" hidden="false" customHeight="false" outlineLevel="1" collapsed="false"/>
    <row r="3046" customFormat="false" ht="12.75" hidden="false" customHeight="false" outlineLevel="1" collapsed="false"/>
    <row r="3047" customFormat="false" ht="12.75" hidden="false" customHeight="false" outlineLevel="1" collapsed="false"/>
    <row r="3048" customFormat="false" ht="12.75" hidden="false" customHeight="false" outlineLevel="1" collapsed="false"/>
    <row r="3049" customFormat="false" ht="12.75" hidden="false" customHeight="false" outlineLevel="1" collapsed="false"/>
    <row r="3050" customFormat="false" ht="12.75" hidden="false" customHeight="false" outlineLevel="1" collapsed="false"/>
    <row r="3051" customFormat="false" ht="12.75" hidden="false" customHeight="false" outlineLevel="1" collapsed="false"/>
    <row r="3052" customFormat="false" ht="12.75" hidden="false" customHeight="false" outlineLevel="1" collapsed="false"/>
    <row r="3053" customFormat="false" ht="12.75" hidden="false" customHeight="false" outlineLevel="1" collapsed="false"/>
    <row r="3054" customFormat="false" ht="12.75" hidden="false" customHeight="false" outlineLevel="1" collapsed="false"/>
    <row r="3055" customFormat="false" ht="12.75" hidden="false" customHeight="false" outlineLevel="1" collapsed="false"/>
    <row r="3056" customFormat="false" ht="12.75" hidden="false" customHeight="false" outlineLevel="1" collapsed="false"/>
    <row r="3057" customFormat="false" ht="12.75" hidden="false" customHeight="false" outlineLevel="1" collapsed="false"/>
    <row r="3058" customFormat="false" ht="12.75" hidden="false" customHeight="false" outlineLevel="1" collapsed="false"/>
    <row r="3059" customFormat="false" ht="12.75" hidden="false" customHeight="false" outlineLevel="1" collapsed="false"/>
    <row r="3060" customFormat="false" ht="12.75" hidden="false" customHeight="false" outlineLevel="1" collapsed="false"/>
    <row r="3061" customFormat="false" ht="12.75" hidden="false" customHeight="false" outlineLevel="1" collapsed="false"/>
    <row r="3062" customFormat="false" ht="12.75" hidden="false" customHeight="false" outlineLevel="1" collapsed="false"/>
    <row r="3063" customFormat="false" ht="12.75" hidden="false" customHeight="false" outlineLevel="1" collapsed="false"/>
    <row r="3064" customFormat="false" ht="12.75" hidden="false" customHeight="false" outlineLevel="1" collapsed="false"/>
    <row r="3065" customFormat="false" ht="12.75" hidden="false" customHeight="false" outlineLevel="1" collapsed="false"/>
    <row r="3066" customFormat="false" ht="12.75" hidden="false" customHeight="false" outlineLevel="1" collapsed="false"/>
    <row r="3067" customFormat="false" ht="12.75" hidden="false" customHeight="false" outlineLevel="1" collapsed="false"/>
    <row r="3068" customFormat="false" ht="12.75" hidden="false" customHeight="false" outlineLevel="1" collapsed="false"/>
    <row r="3069" customFormat="false" ht="12.75" hidden="false" customHeight="false" outlineLevel="1" collapsed="false"/>
    <row r="3070" customFormat="false" ht="12.75" hidden="false" customHeight="false" outlineLevel="1" collapsed="false"/>
    <row r="3071" customFormat="false" ht="12.75" hidden="false" customHeight="false" outlineLevel="1" collapsed="false"/>
    <row r="3072" customFormat="false" ht="12.75" hidden="false" customHeight="false" outlineLevel="1" collapsed="false"/>
    <row r="3073" customFormat="false" ht="12.75" hidden="false" customHeight="false" outlineLevel="1" collapsed="false"/>
    <row r="3074" customFormat="false" ht="12.75" hidden="false" customHeight="false" outlineLevel="1" collapsed="false"/>
    <row r="3075" customFormat="false" ht="12.75" hidden="false" customHeight="false" outlineLevel="1" collapsed="false"/>
    <row r="3076" customFormat="false" ht="12.75" hidden="false" customHeight="false" outlineLevel="1" collapsed="false"/>
    <row r="3077" customFormat="false" ht="12.75" hidden="false" customHeight="false" outlineLevel="1" collapsed="false"/>
    <row r="3078" customFormat="false" ht="12.75" hidden="false" customHeight="false" outlineLevel="1" collapsed="false"/>
    <row r="3079" customFormat="false" ht="12.75" hidden="false" customHeight="false" outlineLevel="1" collapsed="false"/>
    <row r="3080" customFormat="false" ht="12.75" hidden="false" customHeight="false" outlineLevel="1" collapsed="false"/>
    <row r="3081" customFormat="false" ht="12.75" hidden="false" customHeight="false" outlineLevel="1" collapsed="false"/>
    <row r="3082" customFormat="false" ht="12.75" hidden="false" customHeight="false" outlineLevel="1" collapsed="false"/>
    <row r="3083" customFormat="false" ht="12.75" hidden="false" customHeight="false" outlineLevel="1" collapsed="false"/>
    <row r="3084" customFormat="false" ht="12.75" hidden="false" customHeight="false" outlineLevel="1" collapsed="false"/>
    <row r="3085" customFormat="false" ht="12.75" hidden="false" customHeight="false" outlineLevel="1" collapsed="false"/>
    <row r="3086" customFormat="false" ht="12.75" hidden="false" customHeight="false" outlineLevel="1" collapsed="false"/>
    <row r="3087" customFormat="false" ht="12.75" hidden="false" customHeight="false" outlineLevel="1" collapsed="false"/>
    <row r="3088" customFormat="false" ht="12.75" hidden="false" customHeight="false" outlineLevel="1" collapsed="false"/>
    <row r="3089" customFormat="false" ht="12.75" hidden="false" customHeight="false" outlineLevel="1" collapsed="false"/>
    <row r="3090" customFormat="false" ht="12.75" hidden="false" customHeight="false" outlineLevel="1" collapsed="false"/>
    <row r="3091" customFormat="false" ht="12.75" hidden="false" customHeight="false" outlineLevel="1" collapsed="false"/>
    <row r="3092" customFormat="false" ht="12.75" hidden="false" customHeight="false" outlineLevel="1" collapsed="false"/>
    <row r="3093" customFormat="false" ht="12.75" hidden="false" customHeight="false" outlineLevel="1" collapsed="false"/>
    <row r="3094" customFormat="false" ht="12.75" hidden="false" customHeight="false" outlineLevel="1" collapsed="false"/>
    <row r="3095" customFormat="false" ht="12.75" hidden="false" customHeight="false" outlineLevel="1" collapsed="false"/>
    <row r="3096" customFormat="false" ht="12.75" hidden="false" customHeight="false" outlineLevel="1" collapsed="false"/>
    <row r="3097" customFormat="false" ht="12.75" hidden="false" customHeight="false" outlineLevel="1" collapsed="false"/>
    <row r="3098" customFormat="false" ht="12.75" hidden="false" customHeight="false" outlineLevel="1" collapsed="false"/>
    <row r="3099" customFormat="false" ht="12.75" hidden="false" customHeight="false" outlineLevel="1" collapsed="false"/>
    <row r="3100" customFormat="false" ht="12.75" hidden="false" customHeight="false" outlineLevel="1" collapsed="false"/>
    <row r="3101" customFormat="false" ht="12.75" hidden="false" customHeight="false" outlineLevel="1" collapsed="false"/>
    <row r="3102" customFormat="false" ht="12.75" hidden="false" customHeight="false" outlineLevel="1" collapsed="false"/>
    <row r="3103" customFormat="false" ht="12.75" hidden="false" customHeight="false" outlineLevel="1" collapsed="false"/>
    <row r="3104" customFormat="false" ht="12.75" hidden="false" customHeight="false" outlineLevel="1" collapsed="false"/>
    <row r="3105" customFormat="false" ht="12.75" hidden="false" customHeight="false" outlineLevel="1" collapsed="false"/>
    <row r="3106" customFormat="false" ht="12.75" hidden="false" customHeight="false" outlineLevel="1" collapsed="false"/>
    <row r="3107" customFormat="false" ht="12.75" hidden="false" customHeight="false" outlineLevel="1" collapsed="false"/>
    <row r="3108" customFormat="false" ht="12.75" hidden="false" customHeight="false" outlineLevel="1" collapsed="false"/>
    <row r="3109" customFormat="false" ht="12.75" hidden="false" customHeight="false" outlineLevel="1" collapsed="false"/>
    <row r="3110" customFormat="false" ht="12.75" hidden="false" customHeight="false" outlineLevel="1" collapsed="false"/>
    <row r="3111" customFormat="false" ht="12.75" hidden="false" customHeight="false" outlineLevel="1" collapsed="false"/>
    <row r="3112" customFormat="false" ht="12.75" hidden="false" customHeight="false" outlineLevel="1" collapsed="false"/>
    <row r="3113" customFormat="false" ht="12.75" hidden="false" customHeight="false" outlineLevel="1" collapsed="false"/>
    <row r="3114" customFormat="false" ht="12.75" hidden="false" customHeight="false" outlineLevel="1" collapsed="false"/>
    <row r="3115" customFormat="false" ht="12.75" hidden="false" customHeight="false" outlineLevel="1" collapsed="false"/>
    <row r="3116" customFormat="false" ht="12.75" hidden="false" customHeight="false" outlineLevel="1" collapsed="false"/>
    <row r="3117" customFormat="false" ht="12.75" hidden="false" customHeight="false" outlineLevel="1" collapsed="false"/>
    <row r="3118" customFormat="false" ht="12.75" hidden="false" customHeight="false" outlineLevel="1" collapsed="false"/>
    <row r="3119" customFormat="false" ht="12.75" hidden="false" customHeight="false" outlineLevel="1" collapsed="false"/>
    <row r="3120" customFormat="false" ht="12.75" hidden="false" customHeight="false" outlineLevel="1" collapsed="false"/>
    <row r="3121" customFormat="false" ht="12.75" hidden="false" customHeight="false" outlineLevel="1" collapsed="false"/>
    <row r="3122" customFormat="false" ht="12.75" hidden="false" customHeight="false" outlineLevel="1" collapsed="false"/>
    <row r="3123" customFormat="false" ht="12.75" hidden="false" customHeight="false" outlineLevel="1" collapsed="false"/>
    <row r="3124" customFormat="false" ht="12.75" hidden="false" customHeight="false" outlineLevel="1" collapsed="false"/>
    <row r="3125" customFormat="false" ht="12.75" hidden="false" customHeight="false" outlineLevel="1" collapsed="false"/>
    <row r="3126" customFormat="false" ht="12.75" hidden="false" customHeight="false" outlineLevel="1" collapsed="false"/>
    <row r="3127" customFormat="false" ht="12.75" hidden="false" customHeight="false" outlineLevel="1" collapsed="false"/>
    <row r="3128" customFormat="false" ht="12.75" hidden="false" customHeight="false" outlineLevel="1" collapsed="false"/>
    <row r="3129" customFormat="false" ht="12.75" hidden="false" customHeight="false" outlineLevel="1" collapsed="false"/>
    <row r="3130" customFormat="false" ht="12.75" hidden="false" customHeight="false" outlineLevel="1" collapsed="false"/>
    <row r="3131" customFormat="false" ht="12.75" hidden="false" customHeight="false" outlineLevel="1" collapsed="false"/>
    <row r="3132" customFormat="false" ht="12.75" hidden="false" customHeight="false" outlineLevel="1" collapsed="false"/>
    <row r="3133" customFormat="false" ht="12.75" hidden="false" customHeight="false" outlineLevel="1" collapsed="false"/>
    <row r="3134" customFormat="false" ht="12.75" hidden="false" customHeight="false" outlineLevel="1" collapsed="false"/>
    <row r="3135" customFormat="false" ht="12.75" hidden="false" customHeight="false" outlineLevel="1" collapsed="false"/>
    <row r="3136" customFormat="false" ht="12.75" hidden="false" customHeight="false" outlineLevel="1" collapsed="false"/>
    <row r="3137" customFormat="false" ht="12.75" hidden="false" customHeight="false" outlineLevel="1" collapsed="false"/>
    <row r="3138" customFormat="false" ht="12.75" hidden="false" customHeight="false" outlineLevel="1" collapsed="false"/>
    <row r="3139" customFormat="false" ht="12.75" hidden="false" customHeight="false" outlineLevel="1" collapsed="false"/>
    <row r="3140" customFormat="false" ht="12.75" hidden="false" customHeight="false" outlineLevel="1" collapsed="false"/>
    <row r="3141" customFormat="false" ht="12.75" hidden="false" customHeight="false" outlineLevel="1" collapsed="false"/>
    <row r="3142" customFormat="false" ht="12.75" hidden="false" customHeight="false" outlineLevel="1" collapsed="false"/>
    <row r="3143" customFormat="false" ht="12.75" hidden="false" customHeight="false" outlineLevel="1" collapsed="false"/>
    <row r="3144" customFormat="false" ht="12.75" hidden="false" customHeight="false" outlineLevel="1" collapsed="false"/>
    <row r="3145" customFormat="false" ht="12.75" hidden="false" customHeight="false" outlineLevel="1" collapsed="false"/>
    <row r="3146" customFormat="false" ht="12.75" hidden="false" customHeight="false" outlineLevel="1" collapsed="false"/>
    <row r="3147" customFormat="false" ht="12.75" hidden="false" customHeight="false" outlineLevel="1" collapsed="false"/>
    <row r="3148" customFormat="false" ht="12.75" hidden="false" customHeight="false" outlineLevel="1" collapsed="false"/>
    <row r="3149" customFormat="false" ht="12.75" hidden="false" customHeight="false" outlineLevel="1" collapsed="false"/>
    <row r="3150" customFormat="false" ht="12.75" hidden="false" customHeight="false" outlineLevel="1" collapsed="false"/>
    <row r="3151" customFormat="false" ht="12.75" hidden="false" customHeight="false" outlineLevel="1" collapsed="false"/>
    <row r="3152" customFormat="false" ht="12.75" hidden="false" customHeight="false" outlineLevel="1" collapsed="false"/>
    <row r="3153" customFormat="false" ht="12.75" hidden="false" customHeight="false" outlineLevel="1" collapsed="false"/>
    <row r="3154" customFormat="false" ht="12.75" hidden="false" customHeight="false" outlineLevel="1" collapsed="false"/>
    <row r="3155" customFormat="false" ht="12.75" hidden="false" customHeight="false" outlineLevel="1" collapsed="false"/>
    <row r="3156" customFormat="false" ht="12.75" hidden="false" customHeight="false" outlineLevel="1" collapsed="false"/>
    <row r="3157" customFormat="false" ht="12.75" hidden="false" customHeight="false" outlineLevel="1" collapsed="false"/>
    <row r="3158" customFormat="false" ht="12.75" hidden="false" customHeight="false" outlineLevel="1" collapsed="false"/>
    <row r="3159" customFormat="false" ht="12.75" hidden="false" customHeight="false" outlineLevel="1" collapsed="false"/>
    <row r="3160" customFormat="false" ht="12.75" hidden="false" customHeight="false" outlineLevel="1" collapsed="false"/>
    <row r="3161" customFormat="false" ht="12.75" hidden="false" customHeight="false" outlineLevel="1" collapsed="false"/>
    <row r="3162" customFormat="false" ht="12.75" hidden="false" customHeight="false" outlineLevel="1" collapsed="false"/>
    <row r="3163" customFormat="false" ht="12.75" hidden="false" customHeight="false" outlineLevel="1" collapsed="false"/>
    <row r="3164" customFormat="false" ht="12.75" hidden="false" customHeight="false" outlineLevel="1" collapsed="false"/>
    <row r="3165" customFormat="false" ht="12.75" hidden="false" customHeight="false" outlineLevel="1" collapsed="false"/>
    <row r="3166" customFormat="false" ht="12.75" hidden="false" customHeight="false" outlineLevel="1" collapsed="false"/>
    <row r="3167" customFormat="false" ht="12.75" hidden="false" customHeight="false" outlineLevel="1" collapsed="false"/>
    <row r="3168" customFormat="false" ht="12.75" hidden="false" customHeight="false" outlineLevel="1" collapsed="false"/>
    <row r="3169" customFormat="false" ht="12.75" hidden="false" customHeight="false" outlineLevel="1" collapsed="false"/>
    <row r="3170" customFormat="false" ht="12.75" hidden="false" customHeight="false" outlineLevel="1" collapsed="false"/>
    <row r="3171" customFormat="false" ht="12.75" hidden="false" customHeight="false" outlineLevel="1" collapsed="false"/>
    <row r="3172" customFormat="false" ht="12.75" hidden="false" customHeight="false" outlineLevel="1" collapsed="false"/>
    <row r="3173" customFormat="false" ht="12.75" hidden="false" customHeight="false" outlineLevel="1" collapsed="false"/>
    <row r="3174" customFormat="false" ht="12.75" hidden="false" customHeight="false" outlineLevel="1" collapsed="false"/>
    <row r="3175" customFormat="false" ht="12.75" hidden="false" customHeight="false" outlineLevel="1" collapsed="false"/>
    <row r="3176" customFormat="false" ht="12.75" hidden="false" customHeight="false" outlineLevel="1" collapsed="false"/>
    <row r="3177" customFormat="false" ht="12.75" hidden="false" customHeight="false" outlineLevel="1" collapsed="false"/>
    <row r="3178" customFormat="false" ht="12.75" hidden="false" customHeight="false" outlineLevel="1" collapsed="false"/>
    <row r="3179" customFormat="false" ht="12.75" hidden="false" customHeight="false" outlineLevel="1" collapsed="false"/>
    <row r="3180" customFormat="false" ht="12.75" hidden="false" customHeight="false" outlineLevel="1" collapsed="false"/>
    <row r="3181" customFormat="false" ht="12.75" hidden="false" customHeight="false" outlineLevel="1" collapsed="false"/>
    <row r="3182" customFormat="false" ht="12.75" hidden="false" customHeight="false" outlineLevel="1" collapsed="false"/>
    <row r="3183" customFormat="false" ht="12.75" hidden="false" customHeight="false" outlineLevel="1" collapsed="false"/>
    <row r="3184" customFormat="false" ht="12.75" hidden="false" customHeight="false" outlineLevel="1" collapsed="false"/>
    <row r="3185" customFormat="false" ht="12.75" hidden="false" customHeight="false" outlineLevel="1" collapsed="false"/>
    <row r="3186" customFormat="false" ht="12.75" hidden="false" customHeight="false" outlineLevel="1" collapsed="false"/>
    <row r="3187" customFormat="false" ht="12.75" hidden="false" customHeight="false" outlineLevel="1" collapsed="false"/>
    <row r="3188" customFormat="false" ht="12.75" hidden="false" customHeight="false" outlineLevel="1" collapsed="false"/>
    <row r="3189" customFormat="false" ht="12.75" hidden="false" customHeight="false" outlineLevel="1" collapsed="false"/>
    <row r="3190" customFormat="false" ht="12.75" hidden="false" customHeight="false" outlineLevel="1" collapsed="false"/>
    <row r="3191" customFormat="false" ht="12.75" hidden="false" customHeight="false" outlineLevel="1" collapsed="false"/>
    <row r="3192" customFormat="false" ht="12.75" hidden="false" customHeight="false" outlineLevel="1" collapsed="false"/>
    <row r="3193" customFormat="false" ht="12.75" hidden="false" customHeight="false" outlineLevel="1" collapsed="false"/>
    <row r="3194" customFormat="false" ht="12.75" hidden="false" customHeight="false" outlineLevel="1" collapsed="false"/>
    <row r="3195" customFormat="false" ht="12.75" hidden="false" customHeight="false" outlineLevel="1" collapsed="false"/>
    <row r="3196" customFormat="false" ht="12.75" hidden="false" customHeight="false" outlineLevel="1" collapsed="false"/>
    <row r="3197" customFormat="false" ht="12.75" hidden="false" customHeight="false" outlineLevel="1" collapsed="false"/>
    <row r="3198" customFormat="false" ht="12.75" hidden="false" customHeight="false" outlineLevel="1" collapsed="false"/>
    <row r="3199" customFormat="false" ht="12.75" hidden="false" customHeight="false" outlineLevel="1" collapsed="false"/>
    <row r="3200" customFormat="false" ht="12.75" hidden="false" customHeight="false" outlineLevel="1" collapsed="false"/>
    <row r="3201" customFormat="false" ht="12.75" hidden="false" customHeight="false" outlineLevel="1" collapsed="false"/>
    <row r="3202" customFormat="false" ht="12.75" hidden="false" customHeight="false" outlineLevel="1" collapsed="false"/>
    <row r="3203" customFormat="false" ht="12.75" hidden="false" customHeight="false" outlineLevel="1" collapsed="false"/>
    <row r="3204" customFormat="false" ht="12.75" hidden="false" customHeight="false" outlineLevel="1" collapsed="false"/>
    <row r="3205" customFormat="false" ht="12.75" hidden="false" customHeight="false" outlineLevel="1" collapsed="false"/>
    <row r="3206" customFormat="false" ht="12.75" hidden="false" customHeight="false" outlineLevel="1" collapsed="false"/>
    <row r="3207" customFormat="false" ht="12.75" hidden="false" customHeight="false" outlineLevel="1" collapsed="false"/>
    <row r="3208" customFormat="false" ht="12.75" hidden="false" customHeight="false" outlineLevel="1" collapsed="false"/>
    <row r="3209" customFormat="false" ht="12.75" hidden="false" customHeight="false" outlineLevel="1" collapsed="false"/>
    <row r="3210" customFormat="false" ht="12.75" hidden="false" customHeight="false" outlineLevel="1" collapsed="false"/>
    <row r="3211" customFormat="false" ht="12.75" hidden="false" customHeight="false" outlineLevel="1" collapsed="false"/>
    <row r="3212" customFormat="false" ht="12.75" hidden="false" customHeight="false" outlineLevel="1" collapsed="false"/>
    <row r="3213" customFormat="false" ht="12.75" hidden="false" customHeight="false" outlineLevel="1" collapsed="false"/>
    <row r="3214" customFormat="false" ht="12.75" hidden="false" customHeight="false" outlineLevel="1" collapsed="false"/>
    <row r="3215" customFormat="false" ht="12.75" hidden="false" customHeight="false" outlineLevel="1" collapsed="false"/>
    <row r="3216" customFormat="false" ht="12.75" hidden="false" customHeight="false" outlineLevel="1" collapsed="false"/>
    <row r="3217" customFormat="false" ht="12.75" hidden="false" customHeight="false" outlineLevel="1" collapsed="false"/>
    <row r="3218" customFormat="false" ht="12.75" hidden="false" customHeight="false" outlineLevel="1" collapsed="false"/>
    <row r="3219" customFormat="false" ht="12.75" hidden="false" customHeight="false" outlineLevel="1" collapsed="false"/>
    <row r="3220" customFormat="false" ht="12.75" hidden="false" customHeight="false" outlineLevel="1" collapsed="false"/>
    <row r="3221" customFormat="false" ht="12.75" hidden="false" customHeight="false" outlineLevel="1" collapsed="false"/>
    <row r="3222" customFormat="false" ht="12.75" hidden="false" customHeight="false" outlineLevel="1" collapsed="false"/>
    <row r="3223" customFormat="false" ht="12.75" hidden="false" customHeight="false" outlineLevel="1" collapsed="false"/>
    <row r="3224" customFormat="false" ht="12.75" hidden="false" customHeight="false" outlineLevel="1" collapsed="false"/>
    <row r="3225" customFormat="false" ht="12.75" hidden="false" customHeight="false" outlineLevel="1" collapsed="false"/>
    <row r="3226" customFormat="false" ht="12.75" hidden="false" customHeight="false" outlineLevel="1" collapsed="false"/>
    <row r="3227" customFormat="false" ht="12.75" hidden="false" customHeight="false" outlineLevel="1" collapsed="false"/>
    <row r="3228" customFormat="false" ht="12.75" hidden="false" customHeight="false" outlineLevel="1" collapsed="false"/>
    <row r="3229" customFormat="false" ht="12.75" hidden="false" customHeight="false" outlineLevel="1" collapsed="false"/>
    <row r="3230" customFormat="false" ht="12.75" hidden="false" customHeight="false" outlineLevel="1" collapsed="false"/>
    <row r="3231" customFormat="false" ht="12.75" hidden="false" customHeight="false" outlineLevel="1" collapsed="false"/>
    <row r="3232" customFormat="false" ht="12.75" hidden="false" customHeight="false" outlineLevel="1" collapsed="false"/>
    <row r="3233" customFormat="false" ht="12.75" hidden="false" customHeight="false" outlineLevel="1" collapsed="false"/>
    <row r="3234" customFormat="false" ht="12.75" hidden="false" customHeight="false" outlineLevel="1" collapsed="false"/>
    <row r="3235" customFormat="false" ht="12.75" hidden="false" customHeight="false" outlineLevel="1" collapsed="false"/>
    <row r="3236" customFormat="false" ht="12.75" hidden="false" customHeight="false" outlineLevel="1" collapsed="false"/>
    <row r="3237" customFormat="false" ht="12.75" hidden="false" customHeight="false" outlineLevel="1" collapsed="false"/>
    <row r="3238" customFormat="false" ht="12.75" hidden="false" customHeight="false" outlineLevel="1" collapsed="false"/>
    <row r="3239" customFormat="false" ht="12.75" hidden="false" customHeight="false" outlineLevel="1" collapsed="false"/>
    <row r="3240" customFormat="false" ht="12.75" hidden="false" customHeight="false" outlineLevel="1" collapsed="false"/>
    <row r="3241" customFormat="false" ht="12.75" hidden="false" customHeight="false" outlineLevel="1" collapsed="false"/>
    <row r="3242" customFormat="false" ht="12.75" hidden="false" customHeight="false" outlineLevel="1" collapsed="false"/>
    <row r="3243" customFormat="false" ht="12.75" hidden="false" customHeight="false" outlineLevel="1" collapsed="false"/>
    <row r="3244" customFormat="false" ht="12.75" hidden="false" customHeight="false" outlineLevel="1" collapsed="false"/>
    <row r="3245" customFormat="false" ht="12.75" hidden="false" customHeight="false" outlineLevel="1" collapsed="false"/>
    <row r="3246" customFormat="false" ht="12.75" hidden="false" customHeight="false" outlineLevel="1" collapsed="false"/>
    <row r="3247" customFormat="false" ht="12.75" hidden="false" customHeight="false" outlineLevel="1" collapsed="false"/>
    <row r="3248" customFormat="false" ht="12.75" hidden="false" customHeight="false" outlineLevel="1" collapsed="false"/>
    <row r="3249" customFormat="false" ht="12.75" hidden="false" customHeight="false" outlineLevel="1" collapsed="false"/>
    <row r="3250" customFormat="false" ht="12.75" hidden="false" customHeight="false" outlineLevel="1" collapsed="false"/>
    <row r="3251" customFormat="false" ht="12.75" hidden="false" customHeight="false" outlineLevel="1" collapsed="false"/>
    <row r="3252" customFormat="false" ht="12.75" hidden="false" customHeight="false" outlineLevel="1" collapsed="false"/>
    <row r="3253" customFormat="false" ht="12.75" hidden="false" customHeight="false" outlineLevel="1" collapsed="false"/>
    <row r="3254" customFormat="false" ht="12.75" hidden="false" customHeight="false" outlineLevel="1" collapsed="false"/>
    <row r="3255" customFormat="false" ht="12.75" hidden="false" customHeight="false" outlineLevel="1" collapsed="false"/>
    <row r="3256" customFormat="false" ht="12.75" hidden="false" customHeight="false" outlineLevel="1" collapsed="false"/>
    <row r="3257" customFormat="false" ht="12.75" hidden="false" customHeight="false" outlineLevel="1" collapsed="false"/>
    <row r="3258" customFormat="false" ht="12.75" hidden="false" customHeight="false" outlineLevel="1" collapsed="false"/>
    <row r="3259" customFormat="false" ht="12.75" hidden="false" customHeight="false" outlineLevel="1" collapsed="false"/>
    <row r="3260" customFormat="false" ht="12.75" hidden="false" customHeight="false" outlineLevel="1" collapsed="false"/>
    <row r="3261" customFormat="false" ht="12.75" hidden="false" customHeight="false" outlineLevel="1" collapsed="false"/>
    <row r="3262" customFormat="false" ht="12.75" hidden="false" customHeight="false" outlineLevel="1" collapsed="false"/>
    <row r="3263" customFormat="false" ht="12.75" hidden="false" customHeight="false" outlineLevel="1" collapsed="false"/>
    <row r="3264" customFormat="false" ht="12.75" hidden="false" customHeight="false" outlineLevel="1" collapsed="false"/>
    <row r="3265" customFormat="false" ht="12.75" hidden="false" customHeight="false" outlineLevel="1" collapsed="false"/>
    <row r="3266" customFormat="false" ht="12.75" hidden="false" customHeight="false" outlineLevel="1" collapsed="false"/>
    <row r="3267" customFormat="false" ht="12.75" hidden="false" customHeight="false" outlineLevel="1" collapsed="false"/>
    <row r="3268" customFormat="false" ht="12.75" hidden="false" customHeight="false" outlineLevel="1" collapsed="false"/>
    <row r="3269" customFormat="false" ht="12.75" hidden="false" customHeight="false" outlineLevel="1" collapsed="false"/>
    <row r="3270" customFormat="false" ht="12.75" hidden="false" customHeight="false" outlineLevel="1" collapsed="false"/>
    <row r="3271" customFormat="false" ht="12.75" hidden="false" customHeight="false" outlineLevel="1" collapsed="false"/>
    <row r="3272" customFormat="false" ht="12.75" hidden="false" customHeight="false" outlineLevel="1" collapsed="false"/>
    <row r="3273" customFormat="false" ht="12.75" hidden="false" customHeight="false" outlineLevel="1" collapsed="false"/>
    <row r="3274" customFormat="false" ht="12.75" hidden="false" customHeight="false" outlineLevel="1" collapsed="false"/>
    <row r="3275" customFormat="false" ht="12.75" hidden="false" customHeight="false" outlineLevel="1" collapsed="false"/>
    <row r="3276" customFormat="false" ht="12.75" hidden="false" customHeight="false" outlineLevel="1" collapsed="false"/>
    <row r="3277" customFormat="false" ht="12.75" hidden="false" customHeight="false" outlineLevel="1" collapsed="false"/>
    <row r="3278" customFormat="false" ht="12.75" hidden="false" customHeight="false" outlineLevel="1" collapsed="false"/>
    <row r="3279" customFormat="false" ht="12.75" hidden="false" customHeight="false" outlineLevel="1" collapsed="false"/>
    <row r="3280" customFormat="false" ht="12.75" hidden="false" customHeight="false" outlineLevel="1" collapsed="false"/>
    <row r="3281" customFormat="false" ht="12.75" hidden="false" customHeight="false" outlineLevel="1" collapsed="false"/>
    <row r="3282" customFormat="false" ht="12.75" hidden="false" customHeight="false" outlineLevel="1" collapsed="false"/>
    <row r="3283" customFormat="false" ht="12.75" hidden="false" customHeight="false" outlineLevel="1" collapsed="false"/>
    <row r="3284" customFormat="false" ht="12.75" hidden="false" customHeight="false" outlineLevel="1" collapsed="false"/>
    <row r="3285" customFormat="false" ht="12.75" hidden="false" customHeight="false" outlineLevel="1" collapsed="false"/>
    <row r="3286" customFormat="false" ht="12.75" hidden="false" customHeight="false" outlineLevel="1" collapsed="false"/>
    <row r="3287" customFormat="false" ht="12.75" hidden="false" customHeight="false" outlineLevel="1" collapsed="false"/>
    <row r="3288" customFormat="false" ht="12.75" hidden="false" customHeight="false" outlineLevel="1" collapsed="false"/>
    <row r="3289" customFormat="false" ht="12.75" hidden="false" customHeight="false" outlineLevel="1" collapsed="false"/>
    <row r="3290" customFormat="false" ht="12.75" hidden="false" customHeight="false" outlineLevel="1" collapsed="false"/>
    <row r="3291" customFormat="false" ht="12.75" hidden="false" customHeight="false" outlineLevel="1" collapsed="false"/>
    <row r="3292" customFormat="false" ht="12.75" hidden="false" customHeight="false" outlineLevel="1" collapsed="false"/>
    <row r="3293" customFormat="false" ht="12.75" hidden="false" customHeight="false" outlineLevel="1" collapsed="false"/>
    <row r="3294" customFormat="false" ht="12.75" hidden="false" customHeight="false" outlineLevel="1" collapsed="false"/>
    <row r="3295" customFormat="false" ht="12.75" hidden="false" customHeight="false" outlineLevel="1" collapsed="false"/>
    <row r="3296" customFormat="false" ht="12.75" hidden="false" customHeight="false" outlineLevel="1" collapsed="false"/>
    <row r="3297" customFormat="false" ht="12.75" hidden="false" customHeight="false" outlineLevel="1" collapsed="false"/>
    <row r="3298" customFormat="false" ht="12.75" hidden="false" customHeight="false" outlineLevel="1" collapsed="false"/>
    <row r="3299" customFormat="false" ht="12.75" hidden="false" customHeight="false" outlineLevel="1" collapsed="false"/>
    <row r="3300" customFormat="false" ht="12.75" hidden="false" customHeight="false" outlineLevel="1" collapsed="false"/>
    <row r="3301" customFormat="false" ht="12.75" hidden="false" customHeight="false" outlineLevel="1" collapsed="false"/>
    <row r="3302" customFormat="false" ht="12.75" hidden="false" customHeight="false" outlineLevel="1" collapsed="false"/>
    <row r="3303" customFormat="false" ht="12.75" hidden="false" customHeight="false" outlineLevel="1" collapsed="false"/>
    <row r="3304" customFormat="false" ht="12.75" hidden="false" customHeight="false" outlineLevel="1" collapsed="false"/>
    <row r="3305" customFormat="false" ht="12.75" hidden="false" customHeight="false" outlineLevel="1" collapsed="false"/>
    <row r="3306" customFormat="false" ht="12.75" hidden="false" customHeight="false" outlineLevel="1" collapsed="false"/>
    <row r="3307" customFormat="false" ht="12.75" hidden="false" customHeight="false" outlineLevel="1" collapsed="false"/>
    <row r="3308" customFormat="false" ht="12.75" hidden="false" customHeight="false" outlineLevel="1" collapsed="false"/>
    <row r="3309" customFormat="false" ht="12.75" hidden="false" customHeight="false" outlineLevel="1" collapsed="false"/>
    <row r="3310" customFormat="false" ht="12.75" hidden="false" customHeight="false" outlineLevel="1" collapsed="false"/>
    <row r="3311" customFormat="false" ht="12.75" hidden="false" customHeight="false" outlineLevel="1" collapsed="false"/>
    <row r="3312" customFormat="false" ht="12.75" hidden="false" customHeight="false" outlineLevel="1" collapsed="false"/>
    <row r="3313" customFormat="false" ht="12.75" hidden="false" customHeight="false" outlineLevel="1" collapsed="false"/>
    <row r="3314" customFormat="false" ht="12.75" hidden="false" customHeight="false" outlineLevel="1" collapsed="false"/>
    <row r="3315" customFormat="false" ht="12.75" hidden="false" customHeight="false" outlineLevel="1" collapsed="false"/>
    <row r="3316" customFormat="false" ht="12.75" hidden="false" customHeight="false" outlineLevel="1" collapsed="false"/>
    <row r="3317" customFormat="false" ht="12.75" hidden="false" customHeight="false" outlineLevel="1" collapsed="false"/>
    <row r="3318" customFormat="false" ht="12.75" hidden="false" customHeight="false" outlineLevel="1" collapsed="false"/>
    <row r="3319" customFormat="false" ht="12.75" hidden="false" customHeight="false" outlineLevel="1" collapsed="false"/>
    <row r="3320" customFormat="false" ht="12.75" hidden="false" customHeight="false" outlineLevel="1" collapsed="false"/>
    <row r="3321" customFormat="false" ht="12.75" hidden="false" customHeight="false" outlineLevel="1" collapsed="false"/>
    <row r="3322" customFormat="false" ht="12.75" hidden="false" customHeight="false" outlineLevel="1" collapsed="false"/>
    <row r="3323" customFormat="false" ht="12.75" hidden="false" customHeight="false" outlineLevel="1" collapsed="false"/>
    <row r="3324" customFormat="false" ht="12.75" hidden="false" customHeight="false" outlineLevel="1" collapsed="false"/>
    <row r="3325" customFormat="false" ht="12.75" hidden="false" customHeight="false" outlineLevel="1" collapsed="false"/>
    <row r="3326" customFormat="false" ht="12.75" hidden="false" customHeight="false" outlineLevel="1" collapsed="false"/>
    <row r="3327" customFormat="false" ht="12.75" hidden="false" customHeight="false" outlineLevel="1" collapsed="false"/>
    <row r="3328" customFormat="false" ht="12.75" hidden="false" customHeight="false" outlineLevel="1" collapsed="false"/>
    <row r="3329" customFormat="false" ht="12.75" hidden="false" customHeight="false" outlineLevel="1" collapsed="false"/>
    <row r="3330" customFormat="false" ht="12.75" hidden="false" customHeight="false" outlineLevel="1" collapsed="false"/>
    <row r="3331" customFormat="false" ht="12.75" hidden="false" customHeight="false" outlineLevel="1" collapsed="false"/>
    <row r="3332" customFormat="false" ht="12.75" hidden="false" customHeight="false" outlineLevel="1" collapsed="false"/>
    <row r="3333" customFormat="false" ht="12.75" hidden="false" customHeight="false" outlineLevel="1" collapsed="false"/>
    <row r="3334" customFormat="false" ht="12.75" hidden="false" customHeight="false" outlineLevel="1" collapsed="false"/>
    <row r="3335" customFormat="false" ht="12.75" hidden="false" customHeight="false" outlineLevel="1" collapsed="false"/>
    <row r="3336" customFormat="false" ht="12.75" hidden="false" customHeight="false" outlineLevel="1" collapsed="false"/>
    <row r="3337" customFormat="false" ht="12.75" hidden="false" customHeight="false" outlineLevel="1" collapsed="false"/>
    <row r="3338" customFormat="false" ht="12.75" hidden="false" customHeight="false" outlineLevel="1" collapsed="false"/>
    <row r="3339" customFormat="false" ht="12.75" hidden="false" customHeight="false" outlineLevel="1" collapsed="false"/>
    <row r="3340" customFormat="false" ht="12.75" hidden="false" customHeight="false" outlineLevel="1" collapsed="false"/>
    <row r="3341" customFormat="false" ht="12.75" hidden="false" customHeight="false" outlineLevel="1" collapsed="false"/>
    <row r="3342" customFormat="false" ht="12.75" hidden="false" customHeight="false" outlineLevel="1" collapsed="false"/>
    <row r="3343" customFormat="false" ht="12.75" hidden="false" customHeight="false" outlineLevel="1" collapsed="false"/>
    <row r="3344" customFormat="false" ht="12.75" hidden="false" customHeight="false" outlineLevel="1" collapsed="false"/>
    <row r="3345" customFormat="false" ht="12.75" hidden="false" customHeight="false" outlineLevel="1" collapsed="false"/>
    <row r="3346" customFormat="false" ht="12.75" hidden="false" customHeight="false" outlineLevel="1" collapsed="false"/>
    <row r="3347" customFormat="false" ht="12.75" hidden="false" customHeight="false" outlineLevel="1" collapsed="false"/>
    <row r="3348" customFormat="false" ht="12.75" hidden="false" customHeight="false" outlineLevel="1" collapsed="false"/>
    <row r="3349" customFormat="false" ht="12.75" hidden="false" customHeight="false" outlineLevel="1" collapsed="false"/>
    <row r="3350" customFormat="false" ht="12.75" hidden="false" customHeight="false" outlineLevel="1" collapsed="false"/>
    <row r="3351" customFormat="false" ht="12.75" hidden="false" customHeight="false" outlineLevel="1" collapsed="false"/>
    <row r="3352" customFormat="false" ht="12.75" hidden="false" customHeight="false" outlineLevel="1" collapsed="false"/>
    <row r="3353" customFormat="false" ht="12.75" hidden="false" customHeight="false" outlineLevel="1" collapsed="false"/>
    <row r="3354" customFormat="false" ht="12.75" hidden="false" customHeight="false" outlineLevel="1" collapsed="false"/>
    <row r="3355" customFormat="false" ht="12.75" hidden="false" customHeight="false" outlineLevel="1" collapsed="false"/>
    <row r="3356" customFormat="false" ht="12.75" hidden="false" customHeight="false" outlineLevel="1" collapsed="false"/>
    <row r="3357" customFormat="false" ht="12.75" hidden="false" customHeight="false" outlineLevel="1" collapsed="false"/>
    <row r="3358" customFormat="false" ht="12.75" hidden="false" customHeight="false" outlineLevel="1" collapsed="false"/>
    <row r="3359" customFormat="false" ht="12.75" hidden="false" customHeight="false" outlineLevel="1" collapsed="false"/>
    <row r="3360" customFormat="false" ht="12.75" hidden="false" customHeight="false" outlineLevel="1" collapsed="false"/>
    <row r="3361" customFormat="false" ht="12.75" hidden="false" customHeight="false" outlineLevel="1" collapsed="false"/>
    <row r="3362" customFormat="false" ht="12.75" hidden="false" customHeight="false" outlineLevel="1" collapsed="false"/>
    <row r="3363" customFormat="false" ht="12.75" hidden="false" customHeight="false" outlineLevel="1" collapsed="false"/>
    <row r="3364" customFormat="false" ht="12.75" hidden="false" customHeight="false" outlineLevel="1" collapsed="false"/>
    <row r="3365" customFormat="false" ht="12.75" hidden="false" customHeight="false" outlineLevel="1" collapsed="false"/>
    <row r="3366" customFormat="false" ht="12.75" hidden="false" customHeight="false" outlineLevel="1" collapsed="false"/>
    <row r="3367" customFormat="false" ht="12.75" hidden="false" customHeight="false" outlineLevel="1" collapsed="false"/>
    <row r="3368" customFormat="false" ht="12.75" hidden="false" customHeight="false" outlineLevel="1" collapsed="false"/>
    <row r="3369" customFormat="false" ht="12.75" hidden="false" customHeight="false" outlineLevel="1" collapsed="false"/>
    <row r="3370" customFormat="false" ht="12.75" hidden="false" customHeight="false" outlineLevel="1" collapsed="false"/>
    <row r="3371" customFormat="false" ht="12.75" hidden="false" customHeight="false" outlineLevel="1" collapsed="false"/>
    <row r="3372" customFormat="false" ht="12.75" hidden="false" customHeight="false" outlineLevel="1" collapsed="false"/>
    <row r="3373" customFormat="false" ht="12.75" hidden="false" customHeight="false" outlineLevel="1" collapsed="false"/>
    <row r="3374" customFormat="false" ht="12.75" hidden="false" customHeight="false" outlineLevel="1" collapsed="false"/>
    <row r="3375" customFormat="false" ht="12.75" hidden="false" customHeight="false" outlineLevel="1" collapsed="false"/>
    <row r="3376" customFormat="false" ht="12.75" hidden="false" customHeight="false" outlineLevel="1" collapsed="false"/>
    <row r="3377" customFormat="false" ht="12.75" hidden="false" customHeight="false" outlineLevel="1" collapsed="false"/>
    <row r="3378" customFormat="false" ht="12.75" hidden="false" customHeight="false" outlineLevel="1" collapsed="false"/>
    <row r="3379" customFormat="false" ht="12.75" hidden="false" customHeight="false" outlineLevel="1" collapsed="false"/>
    <row r="3380" customFormat="false" ht="12.75" hidden="false" customHeight="false" outlineLevel="1" collapsed="false"/>
    <row r="3381" customFormat="false" ht="12.75" hidden="false" customHeight="false" outlineLevel="1" collapsed="false"/>
    <row r="3382" customFormat="false" ht="12.75" hidden="false" customHeight="false" outlineLevel="1" collapsed="false"/>
    <row r="3383" customFormat="false" ht="12.75" hidden="false" customHeight="false" outlineLevel="1" collapsed="false"/>
    <row r="3384" customFormat="false" ht="12.75" hidden="false" customHeight="false" outlineLevel="1" collapsed="false"/>
    <row r="3385" customFormat="false" ht="12.75" hidden="false" customHeight="false" outlineLevel="1" collapsed="false"/>
    <row r="3386" customFormat="false" ht="12.75" hidden="false" customHeight="false" outlineLevel="1" collapsed="false"/>
    <row r="3387" customFormat="false" ht="12.75" hidden="false" customHeight="false" outlineLevel="1" collapsed="false"/>
    <row r="3388" customFormat="false" ht="12.75" hidden="false" customHeight="false" outlineLevel="1" collapsed="false"/>
    <row r="3389" customFormat="false" ht="12.75" hidden="false" customHeight="false" outlineLevel="1" collapsed="false"/>
    <row r="3390" customFormat="false" ht="12.75" hidden="false" customHeight="false" outlineLevel="1" collapsed="false"/>
    <row r="3391" customFormat="false" ht="12.75" hidden="false" customHeight="false" outlineLevel="1" collapsed="false"/>
    <row r="3392" customFormat="false" ht="12.75" hidden="false" customHeight="false" outlineLevel="1" collapsed="false"/>
    <row r="3393" customFormat="false" ht="12.75" hidden="false" customHeight="false" outlineLevel="1" collapsed="false"/>
    <row r="3394" customFormat="false" ht="12.75" hidden="false" customHeight="false" outlineLevel="1" collapsed="false"/>
    <row r="3395" customFormat="false" ht="12.75" hidden="false" customHeight="false" outlineLevel="1" collapsed="false"/>
    <row r="3396" customFormat="false" ht="12.75" hidden="false" customHeight="false" outlineLevel="1" collapsed="false"/>
    <row r="3397" customFormat="false" ht="12.75" hidden="false" customHeight="false" outlineLevel="1" collapsed="false"/>
    <row r="3398" customFormat="false" ht="12.75" hidden="false" customHeight="false" outlineLevel="1" collapsed="false"/>
    <row r="3399" customFormat="false" ht="12.75" hidden="false" customHeight="false" outlineLevel="1" collapsed="false"/>
    <row r="3400" customFormat="false" ht="12.75" hidden="false" customHeight="false" outlineLevel="1" collapsed="false"/>
    <row r="3401" customFormat="false" ht="12.75" hidden="false" customHeight="false" outlineLevel="1" collapsed="false"/>
    <row r="3402" customFormat="false" ht="12.75" hidden="false" customHeight="false" outlineLevel="1" collapsed="false"/>
    <row r="3403" customFormat="false" ht="12.75" hidden="false" customHeight="false" outlineLevel="1" collapsed="false"/>
    <row r="3404" customFormat="false" ht="12.75" hidden="false" customHeight="false" outlineLevel="1" collapsed="false"/>
    <row r="3405" customFormat="false" ht="12.75" hidden="false" customHeight="false" outlineLevel="1" collapsed="false"/>
    <row r="3406" customFormat="false" ht="12.75" hidden="false" customHeight="false" outlineLevel="1" collapsed="false"/>
    <row r="3407" customFormat="false" ht="12.75" hidden="false" customHeight="false" outlineLevel="1" collapsed="false"/>
    <row r="3408" customFormat="false" ht="12.75" hidden="false" customHeight="false" outlineLevel="1" collapsed="false"/>
    <row r="3409" customFormat="false" ht="12.75" hidden="false" customHeight="false" outlineLevel="1" collapsed="false"/>
    <row r="3410" customFormat="false" ht="12.75" hidden="false" customHeight="false" outlineLevel="1" collapsed="false"/>
    <row r="3411" customFormat="false" ht="12.75" hidden="false" customHeight="false" outlineLevel="1" collapsed="false"/>
    <row r="3412" customFormat="false" ht="12.75" hidden="false" customHeight="false" outlineLevel="1" collapsed="false"/>
    <row r="3413" customFormat="false" ht="12.75" hidden="false" customHeight="false" outlineLevel="1" collapsed="false"/>
    <row r="3414" customFormat="false" ht="12.75" hidden="false" customHeight="false" outlineLevel="1" collapsed="false"/>
    <row r="3415" customFormat="false" ht="12.75" hidden="false" customHeight="false" outlineLevel="1" collapsed="false"/>
    <row r="3416" customFormat="false" ht="12.75" hidden="false" customHeight="false" outlineLevel="1" collapsed="false"/>
    <row r="3417" customFormat="false" ht="12.75" hidden="false" customHeight="false" outlineLevel="1" collapsed="false"/>
    <row r="3418" customFormat="false" ht="12.75" hidden="false" customHeight="false" outlineLevel="1" collapsed="false"/>
    <row r="3419" customFormat="false" ht="12.75" hidden="false" customHeight="false" outlineLevel="1" collapsed="false"/>
    <row r="3420" customFormat="false" ht="12.75" hidden="false" customHeight="false" outlineLevel="1" collapsed="false"/>
    <row r="3421" customFormat="false" ht="12.75" hidden="false" customHeight="false" outlineLevel="1" collapsed="false"/>
    <row r="3422" customFormat="false" ht="12.75" hidden="false" customHeight="false" outlineLevel="1" collapsed="false"/>
    <row r="3423" customFormat="false" ht="12.75" hidden="false" customHeight="false" outlineLevel="1" collapsed="false"/>
    <row r="3424" customFormat="false" ht="12.75" hidden="false" customHeight="false" outlineLevel="1" collapsed="false"/>
    <row r="3425" customFormat="false" ht="12.75" hidden="false" customHeight="false" outlineLevel="1" collapsed="false"/>
    <row r="3426" customFormat="false" ht="12.75" hidden="false" customHeight="false" outlineLevel="1" collapsed="false"/>
    <row r="3427" customFormat="false" ht="12.75" hidden="false" customHeight="false" outlineLevel="1" collapsed="false"/>
    <row r="3428" customFormat="false" ht="12.75" hidden="false" customHeight="false" outlineLevel="1" collapsed="false"/>
    <row r="3429" customFormat="false" ht="12.75" hidden="false" customHeight="false" outlineLevel="1" collapsed="false"/>
    <row r="3430" customFormat="false" ht="12.75" hidden="false" customHeight="false" outlineLevel="1" collapsed="false"/>
    <row r="3431" customFormat="false" ht="12.75" hidden="false" customHeight="false" outlineLevel="1" collapsed="false"/>
    <row r="3432" customFormat="false" ht="12.75" hidden="false" customHeight="false" outlineLevel="1" collapsed="false"/>
    <row r="3433" customFormat="false" ht="12.75" hidden="false" customHeight="false" outlineLevel="1" collapsed="false"/>
    <row r="3434" customFormat="false" ht="12.75" hidden="false" customHeight="false" outlineLevel="1" collapsed="false"/>
    <row r="3435" customFormat="false" ht="12.75" hidden="false" customHeight="false" outlineLevel="1" collapsed="false"/>
    <row r="3436" customFormat="false" ht="12.75" hidden="false" customHeight="false" outlineLevel="1" collapsed="false"/>
    <row r="3437" customFormat="false" ht="12.75" hidden="false" customHeight="false" outlineLevel="1" collapsed="false"/>
    <row r="3438" customFormat="false" ht="12.75" hidden="false" customHeight="false" outlineLevel="1" collapsed="false"/>
    <row r="3439" customFormat="false" ht="12.75" hidden="false" customHeight="false" outlineLevel="1" collapsed="false"/>
    <row r="3440" customFormat="false" ht="12.75" hidden="false" customHeight="false" outlineLevel="1" collapsed="false"/>
    <row r="3441" customFormat="false" ht="12.75" hidden="false" customHeight="false" outlineLevel="1" collapsed="false"/>
    <row r="3442" customFormat="false" ht="12.75" hidden="false" customHeight="false" outlineLevel="1" collapsed="false"/>
    <row r="3443" customFormat="false" ht="12.75" hidden="false" customHeight="false" outlineLevel="1" collapsed="false"/>
    <row r="3444" customFormat="false" ht="12.75" hidden="false" customHeight="false" outlineLevel="1" collapsed="false"/>
    <row r="3445" customFormat="false" ht="12.75" hidden="false" customHeight="false" outlineLevel="1" collapsed="false"/>
    <row r="3446" customFormat="false" ht="12.75" hidden="false" customHeight="false" outlineLevel="1" collapsed="false"/>
    <row r="3447" customFormat="false" ht="12.75" hidden="false" customHeight="false" outlineLevel="1" collapsed="false"/>
    <row r="3448" customFormat="false" ht="12.75" hidden="false" customHeight="false" outlineLevel="1" collapsed="false"/>
    <row r="3449" customFormat="false" ht="12.75" hidden="false" customHeight="false" outlineLevel="1" collapsed="false"/>
    <row r="3450" customFormat="false" ht="12.75" hidden="false" customHeight="false" outlineLevel="1" collapsed="false"/>
    <row r="3451" customFormat="false" ht="12.75" hidden="false" customHeight="false" outlineLevel="1" collapsed="false"/>
    <row r="3452" customFormat="false" ht="12.75" hidden="false" customHeight="false" outlineLevel="1" collapsed="false"/>
    <row r="3453" customFormat="false" ht="12.75" hidden="false" customHeight="false" outlineLevel="1" collapsed="false"/>
    <row r="3454" customFormat="false" ht="12.75" hidden="false" customHeight="false" outlineLevel="1" collapsed="false"/>
    <row r="3455" customFormat="false" ht="12.75" hidden="false" customHeight="false" outlineLevel="1" collapsed="false"/>
    <row r="3456" customFormat="false" ht="12.75" hidden="false" customHeight="false" outlineLevel="1" collapsed="false"/>
    <row r="3457" customFormat="false" ht="12.75" hidden="false" customHeight="false" outlineLevel="1" collapsed="false"/>
    <row r="3458" customFormat="false" ht="12.75" hidden="false" customHeight="false" outlineLevel="1" collapsed="false"/>
    <row r="3459" customFormat="false" ht="12.75" hidden="false" customHeight="false" outlineLevel="1" collapsed="false"/>
    <row r="3460" customFormat="false" ht="12.75" hidden="false" customHeight="false" outlineLevel="1" collapsed="false"/>
    <row r="3461" customFormat="false" ht="12.75" hidden="false" customHeight="false" outlineLevel="1" collapsed="false"/>
    <row r="3462" customFormat="false" ht="12.75" hidden="false" customHeight="false" outlineLevel="1" collapsed="false"/>
    <row r="3463" customFormat="false" ht="12.75" hidden="false" customHeight="false" outlineLevel="1" collapsed="false"/>
    <row r="3464" customFormat="false" ht="12.75" hidden="false" customHeight="false" outlineLevel="1" collapsed="false"/>
    <row r="3465" customFormat="false" ht="12.75" hidden="false" customHeight="false" outlineLevel="1" collapsed="false"/>
    <row r="3466" customFormat="false" ht="12.75" hidden="false" customHeight="false" outlineLevel="1" collapsed="false"/>
    <row r="3467" customFormat="false" ht="12.75" hidden="false" customHeight="false" outlineLevel="1" collapsed="false"/>
    <row r="3468" customFormat="false" ht="12.75" hidden="false" customHeight="false" outlineLevel="1" collapsed="false"/>
    <row r="3469" customFormat="false" ht="12.75" hidden="false" customHeight="false" outlineLevel="1" collapsed="false"/>
    <row r="3470" customFormat="false" ht="12.75" hidden="false" customHeight="false" outlineLevel="1" collapsed="false"/>
    <row r="3471" customFormat="false" ht="12.75" hidden="false" customHeight="false" outlineLevel="1" collapsed="false"/>
    <row r="3472" customFormat="false" ht="12.75" hidden="false" customHeight="false" outlineLevel="1" collapsed="false"/>
    <row r="3473" customFormat="false" ht="12.75" hidden="false" customHeight="false" outlineLevel="1" collapsed="false"/>
    <row r="3474" customFormat="false" ht="12.75" hidden="false" customHeight="false" outlineLevel="1" collapsed="false"/>
    <row r="3475" customFormat="false" ht="12.75" hidden="false" customHeight="false" outlineLevel="1" collapsed="false"/>
    <row r="3476" customFormat="false" ht="12.75" hidden="false" customHeight="false" outlineLevel="1" collapsed="false"/>
    <row r="3477" customFormat="false" ht="12.75" hidden="false" customHeight="false" outlineLevel="1" collapsed="false"/>
    <row r="3478" customFormat="false" ht="12.75" hidden="false" customHeight="false" outlineLevel="1" collapsed="false"/>
    <row r="3479" customFormat="false" ht="12.75" hidden="false" customHeight="false" outlineLevel="1" collapsed="false"/>
    <row r="3480" customFormat="false" ht="12.75" hidden="false" customHeight="false" outlineLevel="1" collapsed="false"/>
    <row r="3481" customFormat="false" ht="12.75" hidden="false" customHeight="false" outlineLevel="1" collapsed="false"/>
    <row r="3482" customFormat="false" ht="12.75" hidden="false" customHeight="false" outlineLevel="1" collapsed="false"/>
    <row r="3483" customFormat="false" ht="12.75" hidden="false" customHeight="false" outlineLevel="1" collapsed="false"/>
    <row r="3484" customFormat="false" ht="12.75" hidden="false" customHeight="false" outlineLevel="1" collapsed="false"/>
    <row r="3485" customFormat="false" ht="12.75" hidden="false" customHeight="false" outlineLevel="1" collapsed="false"/>
    <row r="3486" customFormat="false" ht="12.75" hidden="false" customHeight="false" outlineLevel="1" collapsed="false"/>
    <row r="3487" customFormat="false" ht="12.75" hidden="false" customHeight="false" outlineLevel="1" collapsed="false"/>
    <row r="3488" customFormat="false" ht="12.75" hidden="false" customHeight="false" outlineLevel="1" collapsed="false"/>
    <row r="3489" customFormat="false" ht="12.75" hidden="false" customHeight="false" outlineLevel="1" collapsed="false"/>
    <row r="3490" customFormat="false" ht="12.75" hidden="false" customHeight="false" outlineLevel="1" collapsed="false"/>
    <row r="3491" customFormat="false" ht="12.75" hidden="false" customHeight="false" outlineLevel="1" collapsed="false"/>
    <row r="3492" customFormat="false" ht="12.75" hidden="false" customHeight="false" outlineLevel="1" collapsed="false"/>
    <row r="3493" customFormat="false" ht="12.75" hidden="false" customHeight="false" outlineLevel="1" collapsed="false"/>
    <row r="3494" customFormat="false" ht="12.75" hidden="false" customHeight="false" outlineLevel="1" collapsed="false"/>
    <row r="3495" customFormat="false" ht="12.75" hidden="false" customHeight="false" outlineLevel="1" collapsed="false"/>
    <row r="3496" customFormat="false" ht="12.75" hidden="false" customHeight="false" outlineLevel="1" collapsed="false"/>
    <row r="3497" customFormat="false" ht="12.75" hidden="false" customHeight="false" outlineLevel="1" collapsed="false"/>
    <row r="3498" customFormat="false" ht="12.75" hidden="false" customHeight="false" outlineLevel="1" collapsed="false"/>
    <row r="3499" customFormat="false" ht="12.75" hidden="false" customHeight="false" outlineLevel="1" collapsed="false"/>
    <row r="3500" customFormat="false" ht="12.75" hidden="false" customHeight="false" outlineLevel="1" collapsed="false"/>
    <row r="3501" customFormat="false" ht="12.75" hidden="false" customHeight="false" outlineLevel="1" collapsed="false"/>
    <row r="3502" customFormat="false" ht="12.75" hidden="false" customHeight="false" outlineLevel="1" collapsed="false"/>
    <row r="3503" customFormat="false" ht="12.75" hidden="false" customHeight="false" outlineLevel="1" collapsed="false"/>
    <row r="3504" customFormat="false" ht="12.75" hidden="false" customHeight="false" outlineLevel="1" collapsed="false"/>
    <row r="3505" customFormat="false" ht="12.75" hidden="false" customHeight="false" outlineLevel="1" collapsed="false"/>
    <row r="3506" customFormat="false" ht="12.75" hidden="false" customHeight="false" outlineLevel="1" collapsed="false"/>
    <row r="3507" customFormat="false" ht="12.75" hidden="false" customHeight="false" outlineLevel="1" collapsed="false"/>
    <row r="3508" customFormat="false" ht="12.75" hidden="false" customHeight="false" outlineLevel="1" collapsed="false"/>
    <row r="3509" customFormat="false" ht="12.75" hidden="false" customHeight="false" outlineLevel="1" collapsed="false"/>
    <row r="3510" customFormat="false" ht="12.75" hidden="false" customHeight="false" outlineLevel="1" collapsed="false"/>
    <row r="3511" customFormat="false" ht="12.75" hidden="false" customHeight="false" outlineLevel="1" collapsed="false"/>
    <row r="3512" customFormat="false" ht="12.75" hidden="false" customHeight="false" outlineLevel="1" collapsed="false"/>
    <row r="3513" customFormat="false" ht="12.75" hidden="false" customHeight="false" outlineLevel="1" collapsed="false"/>
    <row r="3514" customFormat="false" ht="12.75" hidden="false" customHeight="false" outlineLevel="1" collapsed="false"/>
    <row r="3515" customFormat="false" ht="12.75" hidden="false" customHeight="false" outlineLevel="1" collapsed="false"/>
    <row r="3516" customFormat="false" ht="12.75" hidden="false" customHeight="false" outlineLevel="1" collapsed="false"/>
    <row r="3517" customFormat="false" ht="12.75" hidden="false" customHeight="false" outlineLevel="1" collapsed="false"/>
    <row r="3518" customFormat="false" ht="12.75" hidden="false" customHeight="false" outlineLevel="1" collapsed="false"/>
    <row r="3519" customFormat="false" ht="12.75" hidden="false" customHeight="false" outlineLevel="1" collapsed="false"/>
    <row r="3520" customFormat="false" ht="12.75" hidden="false" customHeight="false" outlineLevel="1" collapsed="false"/>
    <row r="3521" customFormat="false" ht="12.75" hidden="false" customHeight="false" outlineLevel="1" collapsed="false"/>
    <row r="3522" customFormat="false" ht="12.75" hidden="false" customHeight="false" outlineLevel="1" collapsed="false"/>
    <row r="3523" customFormat="false" ht="12.75" hidden="false" customHeight="false" outlineLevel="1" collapsed="false"/>
    <row r="3524" customFormat="false" ht="12.75" hidden="false" customHeight="false" outlineLevel="1" collapsed="false"/>
    <row r="3525" customFormat="false" ht="12.75" hidden="false" customHeight="false" outlineLevel="1" collapsed="false"/>
    <row r="3526" customFormat="false" ht="12.75" hidden="false" customHeight="false" outlineLevel="1" collapsed="false"/>
    <row r="3527" customFormat="false" ht="12.75" hidden="false" customHeight="false" outlineLevel="1" collapsed="false"/>
    <row r="3528" customFormat="false" ht="12.75" hidden="false" customHeight="false" outlineLevel="1" collapsed="false"/>
    <row r="3529" customFormat="false" ht="12.75" hidden="false" customHeight="false" outlineLevel="1" collapsed="false"/>
    <row r="3530" customFormat="false" ht="12.75" hidden="false" customHeight="false" outlineLevel="1" collapsed="false"/>
    <row r="3531" customFormat="false" ht="12.75" hidden="false" customHeight="false" outlineLevel="1" collapsed="false"/>
    <row r="3532" customFormat="false" ht="12.75" hidden="false" customHeight="false" outlineLevel="1" collapsed="false"/>
    <row r="3533" customFormat="false" ht="12.75" hidden="false" customHeight="false" outlineLevel="1" collapsed="false"/>
    <row r="3534" customFormat="false" ht="12.75" hidden="false" customHeight="false" outlineLevel="1" collapsed="false"/>
    <row r="3535" customFormat="false" ht="12.75" hidden="false" customHeight="false" outlineLevel="1" collapsed="false"/>
    <row r="3536" customFormat="false" ht="12.75" hidden="false" customHeight="false" outlineLevel="1" collapsed="false"/>
    <row r="3537" customFormat="false" ht="12.75" hidden="false" customHeight="false" outlineLevel="1" collapsed="false"/>
    <row r="3538" customFormat="false" ht="12.75" hidden="false" customHeight="false" outlineLevel="1" collapsed="false"/>
    <row r="3539" customFormat="false" ht="12.75" hidden="false" customHeight="false" outlineLevel="1" collapsed="false"/>
    <row r="3540" customFormat="false" ht="12.75" hidden="false" customHeight="false" outlineLevel="1" collapsed="false"/>
    <row r="3541" customFormat="false" ht="12.75" hidden="false" customHeight="false" outlineLevel="1" collapsed="false"/>
    <row r="3542" customFormat="false" ht="12.75" hidden="false" customHeight="false" outlineLevel="1" collapsed="false"/>
    <row r="3543" customFormat="false" ht="12.75" hidden="false" customHeight="false" outlineLevel="1" collapsed="false"/>
    <row r="3544" customFormat="false" ht="12.75" hidden="false" customHeight="false" outlineLevel="1" collapsed="false"/>
    <row r="3545" customFormat="false" ht="12.75" hidden="false" customHeight="false" outlineLevel="1" collapsed="false"/>
    <row r="3546" customFormat="false" ht="12.75" hidden="false" customHeight="false" outlineLevel="1" collapsed="false"/>
    <row r="3547" customFormat="false" ht="12.75" hidden="false" customHeight="false" outlineLevel="1" collapsed="false"/>
    <row r="3548" customFormat="false" ht="12.75" hidden="false" customHeight="false" outlineLevel="1" collapsed="false"/>
    <row r="3549" customFormat="false" ht="12.75" hidden="false" customHeight="false" outlineLevel="1" collapsed="false"/>
    <row r="3550" customFormat="false" ht="12.75" hidden="false" customHeight="false" outlineLevel="1" collapsed="false"/>
    <row r="3551" customFormat="false" ht="12.75" hidden="false" customHeight="false" outlineLevel="1" collapsed="false"/>
    <row r="3552" customFormat="false" ht="12.75" hidden="false" customHeight="false" outlineLevel="1" collapsed="false"/>
    <row r="3553" customFormat="false" ht="12.75" hidden="false" customHeight="false" outlineLevel="1" collapsed="false"/>
    <row r="3554" customFormat="false" ht="12.75" hidden="false" customHeight="false" outlineLevel="1" collapsed="false"/>
    <row r="3555" customFormat="false" ht="12.75" hidden="false" customHeight="false" outlineLevel="1" collapsed="false"/>
    <row r="3556" customFormat="false" ht="12.75" hidden="false" customHeight="false" outlineLevel="1" collapsed="false"/>
    <row r="3557" customFormat="false" ht="12.75" hidden="false" customHeight="false" outlineLevel="1" collapsed="false"/>
    <row r="3558" customFormat="false" ht="12.75" hidden="false" customHeight="false" outlineLevel="1" collapsed="false"/>
    <row r="3559" customFormat="false" ht="12.75" hidden="false" customHeight="false" outlineLevel="1" collapsed="false"/>
    <row r="3560" customFormat="false" ht="12.75" hidden="false" customHeight="false" outlineLevel="1" collapsed="false"/>
    <row r="3561" customFormat="false" ht="12.75" hidden="false" customHeight="false" outlineLevel="1" collapsed="false"/>
    <row r="3562" customFormat="false" ht="12.75" hidden="false" customHeight="false" outlineLevel="1" collapsed="false"/>
    <row r="3563" customFormat="false" ht="12.75" hidden="false" customHeight="false" outlineLevel="1" collapsed="false"/>
    <row r="3564" customFormat="false" ht="12.75" hidden="false" customHeight="false" outlineLevel="1" collapsed="false"/>
    <row r="3565" customFormat="false" ht="12.75" hidden="false" customHeight="false" outlineLevel="1" collapsed="false"/>
    <row r="3566" customFormat="false" ht="12.75" hidden="false" customHeight="false" outlineLevel="1" collapsed="false"/>
    <row r="3567" customFormat="false" ht="12.75" hidden="false" customHeight="false" outlineLevel="1" collapsed="false"/>
    <row r="3568" customFormat="false" ht="12.75" hidden="false" customHeight="false" outlineLevel="1" collapsed="false"/>
    <row r="3569" customFormat="false" ht="12.75" hidden="false" customHeight="false" outlineLevel="1" collapsed="false"/>
    <row r="3570" customFormat="false" ht="12.75" hidden="false" customHeight="false" outlineLevel="1" collapsed="false"/>
    <row r="3571" customFormat="false" ht="12.75" hidden="false" customHeight="false" outlineLevel="1" collapsed="false"/>
    <row r="3572" customFormat="false" ht="12.75" hidden="false" customHeight="false" outlineLevel="1" collapsed="false"/>
    <row r="3573" customFormat="false" ht="12.75" hidden="false" customHeight="false" outlineLevel="1" collapsed="false"/>
    <row r="3574" customFormat="false" ht="12.75" hidden="false" customHeight="false" outlineLevel="1" collapsed="false"/>
    <row r="3575" customFormat="false" ht="12.75" hidden="false" customHeight="false" outlineLevel="1" collapsed="false"/>
    <row r="3576" customFormat="false" ht="12.75" hidden="false" customHeight="false" outlineLevel="1" collapsed="false"/>
    <row r="3577" customFormat="false" ht="12.75" hidden="false" customHeight="false" outlineLevel="1" collapsed="false"/>
    <row r="3578" customFormat="false" ht="12.75" hidden="false" customHeight="false" outlineLevel="1" collapsed="false"/>
    <row r="3579" customFormat="false" ht="12.75" hidden="false" customHeight="false" outlineLevel="1" collapsed="false"/>
    <row r="3580" customFormat="false" ht="12.75" hidden="false" customHeight="false" outlineLevel="1" collapsed="false"/>
    <row r="3581" customFormat="false" ht="12.75" hidden="false" customHeight="false" outlineLevel="1" collapsed="false"/>
    <row r="3582" customFormat="false" ht="12.75" hidden="false" customHeight="false" outlineLevel="1" collapsed="false"/>
    <row r="3583" customFormat="false" ht="12.75" hidden="false" customHeight="false" outlineLevel="1" collapsed="false"/>
    <row r="3584" customFormat="false" ht="12.75" hidden="false" customHeight="false" outlineLevel="1" collapsed="false"/>
    <row r="3585" customFormat="false" ht="12.75" hidden="false" customHeight="false" outlineLevel="1" collapsed="false"/>
    <row r="3586" customFormat="false" ht="12.75" hidden="false" customHeight="false" outlineLevel="1" collapsed="false"/>
    <row r="3587" customFormat="false" ht="12.75" hidden="false" customHeight="false" outlineLevel="1" collapsed="false"/>
    <row r="3588" customFormat="false" ht="12.75" hidden="false" customHeight="false" outlineLevel="1" collapsed="false"/>
    <row r="3589" customFormat="false" ht="12.75" hidden="false" customHeight="false" outlineLevel="1" collapsed="false"/>
    <row r="3590" customFormat="false" ht="12.75" hidden="false" customHeight="false" outlineLevel="1" collapsed="false"/>
    <row r="3591" customFormat="false" ht="12.75" hidden="false" customHeight="false" outlineLevel="1" collapsed="false"/>
    <row r="3592" customFormat="false" ht="12.75" hidden="false" customHeight="false" outlineLevel="1" collapsed="false"/>
    <row r="3593" customFormat="false" ht="12.75" hidden="false" customHeight="false" outlineLevel="1" collapsed="false"/>
    <row r="3594" customFormat="false" ht="12.75" hidden="false" customHeight="false" outlineLevel="1" collapsed="false"/>
    <row r="3595" customFormat="false" ht="12.75" hidden="false" customHeight="false" outlineLevel="1" collapsed="false"/>
    <row r="3596" customFormat="false" ht="12.75" hidden="false" customHeight="false" outlineLevel="1" collapsed="false"/>
    <row r="3597" customFormat="false" ht="12.75" hidden="false" customHeight="false" outlineLevel="1" collapsed="false"/>
    <row r="3598" customFormat="false" ht="12.75" hidden="false" customHeight="false" outlineLevel="1" collapsed="false"/>
    <row r="3599" customFormat="false" ht="12.75" hidden="false" customHeight="false" outlineLevel="1" collapsed="false"/>
    <row r="3600" customFormat="false" ht="12.75" hidden="false" customHeight="false" outlineLevel="1" collapsed="false"/>
    <row r="3601" customFormat="false" ht="12.75" hidden="false" customHeight="false" outlineLevel="1" collapsed="false"/>
    <row r="3602" customFormat="false" ht="12.75" hidden="false" customHeight="false" outlineLevel="1" collapsed="false"/>
    <row r="3603" customFormat="false" ht="12.75" hidden="false" customHeight="false" outlineLevel="1" collapsed="false"/>
    <row r="3604" customFormat="false" ht="12.75" hidden="false" customHeight="false" outlineLevel="1" collapsed="false"/>
    <row r="3605" customFormat="false" ht="12.75" hidden="false" customHeight="false" outlineLevel="1" collapsed="false"/>
    <row r="3606" customFormat="false" ht="12.75" hidden="false" customHeight="false" outlineLevel="1" collapsed="false"/>
    <row r="3607" customFormat="false" ht="12.75" hidden="false" customHeight="false" outlineLevel="1" collapsed="false"/>
    <row r="3608" customFormat="false" ht="12.75" hidden="false" customHeight="false" outlineLevel="1" collapsed="false"/>
    <row r="3609" customFormat="false" ht="12.75" hidden="false" customHeight="false" outlineLevel="1" collapsed="false"/>
    <row r="3610" customFormat="false" ht="12.75" hidden="false" customHeight="false" outlineLevel="1" collapsed="false"/>
    <row r="3611" customFormat="false" ht="12.75" hidden="false" customHeight="false" outlineLevel="1" collapsed="false"/>
    <row r="3612" customFormat="false" ht="12.75" hidden="false" customHeight="false" outlineLevel="1" collapsed="false"/>
    <row r="3613" customFormat="false" ht="12.75" hidden="false" customHeight="false" outlineLevel="1" collapsed="false"/>
    <row r="3614" customFormat="false" ht="12.75" hidden="false" customHeight="false" outlineLevel="1" collapsed="false"/>
    <row r="3615" customFormat="false" ht="12.75" hidden="false" customHeight="false" outlineLevel="1" collapsed="false"/>
    <row r="3616" customFormat="false" ht="12.75" hidden="false" customHeight="false" outlineLevel="1" collapsed="false"/>
    <row r="3617" customFormat="false" ht="12.75" hidden="false" customHeight="false" outlineLevel="1" collapsed="false"/>
    <row r="3618" customFormat="false" ht="12.75" hidden="false" customHeight="false" outlineLevel="1" collapsed="false"/>
    <row r="3619" customFormat="false" ht="12.75" hidden="false" customHeight="false" outlineLevel="1" collapsed="false"/>
    <row r="3620" customFormat="false" ht="12.75" hidden="false" customHeight="false" outlineLevel="1" collapsed="false"/>
    <row r="3621" customFormat="false" ht="12.75" hidden="false" customHeight="false" outlineLevel="1" collapsed="false"/>
    <row r="3622" customFormat="false" ht="12.75" hidden="false" customHeight="false" outlineLevel="1" collapsed="false"/>
    <row r="3623" customFormat="false" ht="12.75" hidden="false" customHeight="false" outlineLevel="1" collapsed="false"/>
    <row r="3624" customFormat="false" ht="12.75" hidden="false" customHeight="false" outlineLevel="1" collapsed="false"/>
    <row r="3625" customFormat="false" ht="12.75" hidden="false" customHeight="false" outlineLevel="1" collapsed="false"/>
    <row r="3626" customFormat="false" ht="12.75" hidden="false" customHeight="false" outlineLevel="1" collapsed="false"/>
    <row r="3627" customFormat="false" ht="12.75" hidden="false" customHeight="false" outlineLevel="1" collapsed="false"/>
    <row r="3628" customFormat="false" ht="12.75" hidden="false" customHeight="false" outlineLevel="1" collapsed="false"/>
    <row r="3629" customFormat="false" ht="12.75" hidden="false" customHeight="false" outlineLevel="1" collapsed="false"/>
    <row r="3630" customFormat="false" ht="12.75" hidden="false" customHeight="false" outlineLevel="1" collapsed="false"/>
    <row r="3631" customFormat="false" ht="12.75" hidden="false" customHeight="false" outlineLevel="1" collapsed="false"/>
    <row r="3632" customFormat="false" ht="12.75" hidden="false" customHeight="false" outlineLevel="1" collapsed="false"/>
    <row r="3633" customFormat="false" ht="12.75" hidden="false" customHeight="false" outlineLevel="1" collapsed="false"/>
    <row r="3634" customFormat="false" ht="12.75" hidden="false" customHeight="false" outlineLevel="1" collapsed="false"/>
    <row r="3635" customFormat="false" ht="12.75" hidden="false" customHeight="false" outlineLevel="1" collapsed="false"/>
    <row r="3636" customFormat="false" ht="12.75" hidden="false" customHeight="false" outlineLevel="1" collapsed="false"/>
    <row r="3637" customFormat="false" ht="12.75" hidden="false" customHeight="false" outlineLevel="1" collapsed="false"/>
    <row r="3638" customFormat="false" ht="12.75" hidden="false" customHeight="false" outlineLevel="1" collapsed="false"/>
    <row r="3639" customFormat="false" ht="12.75" hidden="false" customHeight="false" outlineLevel="1" collapsed="false"/>
    <row r="3640" customFormat="false" ht="12.75" hidden="false" customHeight="false" outlineLevel="1" collapsed="false"/>
    <row r="3641" customFormat="false" ht="12.75" hidden="false" customHeight="false" outlineLevel="1" collapsed="false"/>
    <row r="3642" customFormat="false" ht="12.75" hidden="false" customHeight="false" outlineLevel="1" collapsed="false"/>
    <row r="3643" customFormat="false" ht="12.75" hidden="false" customHeight="false" outlineLevel="1" collapsed="false"/>
    <row r="3644" customFormat="false" ht="12.75" hidden="false" customHeight="false" outlineLevel="1" collapsed="false"/>
    <row r="3645" customFormat="false" ht="12.75" hidden="false" customHeight="false" outlineLevel="1" collapsed="false"/>
    <row r="3646" customFormat="false" ht="12.75" hidden="false" customHeight="false" outlineLevel="1" collapsed="false"/>
    <row r="3647" customFormat="false" ht="12.75" hidden="false" customHeight="false" outlineLevel="1" collapsed="false"/>
    <row r="3648" customFormat="false" ht="12.75" hidden="false" customHeight="false" outlineLevel="1" collapsed="false"/>
    <row r="3649" customFormat="false" ht="12.75" hidden="false" customHeight="false" outlineLevel="1" collapsed="false"/>
    <row r="3650" customFormat="false" ht="12.75" hidden="false" customHeight="false" outlineLevel="1" collapsed="false"/>
    <row r="3651" customFormat="false" ht="12.75" hidden="false" customHeight="false" outlineLevel="1" collapsed="false"/>
    <row r="3652" customFormat="false" ht="12.75" hidden="false" customHeight="false" outlineLevel="1" collapsed="false"/>
    <row r="3653" customFormat="false" ht="12.75" hidden="false" customHeight="false" outlineLevel="1" collapsed="false"/>
    <row r="3654" customFormat="false" ht="12.75" hidden="false" customHeight="false" outlineLevel="1" collapsed="false"/>
    <row r="3655" customFormat="false" ht="12.75" hidden="false" customHeight="false" outlineLevel="1" collapsed="false"/>
    <row r="3656" customFormat="false" ht="12.75" hidden="false" customHeight="false" outlineLevel="1" collapsed="false"/>
    <row r="3657" customFormat="false" ht="12.75" hidden="false" customHeight="false" outlineLevel="1" collapsed="false"/>
    <row r="3658" customFormat="false" ht="12.75" hidden="false" customHeight="false" outlineLevel="1" collapsed="false"/>
    <row r="3659" customFormat="false" ht="12.75" hidden="false" customHeight="false" outlineLevel="1" collapsed="false"/>
    <row r="3660" customFormat="false" ht="12.75" hidden="false" customHeight="false" outlineLevel="1" collapsed="false"/>
    <row r="3661" customFormat="false" ht="12.75" hidden="false" customHeight="false" outlineLevel="1" collapsed="false"/>
    <row r="3662" customFormat="false" ht="12.75" hidden="false" customHeight="false" outlineLevel="1" collapsed="false"/>
    <row r="3663" customFormat="false" ht="12.75" hidden="false" customHeight="false" outlineLevel="1" collapsed="false"/>
    <row r="3664" customFormat="false" ht="12.75" hidden="false" customHeight="false" outlineLevel="1" collapsed="false"/>
    <row r="3665" customFormat="false" ht="12.75" hidden="false" customHeight="false" outlineLevel="1" collapsed="false"/>
    <row r="3666" customFormat="false" ht="12.75" hidden="false" customHeight="false" outlineLevel="1" collapsed="false"/>
    <row r="3667" customFormat="false" ht="12.75" hidden="false" customHeight="false" outlineLevel="1" collapsed="false"/>
    <row r="3668" customFormat="false" ht="12.75" hidden="false" customHeight="false" outlineLevel="1" collapsed="false"/>
    <row r="3669" customFormat="false" ht="12.75" hidden="false" customHeight="false" outlineLevel="1" collapsed="false"/>
    <row r="3670" customFormat="false" ht="12.75" hidden="false" customHeight="false" outlineLevel="1" collapsed="false"/>
    <row r="3671" customFormat="false" ht="12.75" hidden="false" customHeight="false" outlineLevel="1" collapsed="false"/>
    <row r="3672" customFormat="false" ht="12.75" hidden="false" customHeight="false" outlineLevel="1" collapsed="false"/>
    <row r="3673" customFormat="false" ht="12.75" hidden="false" customHeight="false" outlineLevel="1" collapsed="false"/>
    <row r="3674" customFormat="false" ht="12.75" hidden="false" customHeight="false" outlineLevel="1" collapsed="false"/>
    <row r="3675" customFormat="false" ht="12.75" hidden="false" customHeight="false" outlineLevel="1" collapsed="false"/>
    <row r="3676" customFormat="false" ht="12.75" hidden="false" customHeight="false" outlineLevel="1" collapsed="false"/>
    <row r="3677" customFormat="false" ht="12.75" hidden="false" customHeight="false" outlineLevel="1" collapsed="false"/>
    <row r="3678" customFormat="false" ht="12.75" hidden="false" customHeight="false" outlineLevel="1" collapsed="false"/>
    <row r="3679" customFormat="false" ht="12.75" hidden="false" customHeight="false" outlineLevel="1" collapsed="false"/>
    <row r="3680" customFormat="false" ht="12.75" hidden="false" customHeight="false" outlineLevel="1" collapsed="false"/>
    <row r="3681" customFormat="false" ht="12.75" hidden="false" customHeight="false" outlineLevel="1" collapsed="false"/>
    <row r="3682" customFormat="false" ht="12.75" hidden="false" customHeight="false" outlineLevel="1" collapsed="false"/>
    <row r="3683" customFormat="false" ht="12.75" hidden="false" customHeight="false" outlineLevel="1" collapsed="false"/>
    <row r="3684" customFormat="false" ht="12.75" hidden="false" customHeight="false" outlineLevel="1" collapsed="false"/>
    <row r="3685" customFormat="false" ht="12.75" hidden="false" customHeight="false" outlineLevel="1" collapsed="false"/>
    <row r="3686" customFormat="false" ht="12.75" hidden="false" customHeight="false" outlineLevel="1" collapsed="false"/>
    <row r="3687" customFormat="false" ht="12.75" hidden="false" customHeight="false" outlineLevel="1" collapsed="false"/>
    <row r="3688" customFormat="false" ht="12.75" hidden="false" customHeight="false" outlineLevel="1" collapsed="false"/>
    <row r="3689" customFormat="false" ht="12.75" hidden="false" customHeight="false" outlineLevel="1" collapsed="false"/>
    <row r="3690" customFormat="false" ht="12.75" hidden="false" customHeight="false" outlineLevel="1" collapsed="false"/>
    <row r="3691" customFormat="false" ht="12.75" hidden="false" customHeight="false" outlineLevel="1" collapsed="false"/>
    <row r="3692" customFormat="false" ht="12.75" hidden="false" customHeight="false" outlineLevel="1" collapsed="false"/>
    <row r="3693" customFormat="false" ht="12.75" hidden="false" customHeight="false" outlineLevel="1" collapsed="false"/>
    <row r="3694" customFormat="false" ht="12.75" hidden="false" customHeight="false" outlineLevel="1" collapsed="false"/>
    <row r="3695" customFormat="false" ht="12.75" hidden="false" customHeight="false" outlineLevel="1" collapsed="false"/>
    <row r="3696" customFormat="false" ht="12.75" hidden="false" customHeight="false" outlineLevel="1" collapsed="false"/>
    <row r="3697" customFormat="false" ht="12.75" hidden="false" customHeight="false" outlineLevel="1" collapsed="false"/>
    <row r="3698" customFormat="false" ht="12.75" hidden="false" customHeight="false" outlineLevel="1" collapsed="false"/>
    <row r="3699" customFormat="false" ht="12.75" hidden="false" customHeight="false" outlineLevel="1" collapsed="false"/>
    <row r="3700" customFormat="false" ht="12.75" hidden="false" customHeight="false" outlineLevel="1" collapsed="false"/>
    <row r="3701" customFormat="false" ht="12.75" hidden="false" customHeight="false" outlineLevel="1" collapsed="false"/>
    <row r="3702" customFormat="false" ht="12.75" hidden="false" customHeight="false" outlineLevel="1" collapsed="false"/>
    <row r="3703" customFormat="false" ht="12.75" hidden="false" customHeight="false" outlineLevel="1" collapsed="false"/>
    <row r="3704" customFormat="false" ht="12.75" hidden="false" customHeight="false" outlineLevel="1" collapsed="false"/>
    <row r="3705" customFormat="false" ht="12.75" hidden="false" customHeight="false" outlineLevel="1" collapsed="false"/>
    <row r="3706" customFormat="false" ht="12.75" hidden="false" customHeight="false" outlineLevel="1" collapsed="false"/>
    <row r="3707" customFormat="false" ht="12.75" hidden="false" customHeight="false" outlineLevel="1" collapsed="false"/>
    <row r="3708" customFormat="false" ht="12.75" hidden="false" customHeight="false" outlineLevel="1" collapsed="false"/>
    <row r="3709" customFormat="false" ht="12.75" hidden="false" customHeight="false" outlineLevel="1" collapsed="false"/>
    <row r="3710" customFormat="false" ht="12.75" hidden="false" customHeight="false" outlineLevel="1" collapsed="false"/>
    <row r="3711" customFormat="false" ht="12.75" hidden="false" customHeight="false" outlineLevel="1" collapsed="false"/>
    <row r="3712" customFormat="false" ht="12.75" hidden="false" customHeight="false" outlineLevel="1" collapsed="false"/>
    <row r="3713" customFormat="false" ht="12.75" hidden="false" customHeight="false" outlineLevel="1" collapsed="false"/>
    <row r="3714" customFormat="false" ht="12.75" hidden="false" customHeight="false" outlineLevel="1" collapsed="false"/>
    <row r="3715" customFormat="false" ht="12.75" hidden="false" customHeight="false" outlineLevel="1" collapsed="false"/>
    <row r="3716" customFormat="false" ht="12.75" hidden="false" customHeight="false" outlineLevel="1" collapsed="false"/>
    <row r="3717" customFormat="false" ht="12.75" hidden="false" customHeight="false" outlineLevel="1" collapsed="false"/>
    <row r="3718" customFormat="false" ht="12.75" hidden="false" customHeight="false" outlineLevel="1" collapsed="false"/>
    <row r="3719" customFormat="false" ht="12.75" hidden="false" customHeight="false" outlineLevel="1" collapsed="false"/>
    <row r="3720" customFormat="false" ht="12.75" hidden="false" customHeight="false" outlineLevel="1" collapsed="false"/>
    <row r="3721" customFormat="false" ht="12.75" hidden="false" customHeight="false" outlineLevel="1" collapsed="false"/>
    <row r="3722" customFormat="false" ht="12.75" hidden="false" customHeight="false" outlineLevel="1" collapsed="false"/>
    <row r="3723" customFormat="false" ht="12.75" hidden="false" customHeight="false" outlineLevel="1" collapsed="false"/>
    <row r="3724" customFormat="false" ht="12.75" hidden="false" customHeight="false" outlineLevel="1" collapsed="false"/>
    <row r="3725" customFormat="false" ht="12.75" hidden="false" customHeight="false" outlineLevel="1" collapsed="false"/>
    <row r="3726" customFormat="false" ht="12.75" hidden="false" customHeight="false" outlineLevel="1" collapsed="false"/>
    <row r="3727" customFormat="false" ht="12.75" hidden="false" customHeight="false" outlineLevel="1" collapsed="false"/>
    <row r="3728" customFormat="false" ht="12.75" hidden="false" customHeight="false" outlineLevel="1" collapsed="false"/>
    <row r="3729" customFormat="false" ht="12.75" hidden="false" customHeight="false" outlineLevel="1" collapsed="false"/>
    <row r="3730" customFormat="false" ht="12.75" hidden="false" customHeight="false" outlineLevel="1" collapsed="false"/>
    <row r="3731" customFormat="false" ht="12.75" hidden="false" customHeight="false" outlineLevel="1" collapsed="false"/>
    <row r="3732" customFormat="false" ht="12.75" hidden="false" customHeight="false" outlineLevel="1" collapsed="false"/>
    <row r="3733" customFormat="false" ht="12.75" hidden="false" customHeight="false" outlineLevel="1" collapsed="false"/>
    <row r="3734" customFormat="false" ht="12.75" hidden="false" customHeight="false" outlineLevel="1" collapsed="false"/>
    <row r="3735" customFormat="false" ht="12.75" hidden="false" customHeight="false" outlineLevel="1" collapsed="false"/>
    <row r="3736" customFormat="false" ht="12.75" hidden="false" customHeight="false" outlineLevel="1" collapsed="false"/>
    <row r="3737" customFormat="false" ht="12.75" hidden="false" customHeight="false" outlineLevel="1" collapsed="false"/>
    <row r="3738" customFormat="false" ht="12.75" hidden="false" customHeight="false" outlineLevel="1" collapsed="false"/>
    <row r="3739" customFormat="false" ht="12.75" hidden="false" customHeight="false" outlineLevel="1" collapsed="false"/>
    <row r="3740" customFormat="false" ht="12.75" hidden="false" customHeight="false" outlineLevel="1" collapsed="false"/>
    <row r="3741" customFormat="false" ht="12.75" hidden="false" customHeight="false" outlineLevel="1" collapsed="false"/>
    <row r="3742" customFormat="false" ht="12.75" hidden="false" customHeight="false" outlineLevel="1" collapsed="false"/>
    <row r="3743" customFormat="false" ht="12.75" hidden="false" customHeight="false" outlineLevel="1" collapsed="false"/>
    <row r="3744" customFormat="false" ht="12.75" hidden="false" customHeight="false" outlineLevel="1" collapsed="false"/>
    <row r="3745" customFormat="false" ht="12.75" hidden="false" customHeight="false" outlineLevel="1" collapsed="false"/>
    <row r="3746" customFormat="false" ht="12.75" hidden="false" customHeight="false" outlineLevel="1" collapsed="false"/>
    <row r="3747" customFormat="false" ht="12.75" hidden="false" customHeight="false" outlineLevel="1" collapsed="false"/>
    <row r="3748" customFormat="false" ht="12.75" hidden="false" customHeight="false" outlineLevel="1" collapsed="false"/>
    <row r="3749" customFormat="false" ht="12.75" hidden="false" customHeight="false" outlineLevel="1" collapsed="false"/>
    <row r="3750" customFormat="false" ht="12.75" hidden="false" customHeight="false" outlineLevel="1" collapsed="false"/>
    <row r="3751" customFormat="false" ht="12.75" hidden="false" customHeight="false" outlineLevel="1" collapsed="false"/>
    <row r="3752" customFormat="false" ht="12.75" hidden="false" customHeight="false" outlineLevel="1" collapsed="false"/>
    <row r="3753" customFormat="false" ht="12.75" hidden="false" customHeight="false" outlineLevel="1" collapsed="false"/>
    <row r="3754" customFormat="false" ht="12.75" hidden="false" customHeight="false" outlineLevel="1" collapsed="false"/>
    <row r="3755" customFormat="false" ht="12.75" hidden="false" customHeight="false" outlineLevel="1" collapsed="false"/>
    <row r="3756" customFormat="false" ht="12.75" hidden="false" customHeight="false" outlineLevel="1" collapsed="false"/>
    <row r="3757" customFormat="false" ht="12.75" hidden="false" customHeight="false" outlineLevel="1" collapsed="false"/>
    <row r="3758" customFormat="false" ht="12.75" hidden="false" customHeight="false" outlineLevel="1" collapsed="false"/>
    <row r="3759" customFormat="false" ht="12.75" hidden="false" customHeight="false" outlineLevel="1" collapsed="false"/>
    <row r="3760" customFormat="false" ht="12.75" hidden="false" customHeight="false" outlineLevel="1" collapsed="false"/>
    <row r="3761" customFormat="false" ht="12.75" hidden="false" customHeight="false" outlineLevel="1" collapsed="false"/>
    <row r="3762" customFormat="false" ht="12.75" hidden="false" customHeight="false" outlineLevel="1" collapsed="false"/>
    <row r="3763" customFormat="false" ht="12.75" hidden="false" customHeight="false" outlineLevel="1" collapsed="false"/>
    <row r="3764" customFormat="false" ht="12.75" hidden="false" customHeight="false" outlineLevel="1" collapsed="false"/>
    <row r="3765" customFormat="false" ht="12.75" hidden="false" customHeight="false" outlineLevel="1" collapsed="false"/>
    <row r="3766" customFormat="false" ht="12.75" hidden="false" customHeight="false" outlineLevel="1" collapsed="false"/>
    <row r="3767" customFormat="false" ht="12.75" hidden="false" customHeight="false" outlineLevel="1" collapsed="false"/>
    <row r="3768" customFormat="false" ht="12.75" hidden="false" customHeight="false" outlineLevel="1" collapsed="false"/>
    <row r="3769" customFormat="false" ht="12.75" hidden="false" customHeight="false" outlineLevel="1" collapsed="false"/>
    <row r="3770" customFormat="false" ht="12.75" hidden="false" customHeight="false" outlineLevel="1" collapsed="false"/>
    <row r="3771" customFormat="false" ht="12.75" hidden="false" customHeight="false" outlineLevel="1" collapsed="false"/>
    <row r="3772" customFormat="false" ht="12.75" hidden="false" customHeight="false" outlineLevel="1" collapsed="false"/>
    <row r="3773" customFormat="false" ht="12.75" hidden="false" customHeight="false" outlineLevel="1" collapsed="false"/>
    <row r="3774" customFormat="false" ht="12.75" hidden="false" customHeight="false" outlineLevel="1" collapsed="false"/>
    <row r="3775" customFormat="false" ht="12.75" hidden="false" customHeight="false" outlineLevel="1" collapsed="false"/>
    <row r="3776" customFormat="false" ht="12.75" hidden="false" customHeight="false" outlineLevel="1" collapsed="false"/>
    <row r="3777" customFormat="false" ht="12.75" hidden="false" customHeight="false" outlineLevel="1" collapsed="false"/>
    <row r="3778" customFormat="false" ht="12.75" hidden="false" customHeight="false" outlineLevel="1" collapsed="false"/>
    <row r="3779" customFormat="false" ht="12.75" hidden="false" customHeight="false" outlineLevel="1" collapsed="false"/>
    <row r="3780" customFormat="false" ht="12.75" hidden="false" customHeight="false" outlineLevel="1" collapsed="false"/>
    <row r="3781" customFormat="false" ht="12.75" hidden="false" customHeight="false" outlineLevel="1" collapsed="false"/>
    <row r="3782" customFormat="false" ht="12.75" hidden="false" customHeight="false" outlineLevel="1" collapsed="false"/>
    <row r="3783" customFormat="false" ht="12.75" hidden="false" customHeight="false" outlineLevel="1" collapsed="false"/>
    <row r="3784" customFormat="false" ht="12.75" hidden="false" customHeight="false" outlineLevel="1" collapsed="false"/>
    <row r="3785" customFormat="false" ht="12.75" hidden="false" customHeight="false" outlineLevel="1" collapsed="false"/>
    <row r="3786" customFormat="false" ht="12.75" hidden="false" customHeight="false" outlineLevel="1" collapsed="false"/>
    <row r="3787" customFormat="false" ht="12.75" hidden="false" customHeight="false" outlineLevel="1" collapsed="false"/>
    <row r="3788" customFormat="false" ht="12.75" hidden="false" customHeight="false" outlineLevel="1" collapsed="false"/>
    <row r="3789" customFormat="false" ht="12.75" hidden="false" customHeight="false" outlineLevel="1" collapsed="false"/>
    <row r="3790" customFormat="false" ht="12.75" hidden="false" customHeight="false" outlineLevel="1" collapsed="false"/>
    <row r="3791" customFormat="false" ht="12.75" hidden="false" customHeight="false" outlineLevel="1" collapsed="false"/>
    <row r="3792" customFormat="false" ht="12.75" hidden="false" customHeight="false" outlineLevel="1" collapsed="false"/>
    <row r="3793" customFormat="false" ht="12.75" hidden="false" customHeight="false" outlineLevel="1" collapsed="false"/>
    <row r="3794" customFormat="false" ht="12.75" hidden="false" customHeight="false" outlineLevel="1" collapsed="false"/>
    <row r="3795" customFormat="false" ht="12.75" hidden="false" customHeight="false" outlineLevel="1" collapsed="false"/>
    <row r="3796" customFormat="false" ht="12.75" hidden="false" customHeight="false" outlineLevel="1" collapsed="false"/>
    <row r="3797" customFormat="false" ht="12.75" hidden="false" customHeight="false" outlineLevel="1" collapsed="false"/>
    <row r="3798" customFormat="false" ht="12.75" hidden="false" customHeight="false" outlineLevel="1" collapsed="false"/>
    <row r="3799" customFormat="false" ht="12.75" hidden="false" customHeight="false" outlineLevel="1" collapsed="false"/>
    <row r="3800" customFormat="false" ht="12.75" hidden="false" customHeight="false" outlineLevel="1" collapsed="false"/>
    <row r="3801" customFormat="false" ht="12.75" hidden="false" customHeight="false" outlineLevel="1" collapsed="false"/>
    <row r="3802" customFormat="false" ht="12.75" hidden="false" customHeight="false" outlineLevel="1" collapsed="false"/>
    <row r="3803" customFormat="false" ht="12.75" hidden="false" customHeight="false" outlineLevel="1" collapsed="false"/>
    <row r="3804" customFormat="false" ht="12.75" hidden="false" customHeight="false" outlineLevel="1" collapsed="false"/>
    <row r="3805" customFormat="false" ht="12.75" hidden="false" customHeight="false" outlineLevel="1" collapsed="false"/>
    <row r="3806" customFormat="false" ht="12.75" hidden="false" customHeight="false" outlineLevel="1" collapsed="false"/>
    <row r="3807" customFormat="false" ht="12.75" hidden="false" customHeight="false" outlineLevel="1" collapsed="false"/>
    <row r="3808" customFormat="false" ht="12.75" hidden="false" customHeight="false" outlineLevel="1" collapsed="false"/>
    <row r="3809" customFormat="false" ht="12.75" hidden="false" customHeight="false" outlineLevel="1" collapsed="false"/>
    <row r="3810" customFormat="false" ht="12.75" hidden="false" customHeight="false" outlineLevel="1" collapsed="false"/>
    <row r="3811" customFormat="false" ht="12.75" hidden="false" customHeight="false" outlineLevel="1" collapsed="false"/>
    <row r="3812" customFormat="false" ht="12.75" hidden="false" customHeight="false" outlineLevel="1" collapsed="false"/>
    <row r="3813" customFormat="false" ht="12.75" hidden="false" customHeight="false" outlineLevel="1" collapsed="false"/>
    <row r="3814" customFormat="false" ht="12.75" hidden="false" customHeight="false" outlineLevel="1" collapsed="false"/>
    <row r="3815" customFormat="false" ht="12.75" hidden="false" customHeight="false" outlineLevel="1" collapsed="false"/>
    <row r="3816" customFormat="false" ht="12.75" hidden="false" customHeight="false" outlineLevel="1" collapsed="false"/>
    <row r="3817" customFormat="false" ht="12.75" hidden="false" customHeight="false" outlineLevel="1" collapsed="false"/>
    <row r="3818" customFormat="false" ht="12.75" hidden="false" customHeight="false" outlineLevel="1" collapsed="false"/>
    <row r="3819" customFormat="false" ht="12.75" hidden="false" customHeight="false" outlineLevel="1" collapsed="false"/>
    <row r="3820" customFormat="false" ht="12.75" hidden="false" customHeight="false" outlineLevel="1" collapsed="false"/>
    <row r="3821" customFormat="false" ht="12.75" hidden="false" customHeight="false" outlineLevel="1" collapsed="false"/>
    <row r="3822" customFormat="false" ht="12.75" hidden="false" customHeight="false" outlineLevel="1" collapsed="false"/>
    <row r="3823" customFormat="false" ht="12.75" hidden="false" customHeight="false" outlineLevel="1" collapsed="false"/>
    <row r="3824" customFormat="false" ht="12.75" hidden="false" customHeight="false" outlineLevel="1" collapsed="false"/>
    <row r="3825" customFormat="false" ht="12.75" hidden="false" customHeight="false" outlineLevel="1" collapsed="false"/>
    <row r="3826" customFormat="false" ht="12.75" hidden="false" customHeight="false" outlineLevel="1" collapsed="false"/>
    <row r="3827" customFormat="false" ht="12.75" hidden="false" customHeight="false" outlineLevel="1" collapsed="false"/>
    <row r="3828" customFormat="false" ht="12.75" hidden="false" customHeight="false" outlineLevel="1" collapsed="false"/>
    <row r="3829" customFormat="false" ht="12.75" hidden="false" customHeight="false" outlineLevel="1" collapsed="false"/>
    <row r="3830" customFormat="false" ht="12.75" hidden="false" customHeight="false" outlineLevel="1" collapsed="false"/>
    <row r="3831" customFormat="false" ht="12.75" hidden="false" customHeight="false" outlineLevel="1" collapsed="false"/>
    <row r="3832" customFormat="false" ht="12.75" hidden="false" customHeight="false" outlineLevel="1" collapsed="false"/>
    <row r="3833" customFormat="false" ht="12.75" hidden="false" customHeight="false" outlineLevel="1" collapsed="false"/>
    <row r="3834" customFormat="false" ht="12.75" hidden="false" customHeight="false" outlineLevel="1" collapsed="false"/>
    <row r="3835" customFormat="false" ht="12.75" hidden="false" customHeight="false" outlineLevel="1" collapsed="false"/>
    <row r="3836" customFormat="false" ht="12.75" hidden="false" customHeight="false" outlineLevel="1" collapsed="false"/>
    <row r="3837" customFormat="false" ht="12.75" hidden="false" customHeight="false" outlineLevel="1" collapsed="false"/>
    <row r="3838" customFormat="false" ht="12.75" hidden="false" customHeight="false" outlineLevel="1" collapsed="false"/>
    <row r="3839" customFormat="false" ht="12.75" hidden="false" customHeight="false" outlineLevel="1" collapsed="false"/>
    <row r="3840" customFormat="false" ht="12.75" hidden="false" customHeight="false" outlineLevel="1" collapsed="false"/>
    <row r="3841" customFormat="false" ht="12.75" hidden="false" customHeight="false" outlineLevel="1" collapsed="false"/>
    <row r="3842" customFormat="false" ht="12.75" hidden="false" customHeight="false" outlineLevel="1" collapsed="false"/>
    <row r="3843" customFormat="false" ht="12.75" hidden="false" customHeight="false" outlineLevel="1" collapsed="false"/>
    <row r="3844" customFormat="false" ht="12.75" hidden="false" customHeight="false" outlineLevel="1" collapsed="false"/>
    <row r="3845" customFormat="false" ht="12.75" hidden="false" customHeight="false" outlineLevel="1" collapsed="false"/>
    <row r="3846" customFormat="false" ht="12.75" hidden="false" customHeight="false" outlineLevel="1" collapsed="false"/>
    <row r="3847" customFormat="false" ht="12.75" hidden="false" customHeight="false" outlineLevel="1" collapsed="false"/>
    <row r="3848" customFormat="false" ht="12.75" hidden="false" customHeight="false" outlineLevel="1" collapsed="false"/>
    <row r="3849" customFormat="false" ht="12.75" hidden="false" customHeight="false" outlineLevel="1" collapsed="false"/>
    <row r="3850" customFormat="false" ht="12.75" hidden="false" customHeight="false" outlineLevel="1" collapsed="false"/>
    <row r="3851" customFormat="false" ht="12.75" hidden="false" customHeight="false" outlineLevel="1" collapsed="false"/>
    <row r="3852" customFormat="false" ht="12.75" hidden="false" customHeight="false" outlineLevel="1" collapsed="false"/>
    <row r="3853" customFormat="false" ht="12.75" hidden="false" customHeight="false" outlineLevel="1" collapsed="false"/>
    <row r="3854" customFormat="false" ht="12.75" hidden="false" customHeight="false" outlineLevel="1" collapsed="false"/>
    <row r="3855" customFormat="false" ht="12.75" hidden="false" customHeight="false" outlineLevel="1" collapsed="false"/>
    <row r="3856" customFormat="false" ht="12.75" hidden="false" customHeight="false" outlineLevel="1" collapsed="false"/>
    <row r="3857" customFormat="false" ht="12.75" hidden="false" customHeight="false" outlineLevel="1" collapsed="false"/>
    <row r="3858" customFormat="false" ht="12.75" hidden="false" customHeight="false" outlineLevel="1" collapsed="false"/>
    <row r="3859" customFormat="false" ht="12.75" hidden="false" customHeight="false" outlineLevel="1" collapsed="false"/>
    <row r="3860" customFormat="false" ht="12.75" hidden="false" customHeight="false" outlineLevel="1" collapsed="false"/>
    <row r="3861" customFormat="false" ht="12.75" hidden="false" customHeight="false" outlineLevel="1" collapsed="false"/>
    <row r="3862" customFormat="false" ht="12.75" hidden="false" customHeight="false" outlineLevel="1" collapsed="false"/>
    <row r="3863" customFormat="false" ht="12.75" hidden="false" customHeight="false" outlineLevel="1" collapsed="false"/>
    <row r="3864" customFormat="false" ht="12.75" hidden="false" customHeight="false" outlineLevel="1" collapsed="false"/>
    <row r="3865" customFormat="false" ht="12.75" hidden="false" customHeight="false" outlineLevel="1" collapsed="false"/>
    <row r="3866" customFormat="false" ht="12.75" hidden="false" customHeight="false" outlineLevel="1" collapsed="false"/>
    <row r="3867" customFormat="false" ht="12.75" hidden="false" customHeight="false" outlineLevel="1" collapsed="false"/>
    <row r="3868" customFormat="false" ht="12.75" hidden="false" customHeight="false" outlineLevel="1" collapsed="false"/>
    <row r="3869" customFormat="false" ht="12.75" hidden="false" customHeight="false" outlineLevel="1" collapsed="false"/>
    <row r="3870" customFormat="false" ht="12.75" hidden="false" customHeight="false" outlineLevel="1" collapsed="false"/>
    <row r="3871" customFormat="false" ht="12.75" hidden="false" customHeight="false" outlineLevel="1" collapsed="false"/>
    <row r="3872" customFormat="false" ht="12.75" hidden="false" customHeight="false" outlineLevel="1" collapsed="false"/>
    <row r="3873" customFormat="false" ht="12.75" hidden="false" customHeight="false" outlineLevel="1" collapsed="false"/>
    <row r="3874" customFormat="false" ht="12.75" hidden="false" customHeight="false" outlineLevel="1" collapsed="false"/>
    <row r="3875" customFormat="false" ht="12.75" hidden="false" customHeight="false" outlineLevel="1" collapsed="false"/>
    <row r="3876" customFormat="false" ht="12.75" hidden="false" customHeight="false" outlineLevel="1" collapsed="false"/>
    <row r="3877" customFormat="false" ht="12.75" hidden="false" customHeight="false" outlineLevel="1" collapsed="false"/>
    <row r="3878" customFormat="false" ht="12.75" hidden="false" customHeight="false" outlineLevel="1" collapsed="false"/>
    <row r="3879" customFormat="false" ht="12.75" hidden="false" customHeight="false" outlineLevel="1" collapsed="false"/>
    <row r="3880" customFormat="false" ht="12.75" hidden="false" customHeight="false" outlineLevel="1" collapsed="false"/>
    <row r="3881" customFormat="false" ht="12.75" hidden="false" customHeight="false" outlineLevel="1" collapsed="false"/>
    <row r="3882" customFormat="false" ht="12.75" hidden="false" customHeight="false" outlineLevel="1" collapsed="false"/>
    <row r="3883" customFormat="false" ht="12.75" hidden="false" customHeight="false" outlineLevel="1" collapsed="false"/>
    <row r="3884" customFormat="false" ht="12.75" hidden="false" customHeight="false" outlineLevel="1" collapsed="false"/>
    <row r="3885" customFormat="false" ht="12.75" hidden="false" customHeight="false" outlineLevel="1" collapsed="false"/>
    <row r="3886" customFormat="false" ht="12.75" hidden="false" customHeight="false" outlineLevel="1" collapsed="false"/>
    <row r="3887" customFormat="false" ht="12.75" hidden="false" customHeight="false" outlineLevel="1" collapsed="false"/>
    <row r="3888" customFormat="false" ht="12.75" hidden="false" customHeight="false" outlineLevel="1" collapsed="false"/>
    <row r="3889" customFormat="false" ht="12.75" hidden="false" customHeight="false" outlineLevel="1" collapsed="false"/>
    <row r="3890" customFormat="false" ht="12.75" hidden="false" customHeight="false" outlineLevel="1" collapsed="false"/>
    <row r="3891" customFormat="false" ht="12.75" hidden="false" customHeight="false" outlineLevel="1" collapsed="false"/>
    <row r="3892" customFormat="false" ht="12.75" hidden="false" customHeight="false" outlineLevel="1" collapsed="false"/>
    <row r="3893" customFormat="false" ht="12.75" hidden="false" customHeight="false" outlineLevel="1" collapsed="false"/>
    <row r="3894" customFormat="false" ht="12.75" hidden="false" customHeight="false" outlineLevel="1" collapsed="false"/>
    <row r="3895" customFormat="false" ht="12.75" hidden="false" customHeight="false" outlineLevel="1" collapsed="false"/>
    <row r="3896" customFormat="false" ht="12.75" hidden="false" customHeight="false" outlineLevel="1" collapsed="false"/>
    <row r="3897" customFormat="false" ht="12.75" hidden="false" customHeight="false" outlineLevel="1" collapsed="false"/>
    <row r="3898" customFormat="false" ht="12.75" hidden="false" customHeight="false" outlineLevel="1" collapsed="false"/>
    <row r="3899" customFormat="false" ht="12.75" hidden="false" customHeight="false" outlineLevel="1" collapsed="false"/>
    <row r="3900" customFormat="false" ht="12.75" hidden="false" customHeight="false" outlineLevel="1" collapsed="false"/>
    <row r="3901" customFormat="false" ht="12.75" hidden="false" customHeight="false" outlineLevel="1" collapsed="false"/>
    <row r="3902" customFormat="false" ht="12.75" hidden="false" customHeight="false" outlineLevel="1" collapsed="false"/>
    <row r="3903" customFormat="false" ht="12.75" hidden="false" customHeight="false" outlineLevel="1" collapsed="false"/>
    <row r="3904" customFormat="false" ht="12.75" hidden="false" customHeight="false" outlineLevel="1" collapsed="false"/>
    <row r="3905" customFormat="false" ht="12.75" hidden="false" customHeight="false" outlineLevel="1" collapsed="false"/>
    <row r="3906" customFormat="false" ht="12.75" hidden="false" customHeight="false" outlineLevel="1" collapsed="false"/>
    <row r="3907" customFormat="false" ht="12.75" hidden="false" customHeight="false" outlineLevel="1" collapsed="false"/>
    <row r="3908" customFormat="false" ht="12.75" hidden="false" customHeight="false" outlineLevel="1" collapsed="false"/>
    <row r="3909" customFormat="false" ht="12.75" hidden="false" customHeight="false" outlineLevel="1" collapsed="false"/>
    <row r="3910" customFormat="false" ht="12.75" hidden="false" customHeight="false" outlineLevel="1" collapsed="false"/>
    <row r="3911" customFormat="false" ht="12.75" hidden="false" customHeight="false" outlineLevel="1" collapsed="false"/>
    <row r="3912" customFormat="false" ht="12.75" hidden="false" customHeight="false" outlineLevel="1" collapsed="false"/>
    <row r="3913" customFormat="false" ht="12.75" hidden="false" customHeight="false" outlineLevel="1" collapsed="false"/>
    <row r="3914" customFormat="false" ht="12.75" hidden="false" customHeight="false" outlineLevel="1" collapsed="false"/>
    <row r="3915" customFormat="false" ht="12.75" hidden="false" customHeight="false" outlineLevel="1" collapsed="false"/>
    <row r="3916" customFormat="false" ht="12.75" hidden="false" customHeight="false" outlineLevel="1" collapsed="false"/>
    <row r="3917" customFormat="false" ht="12.75" hidden="false" customHeight="false" outlineLevel="1" collapsed="false"/>
    <row r="3918" customFormat="false" ht="12.75" hidden="false" customHeight="false" outlineLevel="1" collapsed="false"/>
    <row r="3919" customFormat="false" ht="12.75" hidden="false" customHeight="false" outlineLevel="1" collapsed="false"/>
    <row r="3920" customFormat="false" ht="12.75" hidden="false" customHeight="false" outlineLevel="1" collapsed="false"/>
    <row r="3921" customFormat="false" ht="12.75" hidden="false" customHeight="false" outlineLevel="1" collapsed="false"/>
    <row r="3922" customFormat="false" ht="12.75" hidden="false" customHeight="false" outlineLevel="1" collapsed="false"/>
    <row r="3923" customFormat="false" ht="12.75" hidden="false" customHeight="false" outlineLevel="1" collapsed="false"/>
    <row r="3924" customFormat="false" ht="12.75" hidden="false" customHeight="false" outlineLevel="1" collapsed="false"/>
    <row r="3925" customFormat="false" ht="12.75" hidden="false" customHeight="false" outlineLevel="1" collapsed="false"/>
    <row r="3926" customFormat="false" ht="12.75" hidden="false" customHeight="false" outlineLevel="1" collapsed="false"/>
    <row r="3927" customFormat="false" ht="12.75" hidden="false" customHeight="false" outlineLevel="1" collapsed="false"/>
    <row r="3928" customFormat="false" ht="12.75" hidden="false" customHeight="false" outlineLevel="1" collapsed="false"/>
    <row r="3929" customFormat="false" ht="12.75" hidden="false" customHeight="false" outlineLevel="1" collapsed="false"/>
    <row r="3930" customFormat="false" ht="12.75" hidden="false" customHeight="false" outlineLevel="1" collapsed="false"/>
    <row r="3931" customFormat="false" ht="12.75" hidden="false" customHeight="false" outlineLevel="1" collapsed="false"/>
    <row r="3932" customFormat="false" ht="12.75" hidden="false" customHeight="false" outlineLevel="1" collapsed="false"/>
    <row r="3933" customFormat="false" ht="12.75" hidden="false" customHeight="false" outlineLevel="1" collapsed="false"/>
    <row r="3934" customFormat="false" ht="12.75" hidden="false" customHeight="false" outlineLevel="1" collapsed="false"/>
    <row r="3935" customFormat="false" ht="12.75" hidden="false" customHeight="false" outlineLevel="1" collapsed="false"/>
    <row r="3936" customFormat="false" ht="12.75" hidden="false" customHeight="false" outlineLevel="1" collapsed="false"/>
    <row r="3937" customFormat="false" ht="12.75" hidden="false" customHeight="false" outlineLevel="1" collapsed="false"/>
    <row r="3938" customFormat="false" ht="12.75" hidden="false" customHeight="false" outlineLevel="1" collapsed="false"/>
    <row r="3939" customFormat="false" ht="12.75" hidden="false" customHeight="false" outlineLevel="1" collapsed="false"/>
    <row r="3940" customFormat="false" ht="12.75" hidden="false" customHeight="false" outlineLevel="1" collapsed="false"/>
    <row r="3941" customFormat="false" ht="12.75" hidden="false" customHeight="false" outlineLevel="1" collapsed="false"/>
    <row r="3942" customFormat="false" ht="12.75" hidden="false" customHeight="false" outlineLevel="1" collapsed="false"/>
    <row r="3943" customFormat="false" ht="12.75" hidden="false" customHeight="false" outlineLevel="1" collapsed="false"/>
    <row r="3944" customFormat="false" ht="12.75" hidden="false" customHeight="false" outlineLevel="1" collapsed="false"/>
    <row r="3945" customFormat="false" ht="12.75" hidden="false" customHeight="false" outlineLevel="1" collapsed="false"/>
    <row r="3946" customFormat="false" ht="12.75" hidden="false" customHeight="false" outlineLevel="1" collapsed="false"/>
    <row r="3947" customFormat="false" ht="12.75" hidden="false" customHeight="false" outlineLevel="1" collapsed="false"/>
    <row r="3948" customFormat="false" ht="12.75" hidden="false" customHeight="false" outlineLevel="1" collapsed="false"/>
    <row r="3949" customFormat="false" ht="12.75" hidden="false" customHeight="false" outlineLevel="1" collapsed="false"/>
    <row r="3950" customFormat="false" ht="12.75" hidden="false" customHeight="false" outlineLevel="1" collapsed="false"/>
    <row r="3951" customFormat="false" ht="12.75" hidden="false" customHeight="false" outlineLevel="1" collapsed="false"/>
    <row r="3952" customFormat="false" ht="12.75" hidden="false" customHeight="false" outlineLevel="1" collapsed="false"/>
    <row r="3953" customFormat="false" ht="12.75" hidden="false" customHeight="false" outlineLevel="1" collapsed="false"/>
    <row r="3954" customFormat="false" ht="12.75" hidden="false" customHeight="false" outlineLevel="1" collapsed="false"/>
    <row r="3955" customFormat="false" ht="12.75" hidden="false" customHeight="false" outlineLevel="1" collapsed="false"/>
    <row r="3956" customFormat="false" ht="12.75" hidden="false" customHeight="false" outlineLevel="1" collapsed="false"/>
    <row r="3957" customFormat="false" ht="12.75" hidden="false" customHeight="false" outlineLevel="1" collapsed="false"/>
    <row r="3958" customFormat="false" ht="12.75" hidden="false" customHeight="false" outlineLevel="1" collapsed="false"/>
    <row r="3959" customFormat="false" ht="12.75" hidden="false" customHeight="false" outlineLevel="1" collapsed="false"/>
    <row r="3960" customFormat="false" ht="12.75" hidden="false" customHeight="false" outlineLevel="1" collapsed="false"/>
    <row r="3961" customFormat="false" ht="12.75" hidden="false" customHeight="false" outlineLevel="1" collapsed="false"/>
    <row r="3962" customFormat="false" ht="12.75" hidden="false" customHeight="false" outlineLevel="1" collapsed="false"/>
    <row r="3963" customFormat="false" ht="12.75" hidden="false" customHeight="false" outlineLevel="1" collapsed="false"/>
    <row r="3964" customFormat="false" ht="12.75" hidden="false" customHeight="false" outlineLevel="1" collapsed="false"/>
    <row r="3965" customFormat="false" ht="12.75" hidden="false" customHeight="false" outlineLevel="1" collapsed="false"/>
    <row r="3966" customFormat="false" ht="12.75" hidden="false" customHeight="false" outlineLevel="1" collapsed="false"/>
    <row r="3967" customFormat="false" ht="12.75" hidden="false" customHeight="false" outlineLevel="1" collapsed="false"/>
    <row r="3968" customFormat="false" ht="12.75" hidden="false" customHeight="false" outlineLevel="1" collapsed="false"/>
    <row r="3969" customFormat="false" ht="12.75" hidden="false" customHeight="false" outlineLevel="1" collapsed="false"/>
    <row r="3970" customFormat="false" ht="12.75" hidden="false" customHeight="false" outlineLevel="1" collapsed="false"/>
    <row r="3971" customFormat="false" ht="12.75" hidden="false" customHeight="false" outlineLevel="1" collapsed="false"/>
    <row r="3972" customFormat="false" ht="12.75" hidden="false" customHeight="false" outlineLevel="1" collapsed="false"/>
    <row r="3973" customFormat="false" ht="12.75" hidden="false" customHeight="false" outlineLevel="1" collapsed="false"/>
    <row r="3974" customFormat="false" ht="12.75" hidden="false" customHeight="false" outlineLevel="1" collapsed="false"/>
    <row r="3975" customFormat="false" ht="12.75" hidden="false" customHeight="false" outlineLevel="1" collapsed="false"/>
    <row r="3976" customFormat="false" ht="12.75" hidden="false" customHeight="false" outlineLevel="1" collapsed="false"/>
    <row r="3977" customFormat="false" ht="12.75" hidden="false" customHeight="false" outlineLevel="1" collapsed="false"/>
    <row r="3978" customFormat="false" ht="12.75" hidden="false" customHeight="false" outlineLevel="1" collapsed="false"/>
    <row r="3979" customFormat="false" ht="12.75" hidden="false" customHeight="false" outlineLevel="1" collapsed="false"/>
    <row r="3980" customFormat="false" ht="12.75" hidden="false" customHeight="false" outlineLevel="1" collapsed="false"/>
    <row r="3981" customFormat="false" ht="12.75" hidden="false" customHeight="false" outlineLevel="1" collapsed="false"/>
    <row r="3982" customFormat="false" ht="12.75" hidden="false" customHeight="false" outlineLevel="1" collapsed="false"/>
    <row r="3983" customFormat="false" ht="12.75" hidden="false" customHeight="false" outlineLevel="1" collapsed="false"/>
    <row r="3984" customFormat="false" ht="12.75" hidden="false" customHeight="false" outlineLevel="1" collapsed="false"/>
    <row r="3985" customFormat="false" ht="12.75" hidden="false" customHeight="false" outlineLevel="1" collapsed="false"/>
    <row r="3986" customFormat="false" ht="12.75" hidden="false" customHeight="false" outlineLevel="1" collapsed="false"/>
    <row r="3987" customFormat="false" ht="12.75" hidden="false" customHeight="false" outlineLevel="1" collapsed="false"/>
    <row r="3988" customFormat="false" ht="12.75" hidden="false" customHeight="false" outlineLevel="1" collapsed="false"/>
    <row r="3989" customFormat="false" ht="12.75" hidden="false" customHeight="false" outlineLevel="1" collapsed="false"/>
    <row r="3990" customFormat="false" ht="12.75" hidden="false" customHeight="false" outlineLevel="1" collapsed="false"/>
    <row r="3991" customFormat="false" ht="12.75" hidden="false" customHeight="false" outlineLevel="1" collapsed="false"/>
    <row r="3992" customFormat="false" ht="12.75" hidden="false" customHeight="false" outlineLevel="1" collapsed="false"/>
    <row r="3993" customFormat="false" ht="12.75" hidden="false" customHeight="false" outlineLevel="1" collapsed="false"/>
    <row r="3994" customFormat="false" ht="12.75" hidden="false" customHeight="false" outlineLevel="1" collapsed="false"/>
    <row r="3995" customFormat="false" ht="12.75" hidden="false" customHeight="false" outlineLevel="1" collapsed="false"/>
    <row r="3996" customFormat="false" ht="12.75" hidden="false" customHeight="false" outlineLevel="1" collapsed="false"/>
    <row r="3997" customFormat="false" ht="12.75" hidden="false" customHeight="false" outlineLevel="1" collapsed="false"/>
    <row r="3998" customFormat="false" ht="12.75" hidden="false" customHeight="false" outlineLevel="1" collapsed="false"/>
    <row r="3999" customFormat="false" ht="12.75" hidden="false" customHeight="false" outlineLevel="1" collapsed="false"/>
    <row r="4000" customFormat="false" ht="12.75" hidden="false" customHeight="false" outlineLevel="1" collapsed="false"/>
    <row r="4001" customFormat="false" ht="12.75" hidden="false" customHeight="false" outlineLevel="1" collapsed="false"/>
    <row r="4002" customFormat="false" ht="12.75" hidden="false" customHeight="false" outlineLevel="1" collapsed="false"/>
    <row r="4003" customFormat="false" ht="12.75" hidden="false" customHeight="false" outlineLevel="1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71"/>
  <sheetViews>
    <sheetView showFormulas="false" showGridLines="true" showRowColHeaders="true" showZeros="true" rightToLeft="false" tabSelected="false" showOutlineSymbols="true" defaultGridColor="true" view="normal" topLeftCell="A41" colorId="64" zoomScale="100" zoomScaleNormal="100" zoomScalePageLayoutView="100" workbookViewId="0">
      <selection pane="topLeft" activeCell="H56" activeCellId="0" sqref="H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0" width="9.28"/>
    <col collapsed="false" customWidth="true" hidden="false" outlineLevel="0" max="3" min="3" style="0" width="9.7"/>
    <col collapsed="false" customWidth="true" hidden="true" outlineLevel="0" max="4" min="4" style="976" width="2.84"/>
    <col collapsed="false" customWidth="true" hidden="false" outlineLevel="0" max="5" min="5" style="977" width="16.28"/>
    <col collapsed="false" customWidth="true" hidden="false" outlineLevel="0" max="6" min="6" style="0" width="27.42"/>
    <col collapsed="false" customWidth="true" hidden="false" outlineLevel="0" max="7" min="7" style="0" width="3.99"/>
    <col collapsed="false" customWidth="true" hidden="false" outlineLevel="0" max="8" min="8" style="0" width="10.13"/>
    <col collapsed="false" customWidth="true" hidden="false" outlineLevel="0" max="9" min="9" style="0" width="22.28"/>
    <col collapsed="false" customWidth="true" hidden="false" outlineLevel="0" max="10" min="10" style="0" width="9.99"/>
    <col collapsed="false" customWidth="true" hidden="false" outlineLevel="0" max="13" min="13" style="0" width="11.42"/>
    <col collapsed="false" customWidth="true" hidden="false" outlineLevel="0" max="14" min="14" style="0" width="8.99"/>
  </cols>
  <sheetData>
    <row r="1" customFormat="false" ht="13.5" hidden="false" customHeight="false" outlineLevel="0" collapsed="false">
      <c r="A1" s="978" t="s">
        <v>464</v>
      </c>
      <c r="B1" s="978" t="s">
        <v>465</v>
      </c>
      <c r="C1" s="978" t="s">
        <v>466</v>
      </c>
      <c r="D1" s="979"/>
      <c r="E1" s="980" t="s">
        <v>467</v>
      </c>
      <c r="F1" s="981" t="s">
        <v>468</v>
      </c>
      <c r="G1" s="982" t="n">
        <v>75</v>
      </c>
      <c r="H1" s="983"/>
      <c r="I1" s="984" t="s">
        <v>469</v>
      </c>
      <c r="K1" s="985" t="s">
        <v>470</v>
      </c>
      <c r="L1" s="985" t="s">
        <v>471</v>
      </c>
      <c r="M1" s="985" t="s">
        <v>472</v>
      </c>
      <c r="N1" s="985" t="s">
        <v>473</v>
      </c>
    </row>
    <row r="2" customFormat="false" ht="13.5" hidden="false" customHeight="false" outlineLevel="0" collapsed="false">
      <c r="A2" s="986" t="n">
        <v>33288</v>
      </c>
      <c r="B2" s="987" t="n">
        <v>29</v>
      </c>
      <c r="C2" s="987" t="n">
        <v>29.5</v>
      </c>
      <c r="E2" s="988" t="n">
        <v>37141.3093865741</v>
      </c>
      <c r="F2" s="989" t="s">
        <v>114</v>
      </c>
      <c r="H2" s="983" t="n">
        <f aca="false">AVERAGE(B2:C2)</f>
        <v>29.25</v>
      </c>
      <c r="I2" s="990" t="s">
        <v>474</v>
      </c>
      <c r="J2" s="991" t="n">
        <f aca="false">+(C3+B3)/(C7+B7)*1000</f>
        <v>982.300884955752</v>
      </c>
      <c r="K2" s="0" t="n">
        <v>9731</v>
      </c>
      <c r="L2" s="0" t="n">
        <v>9731</v>
      </c>
      <c r="M2" s="0" t="n">
        <v>5</v>
      </c>
      <c r="N2" s="0" t="n">
        <v>6</v>
      </c>
    </row>
    <row r="3" customFormat="false" ht="13.5" hidden="false" customHeight="false" outlineLevel="0" collapsed="false">
      <c r="A3" s="986" t="n">
        <v>48648</v>
      </c>
      <c r="B3" s="987" t="n">
        <v>27.5</v>
      </c>
      <c r="C3" s="987" t="n">
        <v>28</v>
      </c>
      <c r="E3" s="988" t="n">
        <v>37141.3094097222</v>
      </c>
      <c r="F3" s="992" t="s">
        <v>119</v>
      </c>
      <c r="H3" s="983" t="n">
        <f aca="false">AVERAGE(B3:C3)</f>
        <v>27.75</v>
      </c>
      <c r="I3" s="990" t="s">
        <v>475</v>
      </c>
      <c r="J3" s="991" t="n">
        <f aca="false">+(C14+B14)/(C6+B6)*1000</f>
        <v>447.380410022779</v>
      </c>
      <c r="K3" s="0" t="n">
        <v>8739</v>
      </c>
      <c r="L3" s="0" t="n">
        <v>8739</v>
      </c>
      <c r="M3" s="0" t="n">
        <v>3</v>
      </c>
      <c r="N3" s="0" t="n">
        <v>6</v>
      </c>
    </row>
    <row r="4" customFormat="false" ht="13.5" hidden="false" customHeight="false" outlineLevel="0" collapsed="false">
      <c r="A4" s="986" t="n">
        <v>48506</v>
      </c>
      <c r="B4" s="993" t="n">
        <v>31</v>
      </c>
      <c r="C4" s="993" t="n">
        <v>31.5</v>
      </c>
      <c r="E4" s="988" t="n">
        <v>37141.3647453704</v>
      </c>
      <c r="F4" s="989" t="s">
        <v>124</v>
      </c>
      <c r="H4" s="983" t="n">
        <f aca="false">AVERAGE(B4:C4)</f>
        <v>31.25</v>
      </c>
      <c r="I4" s="990" t="s">
        <v>476</v>
      </c>
      <c r="J4" s="991" t="n">
        <f aca="false">+(C5+B5)/(C4+B4)*1000</f>
        <v>1312</v>
      </c>
      <c r="K4" s="0" t="n">
        <v>9134</v>
      </c>
      <c r="L4" s="0" t="n">
        <v>9354</v>
      </c>
      <c r="M4" s="0" t="n">
        <v>2</v>
      </c>
      <c r="N4" s="0" t="n">
        <v>4</v>
      </c>
    </row>
    <row r="5" customFormat="false" ht="13.5" hidden="false" customHeight="false" outlineLevel="0" collapsed="false">
      <c r="A5" s="986" t="n">
        <v>26116</v>
      </c>
      <c r="B5" s="987" t="n">
        <v>40.75</v>
      </c>
      <c r="C5" s="987" t="n">
        <v>41.25</v>
      </c>
      <c r="E5" s="988" t="n">
        <v>37141.3647569444</v>
      </c>
      <c r="F5" s="989" t="s">
        <v>128</v>
      </c>
      <c r="H5" s="983" t="n">
        <f aca="false">AVERAGE(B5:C5)</f>
        <v>41</v>
      </c>
      <c r="I5" s="994" t="s">
        <v>477</v>
      </c>
      <c r="J5" s="991" t="n">
        <f aca="false">+(C12+B12)/(C4+B4)*1000</f>
        <v>920</v>
      </c>
      <c r="K5" s="0" t="n">
        <v>8739</v>
      </c>
      <c r="L5" s="0" t="n">
        <v>8739</v>
      </c>
    </row>
    <row r="6" customFormat="false" ht="13.5" hidden="false" customHeight="false" outlineLevel="0" collapsed="false">
      <c r="A6" s="986" t="n">
        <v>26117</v>
      </c>
      <c r="B6" s="987" t="n">
        <v>54.5</v>
      </c>
      <c r="C6" s="987" t="n">
        <v>55.25</v>
      </c>
      <c r="E6" s="988" t="n">
        <v>37141.3648032407</v>
      </c>
      <c r="F6" s="989" t="s">
        <v>130</v>
      </c>
      <c r="H6" s="983" t="n">
        <f aca="false">AVERAGE(B6:C6)</f>
        <v>54.875</v>
      </c>
      <c r="I6" s="995" t="s">
        <v>478</v>
      </c>
      <c r="J6" s="991" t="n">
        <f aca="false">+(C2+B2)/(C6+B6)*1000</f>
        <v>533.029612756264</v>
      </c>
      <c r="K6" s="0" t="n">
        <v>8739</v>
      </c>
      <c r="L6" s="0" t="n">
        <v>8739</v>
      </c>
    </row>
    <row r="7" customFormat="false" ht="13.5" hidden="false" customHeight="false" outlineLevel="0" collapsed="false">
      <c r="A7" s="986" t="n">
        <v>48508</v>
      </c>
      <c r="B7" s="987" t="n">
        <v>28</v>
      </c>
      <c r="C7" s="987" t="n">
        <v>28.5</v>
      </c>
      <c r="E7" s="988" t="n">
        <v>37141.268587963</v>
      </c>
      <c r="F7" s="989" t="s">
        <v>133</v>
      </c>
      <c r="H7" s="983" t="n">
        <f aca="false">AVERAGE(B7:C7)</f>
        <v>28.25</v>
      </c>
      <c r="I7" s="996" t="n">
        <v>37043</v>
      </c>
      <c r="J7" s="991" t="n">
        <f aca="false">+(C2+B2)/(C4+B4)*1000</f>
        <v>936</v>
      </c>
    </row>
    <row r="8" customFormat="false" ht="12.75" hidden="false" customHeight="false" outlineLevel="0" collapsed="false">
      <c r="A8" s="986" t="n">
        <v>48510</v>
      </c>
      <c r="B8" s="987" t="n">
        <v>28.75</v>
      </c>
      <c r="C8" s="987" t="n">
        <v>29.25</v>
      </c>
      <c r="E8" s="988" t="n">
        <v>37141.2686574074</v>
      </c>
      <c r="F8" s="989" t="s">
        <v>135</v>
      </c>
      <c r="H8" s="983" t="n">
        <f aca="false">AVERAGE(B8:C8)</f>
        <v>29</v>
      </c>
    </row>
    <row r="9" customFormat="false" ht="12.75" hidden="false" customHeight="false" outlineLevel="0" collapsed="false">
      <c r="A9" s="986"/>
      <c r="B9" s="997" t="n">
        <v>0</v>
      </c>
      <c r="C9" s="997" t="n">
        <v>0</v>
      </c>
      <c r="E9" s="988"/>
      <c r="F9" s="989"/>
      <c r="H9" s="998" t="n">
        <f aca="false">AVERAGE(B9:C9)</f>
        <v>0</v>
      </c>
    </row>
    <row r="10" customFormat="false" ht="12.75" hidden="false" customHeight="false" outlineLevel="0" collapsed="false">
      <c r="A10" s="986" t="n">
        <v>36462</v>
      </c>
      <c r="B10" s="987" t="n">
        <v>50</v>
      </c>
      <c r="C10" s="987" t="n">
        <v>51.5</v>
      </c>
      <c r="E10" s="988" t="n">
        <v>37070.4336342593</v>
      </c>
      <c r="F10" s="989" t="s">
        <v>190</v>
      </c>
      <c r="H10" s="983" t="n">
        <f aca="false">AVERAGE(B10:C10)</f>
        <v>50.75</v>
      </c>
      <c r="P10" s="0" t="n">
        <v>31</v>
      </c>
      <c r="Q10" s="199" t="n">
        <v>4.275</v>
      </c>
    </row>
    <row r="11" customFormat="false" ht="12.75" hidden="false" customHeight="false" outlineLevel="0" collapsed="false">
      <c r="A11" s="986" t="n">
        <v>40869</v>
      </c>
      <c r="B11" s="987" t="n">
        <v>53.25</v>
      </c>
      <c r="C11" s="987" t="n">
        <v>54.25</v>
      </c>
      <c r="E11" s="988" t="n">
        <v>37102.6108333333</v>
      </c>
      <c r="F11" s="989" t="s">
        <v>192</v>
      </c>
      <c r="H11" s="983" t="n">
        <f aca="false">AVERAGE(B11:C11)</f>
        <v>53.75</v>
      </c>
      <c r="J11" s="0" t="n">
        <f aca="false">H2*SUM(TradeSum!CD18:CD19)</f>
        <v>20592</v>
      </c>
      <c r="P11" s="0" t="n">
        <v>31</v>
      </c>
      <c r="Q11" s="199" t="n">
        <f aca="false">+Q10-0.005</f>
        <v>4.27</v>
      </c>
    </row>
    <row r="12" customFormat="false" ht="12.75" hidden="false" customHeight="false" outlineLevel="0" collapsed="false">
      <c r="A12" s="986" t="n">
        <v>3751</v>
      </c>
      <c r="B12" s="987" t="n">
        <v>28.55</v>
      </c>
      <c r="C12" s="987" t="n">
        <v>28.95</v>
      </c>
      <c r="E12" s="988" t="n">
        <v>37134.2640162037</v>
      </c>
      <c r="F12" s="992" t="s">
        <v>133</v>
      </c>
      <c r="H12" s="983" t="n">
        <f aca="false">AVERAGE(B12:C12)</f>
        <v>28.75</v>
      </c>
      <c r="J12" s="0" t="n">
        <f aca="false">+H3*SUM(TradeSum!CD20:CD21)</f>
        <v>18648</v>
      </c>
      <c r="P12" s="0" t="n">
        <v>31</v>
      </c>
      <c r="Q12" s="199" t="n">
        <f aca="false">+Q11-0.005</f>
        <v>4.265</v>
      </c>
    </row>
    <row r="13" customFormat="false" ht="12.75" hidden="false" customHeight="false" outlineLevel="0" collapsed="false">
      <c r="A13" s="986" t="n">
        <v>26115</v>
      </c>
      <c r="B13" s="987" t="n">
        <v>26.4</v>
      </c>
      <c r="C13" s="987" t="n">
        <v>26.65</v>
      </c>
      <c r="E13" s="988" t="n">
        <v>37141.3651736111</v>
      </c>
      <c r="F13" s="992" t="s">
        <v>135</v>
      </c>
      <c r="H13" s="983" t="n">
        <f aca="false">AVERAGE(B13:C13)</f>
        <v>26.525</v>
      </c>
      <c r="J13" s="0" t="n">
        <f aca="false">+H4*TradeSum!CD22</f>
        <v>11000</v>
      </c>
      <c r="P13" s="0" t="n">
        <v>31</v>
      </c>
      <c r="Q13" s="199" t="n">
        <f aca="false">+Q12-0.005</f>
        <v>4.26</v>
      </c>
    </row>
    <row r="14" customFormat="false" ht="12.75" hidden="false" customHeight="false" outlineLevel="0" collapsed="false">
      <c r="A14" s="986" t="n">
        <v>40819</v>
      </c>
      <c r="B14" s="987" t="n">
        <v>24.4</v>
      </c>
      <c r="C14" s="987" t="n">
        <v>24.7</v>
      </c>
      <c r="E14" s="988" t="n">
        <v>37141.3617592593</v>
      </c>
      <c r="F14" s="989" t="s">
        <v>479</v>
      </c>
      <c r="H14" s="983" t="n">
        <f aca="false">AVERAGE(B14:C14)</f>
        <v>24.55</v>
      </c>
      <c r="J14" s="0" t="n">
        <f aca="false">+H5*TradeSum!CD23</f>
        <v>13120</v>
      </c>
      <c r="P14" s="0" t="n">
        <v>31</v>
      </c>
      <c r="Q14" s="199" t="n">
        <f aca="false">+Q13-0.005</f>
        <v>4.255</v>
      </c>
    </row>
    <row r="15" customFormat="false" ht="12.75" hidden="false" customHeight="false" outlineLevel="0" collapsed="false">
      <c r="A15" s="986" t="n">
        <v>29066</v>
      </c>
      <c r="B15" s="987" t="n">
        <v>24.5</v>
      </c>
      <c r="C15" s="987" t="n">
        <v>25</v>
      </c>
      <c r="E15" s="988" t="n">
        <v>37141.3284606482</v>
      </c>
      <c r="F15" s="989" t="s">
        <v>108</v>
      </c>
      <c r="H15" s="983" t="n">
        <f aca="false">AVERAGE(B15:C15)</f>
        <v>24.75</v>
      </c>
      <c r="J15" s="0" t="n">
        <f aca="false">+H6*SUM(TradeSum!CD24:CD25)</f>
        <v>37754</v>
      </c>
      <c r="P15" s="0" t="n">
        <v>31</v>
      </c>
      <c r="Q15" s="199" t="n">
        <f aca="false">+Q14-0.005</f>
        <v>4.25</v>
      </c>
    </row>
    <row r="16" customFormat="false" ht="12.75" hidden="false" customHeight="false" outlineLevel="0" collapsed="false">
      <c r="A16" s="986" t="n">
        <v>52905</v>
      </c>
      <c r="B16" s="987"/>
      <c r="C16" s="987" t="n">
        <v>36</v>
      </c>
      <c r="E16" s="988" t="n">
        <v>37074.2656597222</v>
      </c>
      <c r="F16" s="989" t="s">
        <v>112</v>
      </c>
      <c r="H16" s="983" t="n">
        <f aca="false">AVERAGE(B16:C16)</f>
        <v>36</v>
      </c>
      <c r="J16" s="0" t="n">
        <f aca="false">+H7*TradeSum!CD26</f>
        <v>9492</v>
      </c>
      <c r="P16" s="0" t="n">
        <v>31</v>
      </c>
      <c r="Q16" s="199" t="n">
        <f aca="false">+Q15-0.005</f>
        <v>4.245</v>
      </c>
    </row>
    <row r="17" customFormat="false" ht="12.75" hidden="false" customHeight="false" outlineLevel="0" collapsed="false">
      <c r="A17" s="986" t="n">
        <v>28251</v>
      </c>
      <c r="B17" s="987"/>
      <c r="C17" s="987"/>
      <c r="E17" s="988" t="n">
        <v>37141.311875</v>
      </c>
      <c r="F17" s="999" t="s">
        <v>480</v>
      </c>
      <c r="H17" s="983" t="e">
        <f aca="false">AVERAGE(B17:C17)</f>
        <v>#DIV/0!</v>
      </c>
      <c r="J17" s="0" t="n">
        <f aca="false">+H8*SUM(TradeSum!CD27:CD29)</f>
        <v>29232</v>
      </c>
      <c r="P17" s="0" t="n">
        <v>31</v>
      </c>
      <c r="Q17" s="199" t="n">
        <f aca="false">+Q16-0.005</f>
        <v>4.24</v>
      </c>
    </row>
    <row r="18" customFormat="false" ht="12.75" hidden="false" customHeight="false" outlineLevel="0" collapsed="false">
      <c r="A18" s="986" t="n">
        <v>52909</v>
      </c>
      <c r="B18" s="987" t="n">
        <v>51.25</v>
      </c>
      <c r="C18" s="987" t="n">
        <v>52.25</v>
      </c>
      <c r="E18" s="988" t="n">
        <v>37085.6128935185</v>
      </c>
      <c r="F18" s="989" t="s">
        <v>122</v>
      </c>
      <c r="H18" s="983" t="n">
        <f aca="false">AVERAGE(B18:C18)</f>
        <v>51.75</v>
      </c>
      <c r="P18" s="0" t="n">
        <v>31</v>
      </c>
      <c r="Q18" s="199" t="n">
        <v>4.24</v>
      </c>
    </row>
    <row r="19" customFormat="false" ht="12.75" hidden="false" customHeight="false" outlineLevel="0" collapsed="false">
      <c r="A19" s="986" t="n">
        <v>53899</v>
      </c>
      <c r="B19" s="987" t="n">
        <v>53.5</v>
      </c>
      <c r="C19" s="987" t="n">
        <v>54.5</v>
      </c>
      <c r="E19" s="988" t="n">
        <v>37096.646400463</v>
      </c>
      <c r="F19" s="989" t="s">
        <v>481</v>
      </c>
      <c r="H19" s="983" t="n">
        <f aca="false">AVERAGE(B19:C19)</f>
        <v>54</v>
      </c>
      <c r="P19" s="0" t="n">
        <v>31</v>
      </c>
      <c r="Q19" s="199" t="n">
        <v>4.24</v>
      </c>
    </row>
    <row r="20" customFormat="false" ht="12.75" hidden="false" customHeight="false" outlineLevel="0" collapsed="false">
      <c r="A20" s="986" t="n">
        <v>26118</v>
      </c>
      <c r="B20" s="987" t="n">
        <v>39.5</v>
      </c>
      <c r="C20" s="987" t="n">
        <v>40.25</v>
      </c>
      <c r="E20" s="988" t="n">
        <v>37141.3647337963</v>
      </c>
      <c r="F20" s="989" t="s">
        <v>482</v>
      </c>
      <c r="H20" s="983" t="n">
        <f aca="false">AVERAGE(B20:C20)</f>
        <v>39.875</v>
      </c>
      <c r="J20" s="1000" t="n">
        <f aca="false">+J19/SUM(TradeSum!CD18:CD29)</f>
        <v>0</v>
      </c>
      <c r="P20" s="0" t="n">
        <v>31</v>
      </c>
      <c r="Q20" s="199" t="n">
        <f aca="false">+Q19+0.005</f>
        <v>4.245</v>
      </c>
    </row>
    <row r="21" customFormat="false" ht="12.75" hidden="false" customHeight="false" outlineLevel="0" collapsed="false">
      <c r="A21" s="986" t="n">
        <v>26119</v>
      </c>
      <c r="B21" s="987" t="n">
        <v>49.25</v>
      </c>
      <c r="C21" s="987" t="n">
        <v>50</v>
      </c>
      <c r="E21" s="988" t="n">
        <v>37141.3648263889</v>
      </c>
      <c r="F21" s="989" t="s">
        <v>483</v>
      </c>
      <c r="H21" s="983" t="n">
        <f aca="false">AVERAGE(B21:C21)</f>
        <v>49.625</v>
      </c>
      <c r="P21" s="0" t="n">
        <v>31</v>
      </c>
      <c r="Q21" s="199" t="n">
        <f aca="false">+Q20+0.005</f>
        <v>4.25</v>
      </c>
    </row>
    <row r="22" customFormat="false" ht="12.75" hidden="false" customHeight="false" outlineLevel="0" collapsed="false">
      <c r="A22" s="986" t="n">
        <v>44329</v>
      </c>
      <c r="B22" s="987" t="n">
        <v>21.35</v>
      </c>
      <c r="C22" s="987" t="n">
        <v>21.75</v>
      </c>
      <c r="E22" s="988" t="n">
        <v>37140.5117013889</v>
      </c>
      <c r="F22" s="989" t="s">
        <v>224</v>
      </c>
      <c r="H22" s="983" t="n">
        <f aca="false">AVERAGE(B22:C22)</f>
        <v>21.55</v>
      </c>
      <c r="J22" s="0" t="n">
        <f aca="false">+H22/6.36</f>
        <v>3.38836477987421</v>
      </c>
      <c r="P22" s="0" t="n">
        <v>31</v>
      </c>
      <c r="Q22" s="199" t="n">
        <f aca="false">+Q21+0.005</f>
        <v>4.255</v>
      </c>
    </row>
    <row r="23" customFormat="false" ht="12.75" hidden="false" customHeight="false" outlineLevel="0" collapsed="false">
      <c r="A23" s="986" t="n">
        <v>44331</v>
      </c>
      <c r="B23" s="987" t="n">
        <v>50.25</v>
      </c>
      <c r="C23" s="987" t="n">
        <v>51.25</v>
      </c>
      <c r="E23" s="988" t="n">
        <v>37068.3647685185</v>
      </c>
      <c r="F23" s="989" t="s">
        <v>226</v>
      </c>
      <c r="H23" s="983" t="n">
        <f aca="false">AVERAGE(B23:C23)</f>
        <v>50.75</v>
      </c>
      <c r="J23" s="0" t="n">
        <f aca="false">+H23/6.36</f>
        <v>7.97955974842767</v>
      </c>
      <c r="P23" s="0" t="n">
        <v>31</v>
      </c>
      <c r="Q23" s="199" t="n">
        <f aca="false">+Q22+0.005</f>
        <v>4.26</v>
      </c>
    </row>
    <row r="24" customFormat="false" ht="12.75" hidden="false" customHeight="false" outlineLevel="0" collapsed="false">
      <c r="A24" s="986" t="n">
        <v>44395</v>
      </c>
      <c r="B24" s="987" t="n">
        <v>21.3</v>
      </c>
      <c r="C24" s="987" t="n">
        <v>21.65</v>
      </c>
      <c r="E24" s="988" t="n">
        <v>37140.5034837963</v>
      </c>
      <c r="F24" s="989" t="s">
        <v>484</v>
      </c>
      <c r="H24" s="983" t="n">
        <f aca="false">AVERAGE(B24:C24)</f>
        <v>21.475</v>
      </c>
      <c r="J24" s="0" t="n">
        <f aca="false">+H24/6.36</f>
        <v>3.37657232704403</v>
      </c>
      <c r="P24" s="0" t="n">
        <v>31</v>
      </c>
      <c r="Q24" s="199" t="n">
        <f aca="false">+Q23+0.005</f>
        <v>4.265</v>
      </c>
    </row>
    <row r="25" customFormat="false" ht="12.75" hidden="false" customHeight="false" outlineLevel="0" collapsed="false">
      <c r="A25" s="986" t="n">
        <v>45908</v>
      </c>
      <c r="B25" s="987" t="n">
        <v>17.85</v>
      </c>
      <c r="C25" s="987" t="n">
        <v>18.25</v>
      </c>
      <c r="E25" s="988" t="n">
        <v>37126.4779398148</v>
      </c>
      <c r="F25" s="989" t="s">
        <v>485</v>
      </c>
      <c r="H25" s="983" t="n">
        <f aca="false">AVERAGE(B25:C25)</f>
        <v>18.05</v>
      </c>
      <c r="J25" s="0" t="n">
        <f aca="false">+H25/6.5</f>
        <v>2.77692307692308</v>
      </c>
      <c r="P25" s="0" t="n">
        <v>31</v>
      </c>
      <c r="Q25" s="199" t="n">
        <f aca="false">+Q24+0.005</f>
        <v>4.27</v>
      </c>
    </row>
    <row r="26" customFormat="false" ht="12.75" hidden="false" customHeight="false" outlineLevel="0" collapsed="false">
      <c r="A26" s="986" t="n">
        <v>54908</v>
      </c>
      <c r="B26" s="987" t="n">
        <v>25.85</v>
      </c>
      <c r="C26" s="987" t="n">
        <v>26.05</v>
      </c>
      <c r="E26" s="988" t="n">
        <v>37141.3617361111</v>
      </c>
      <c r="F26" s="989" t="s">
        <v>134</v>
      </c>
      <c r="H26" s="983" t="n">
        <f aca="false">AVERAGE(B26:C26)</f>
        <v>25.95</v>
      </c>
      <c r="J26" s="0" t="n">
        <f aca="false">+H26/6.5</f>
        <v>3.99230769230769</v>
      </c>
      <c r="P26" s="0" t="n">
        <v>31</v>
      </c>
      <c r="Q26" s="199" t="n">
        <f aca="false">+Q25+0.005</f>
        <v>4.275</v>
      </c>
    </row>
    <row r="27" customFormat="false" ht="12.75" hidden="false" customHeight="false" outlineLevel="0" collapsed="false">
      <c r="A27" s="986" t="n">
        <v>54910</v>
      </c>
      <c r="B27" s="987" t="n">
        <v>26.1</v>
      </c>
      <c r="C27" s="987" t="n">
        <v>26.3</v>
      </c>
      <c r="E27" s="988" t="n">
        <v>37141.2983333333</v>
      </c>
      <c r="F27" s="989" t="s">
        <v>136</v>
      </c>
      <c r="H27" s="983" t="n">
        <f aca="false">AVERAGE(B27:C27)</f>
        <v>26.2</v>
      </c>
      <c r="J27" s="0" t="n">
        <f aca="false">+H27/6.5</f>
        <v>4.03076923076923</v>
      </c>
      <c r="P27" s="0" t="n">
        <v>31</v>
      </c>
      <c r="Q27" s="199" t="n">
        <f aca="false">+Q26+0.005</f>
        <v>4.28</v>
      </c>
    </row>
    <row r="28" customFormat="false" ht="12.75" hidden="false" customHeight="false" outlineLevel="0" collapsed="false">
      <c r="A28" s="986" t="n">
        <v>40881</v>
      </c>
      <c r="B28" s="987" t="n">
        <v>27.4</v>
      </c>
      <c r="C28" s="987" t="n">
        <v>27.6</v>
      </c>
      <c r="E28" s="988" t="n">
        <v>37141.2983680556</v>
      </c>
      <c r="F28" s="989" t="s">
        <v>139</v>
      </c>
      <c r="H28" s="983" t="n">
        <f aca="false">AVERAGE(B28:C28)</f>
        <v>27.5</v>
      </c>
      <c r="J28" s="0" t="n">
        <f aca="false">+H28/6.5</f>
        <v>4.23076923076923</v>
      </c>
      <c r="P28" s="0" t="n">
        <v>31</v>
      </c>
      <c r="Q28" s="199" t="n">
        <f aca="false">+Q27+0.005</f>
        <v>4.285</v>
      </c>
    </row>
    <row r="29" customFormat="false" ht="12.75" hidden="false" customHeight="false" outlineLevel="0" collapsed="false">
      <c r="A29" s="986" t="n">
        <v>33289</v>
      </c>
      <c r="B29" s="987" t="n">
        <v>29.75</v>
      </c>
      <c r="C29" s="987" t="n">
        <v>30.25</v>
      </c>
      <c r="E29" s="988" t="n">
        <v>37141.309375</v>
      </c>
      <c r="F29" s="989" t="s">
        <v>486</v>
      </c>
      <c r="H29" s="983" t="n">
        <f aca="false">AVERAGE(B29:C29)</f>
        <v>30</v>
      </c>
      <c r="J29" s="0" t="n">
        <f aca="false">+H29/6.5</f>
        <v>4.61538461538462</v>
      </c>
      <c r="P29" s="0" t="n">
        <v>31</v>
      </c>
      <c r="Q29" s="199" t="n">
        <f aca="false">+Q27+0.005</f>
        <v>4.285</v>
      </c>
    </row>
    <row r="30" customFormat="false" ht="12.75" hidden="false" customHeight="false" outlineLevel="0" collapsed="false">
      <c r="A30" s="986" t="n">
        <v>55262</v>
      </c>
      <c r="B30" s="987" t="n">
        <v>28.25</v>
      </c>
      <c r="C30" s="987" t="n">
        <v>28.75</v>
      </c>
      <c r="E30" s="988" t="n">
        <v>37141.3093981482</v>
      </c>
      <c r="F30" s="989" t="s">
        <v>487</v>
      </c>
      <c r="H30" s="983" t="n">
        <f aca="false">AVERAGE(B30:C30)</f>
        <v>28.5</v>
      </c>
      <c r="J30" s="0" t="n">
        <f aca="false">+H30/6.5</f>
        <v>4.38461538461539</v>
      </c>
      <c r="P30" s="0" t="n">
        <v>31</v>
      </c>
      <c r="Q30" s="199" t="n">
        <f aca="false">+Q25+0.005</f>
        <v>4.275</v>
      </c>
    </row>
    <row r="31" customFormat="false" ht="12.75" hidden="false" customHeight="false" outlineLevel="0" collapsed="false">
      <c r="A31" s="986" t="n">
        <v>55264</v>
      </c>
      <c r="B31" s="987" t="n">
        <v>30.25</v>
      </c>
      <c r="C31" s="987" t="n">
        <v>30.75</v>
      </c>
      <c r="E31" s="988" t="n">
        <v>37141.3647106482</v>
      </c>
      <c r="F31" s="989" t="s">
        <v>488</v>
      </c>
      <c r="H31" s="983" t="n">
        <f aca="false">AVERAGE(B31:C31)</f>
        <v>30.5</v>
      </c>
      <c r="J31" s="0" t="n">
        <f aca="false">+H31/6.5</f>
        <v>4.69230769230769</v>
      </c>
      <c r="P31" s="0" t="n">
        <v>31</v>
      </c>
      <c r="Q31" s="199" t="n">
        <f aca="false">+Q26+0.005</f>
        <v>4.28</v>
      </c>
    </row>
    <row r="32" customFormat="false" ht="12.75" hidden="false" customHeight="false" outlineLevel="0" collapsed="false">
      <c r="A32" s="986" t="n">
        <v>55270</v>
      </c>
      <c r="B32" s="987" t="n">
        <v>28</v>
      </c>
      <c r="C32" s="987" t="n">
        <v>28.5</v>
      </c>
      <c r="E32" s="988" t="n">
        <v>37141.2686226852</v>
      </c>
      <c r="F32" s="989" t="s">
        <v>489</v>
      </c>
      <c r="H32" s="983" t="n">
        <f aca="false">AVERAGE(B32:C32)</f>
        <v>28.25</v>
      </c>
      <c r="J32" s="0" t="n">
        <f aca="false">+H32/6.5</f>
        <v>4.34615384615385</v>
      </c>
      <c r="P32" s="0" t="n">
        <v>31</v>
      </c>
      <c r="Q32" s="199" t="n">
        <f aca="false">+Q27+0.005</f>
        <v>4.285</v>
      </c>
    </row>
    <row r="33" customFormat="false" ht="12.75" hidden="false" customHeight="false" outlineLevel="0" collapsed="false">
      <c r="A33" s="986" t="n">
        <v>55272</v>
      </c>
      <c r="B33" s="987" t="n">
        <v>29</v>
      </c>
      <c r="C33" s="987" t="n">
        <v>29.5</v>
      </c>
      <c r="E33" s="988" t="n">
        <v>37141.2686805556</v>
      </c>
      <c r="F33" s="989" t="s">
        <v>490</v>
      </c>
      <c r="H33" s="983" t="n">
        <f aca="false">AVERAGE(B33:C33)</f>
        <v>29.25</v>
      </c>
      <c r="J33" s="0" t="n">
        <f aca="false">+H33/6.5</f>
        <v>4.5</v>
      </c>
      <c r="P33" s="0" t="n">
        <v>31</v>
      </c>
      <c r="Q33" s="199" t="n">
        <f aca="false">+Q28+0.005</f>
        <v>4.29</v>
      </c>
    </row>
    <row r="34" customFormat="false" ht="12.75" hidden="false" customHeight="false" outlineLevel="0" collapsed="false">
      <c r="A34" s="986" t="n">
        <v>27819</v>
      </c>
      <c r="B34" s="993" t="n">
        <v>2.295</v>
      </c>
      <c r="C34" s="993" t="n">
        <v>2.305</v>
      </c>
      <c r="E34" s="988" t="n">
        <v>37141.3686574074</v>
      </c>
      <c r="F34" s="989" t="s">
        <v>491</v>
      </c>
      <c r="H34" s="1001" t="n">
        <f aca="false">AVERAGE(B34:C34)</f>
        <v>2.3</v>
      </c>
      <c r="J34" s="0" t="n">
        <f aca="false">+H34/6.5</f>
        <v>0.353846153846154</v>
      </c>
      <c r="P34" s="0" t="n">
        <v>31</v>
      </c>
      <c r="Q34" s="199" t="n">
        <f aca="false">+Q29+0.005</f>
        <v>4.29</v>
      </c>
    </row>
    <row r="35" customFormat="false" ht="12.75" hidden="false" customHeight="false" outlineLevel="0" collapsed="false">
      <c r="A35" s="986" t="n">
        <v>27763</v>
      </c>
      <c r="B35" s="993" t="n">
        <v>2.335</v>
      </c>
      <c r="C35" s="993" t="n">
        <v>2.345</v>
      </c>
      <c r="E35" s="988" t="n">
        <v>37141.3685648148</v>
      </c>
      <c r="F35" s="989" t="s">
        <v>492</v>
      </c>
      <c r="H35" s="1001" t="n">
        <f aca="false">AVERAGE(B35:C35)</f>
        <v>2.34</v>
      </c>
      <c r="J35" s="0" t="n">
        <f aca="false">+H35/6.5</f>
        <v>0.36</v>
      </c>
      <c r="P35" s="0" t="n">
        <v>31</v>
      </c>
      <c r="Q35" s="199" t="n">
        <f aca="false">+Q30+0.005</f>
        <v>4.28</v>
      </c>
    </row>
    <row r="36" customFormat="false" ht="12.75" hidden="false" customHeight="false" outlineLevel="0" collapsed="false">
      <c r="A36" s="986" t="n">
        <v>53059</v>
      </c>
      <c r="B36" s="993" t="n">
        <v>-1.3</v>
      </c>
      <c r="C36" s="993" t="n">
        <v>-1.1</v>
      </c>
      <c r="E36" s="988" t="n">
        <v>37141.3446064815</v>
      </c>
      <c r="F36" s="1002" t="s">
        <v>493</v>
      </c>
      <c r="H36" s="1001" t="n">
        <f aca="false">AVERAGE(B36:C36)</f>
        <v>-1.2</v>
      </c>
      <c r="J36" s="0" t="n">
        <f aca="false">+H36/6.5</f>
        <v>-0.184615384615385</v>
      </c>
      <c r="L36" s="986" t="n">
        <v>49609</v>
      </c>
      <c r="P36" s="0" t="n">
        <v>31</v>
      </c>
      <c r="Q36" s="199" t="n">
        <f aca="false">+Q31+0.005</f>
        <v>4.285</v>
      </c>
    </row>
    <row r="37" customFormat="false" ht="12.75" hidden="false" customHeight="false" outlineLevel="0" collapsed="false">
      <c r="A37" s="986" t="n">
        <v>53061</v>
      </c>
      <c r="B37" s="993" t="n">
        <v>-1.2</v>
      </c>
      <c r="C37" s="993" t="n">
        <v>-1</v>
      </c>
      <c r="E37" s="988" t="n">
        <v>37141.2633333333</v>
      </c>
      <c r="F37" s="1002" t="s">
        <v>494</v>
      </c>
      <c r="H37" s="1001" t="n">
        <f aca="false">AVERAGE(B37:C37)</f>
        <v>-1.1</v>
      </c>
      <c r="J37" s="0" t="n">
        <f aca="false">+H37/6.5</f>
        <v>-0.169230769230769</v>
      </c>
      <c r="L37" s="986" t="n">
        <v>49613</v>
      </c>
      <c r="P37" s="0" t="n">
        <v>31</v>
      </c>
      <c r="Q37" s="199" t="n">
        <f aca="false">+Q32+0.005</f>
        <v>4.29</v>
      </c>
    </row>
    <row r="38" customFormat="false" ht="12.75" hidden="false" customHeight="false" outlineLevel="0" collapsed="false">
      <c r="A38" s="986" t="n">
        <v>53063</v>
      </c>
      <c r="B38" s="993" t="n">
        <v>-0.75</v>
      </c>
      <c r="C38" s="993" t="n">
        <v>-0.55</v>
      </c>
      <c r="E38" s="988" t="n">
        <v>37141.2633449074</v>
      </c>
      <c r="F38" s="1002" t="s">
        <v>495</v>
      </c>
      <c r="H38" s="1001" t="n">
        <f aca="false">AVERAGE(B38:C38)</f>
        <v>-0.65</v>
      </c>
      <c r="J38" s="0" t="n">
        <f aca="false">+H38/6.5</f>
        <v>-0.1</v>
      </c>
      <c r="L38" s="986" t="n">
        <v>49615</v>
      </c>
      <c r="P38" s="0" t="n">
        <v>31</v>
      </c>
      <c r="Q38" s="199" t="n">
        <f aca="false">+Q33+0.005</f>
        <v>4.295</v>
      </c>
    </row>
    <row r="39" customFormat="false" ht="12.75" hidden="false" customHeight="false" outlineLevel="0" collapsed="false">
      <c r="A39" s="986" t="n">
        <v>53065</v>
      </c>
      <c r="B39" s="993" t="n">
        <v>-1.1</v>
      </c>
      <c r="C39" s="993" t="n">
        <v>-0.9</v>
      </c>
      <c r="E39" s="988" t="n">
        <v>37141.2633564815</v>
      </c>
      <c r="F39" s="1002" t="s">
        <v>496</v>
      </c>
      <c r="H39" s="1001" t="n">
        <f aca="false">AVERAGE(B39:C39)</f>
        <v>-1</v>
      </c>
      <c r="J39" s="0" t="n">
        <f aca="false">+H39/6.5</f>
        <v>-0.153846153846154</v>
      </c>
      <c r="L39" s="986" t="n">
        <v>35353</v>
      </c>
      <c r="P39" s="0" t="n">
        <v>31</v>
      </c>
      <c r="Q39" s="199" t="n">
        <f aca="false">+Q34+0.005</f>
        <v>4.295</v>
      </c>
    </row>
    <row r="40" customFormat="false" ht="12.75" hidden="false" customHeight="false" outlineLevel="0" collapsed="false">
      <c r="A40" s="986" t="n">
        <v>53067</v>
      </c>
      <c r="B40" s="993" t="n">
        <v>-1.35</v>
      </c>
      <c r="C40" s="993" t="n">
        <v>-1.15</v>
      </c>
      <c r="E40" s="988" t="n">
        <v>37141.2633680556</v>
      </c>
      <c r="F40" s="1002" t="s">
        <v>497</v>
      </c>
      <c r="H40" s="1001" t="n">
        <f aca="false">AVERAGE(B40:C40)</f>
        <v>-1.25</v>
      </c>
      <c r="J40" s="0" t="n">
        <f aca="false">+H40/6.5</f>
        <v>-0.192307692307692</v>
      </c>
      <c r="L40" s="986" t="n">
        <v>48724</v>
      </c>
      <c r="P40" s="0" t="n">
        <v>31</v>
      </c>
      <c r="Q40" s="199" t="n">
        <f aca="false">+Q35+0.005</f>
        <v>4.285</v>
      </c>
    </row>
    <row r="41" customFormat="false" ht="12.75" hidden="false" customHeight="false" outlineLevel="0" collapsed="false">
      <c r="A41" s="986" t="n">
        <v>53069</v>
      </c>
      <c r="B41" s="993" t="n">
        <v>-1.05</v>
      </c>
      <c r="C41" s="993" t="n">
        <v>-0.95</v>
      </c>
      <c r="E41" s="988" t="n">
        <v>37141.2633912037</v>
      </c>
      <c r="F41" s="1002" t="s">
        <v>498</v>
      </c>
      <c r="H41" s="1001" t="n">
        <f aca="false">AVERAGE(B41:C41)</f>
        <v>-1</v>
      </c>
      <c r="J41" s="0" t="n">
        <f aca="false">+H41/6.5</f>
        <v>-0.153846153846154</v>
      </c>
      <c r="L41" s="986" t="n">
        <v>48724</v>
      </c>
      <c r="P41" s="0" t="n">
        <v>31</v>
      </c>
      <c r="Q41" s="199" t="n">
        <f aca="false">+Q36+0.005</f>
        <v>4.29</v>
      </c>
    </row>
    <row r="42" customFormat="false" ht="12.75" hidden="false" customHeight="false" outlineLevel="0" collapsed="false">
      <c r="A42" s="986" t="n">
        <v>53071</v>
      </c>
      <c r="B42" s="993" t="n">
        <v>-0.65</v>
      </c>
      <c r="C42" s="993" t="n">
        <v>-0.45</v>
      </c>
      <c r="E42" s="988" t="n">
        <v>37141.2634259259</v>
      </c>
      <c r="F42" s="1002" t="s">
        <v>499</v>
      </c>
      <c r="H42" s="1001" t="n">
        <f aca="false">AVERAGE(B42:C42)</f>
        <v>-0.55</v>
      </c>
      <c r="J42" s="0" t="n">
        <f aca="false">+H42/6.5</f>
        <v>-0.0846153846153846</v>
      </c>
      <c r="L42" s="986" t="n">
        <v>48724</v>
      </c>
      <c r="P42" s="0" t="n">
        <v>31</v>
      </c>
      <c r="Q42" s="199" t="n">
        <f aca="false">+Q37+0.005</f>
        <v>4.295</v>
      </c>
    </row>
    <row r="43" customFormat="false" ht="12.75" hidden="false" customHeight="false" outlineLevel="0" collapsed="false">
      <c r="A43" s="986" t="n">
        <v>55324</v>
      </c>
      <c r="B43" s="993" t="n">
        <v>-1</v>
      </c>
      <c r="C43" s="993" t="n">
        <v>-0.7</v>
      </c>
      <c r="E43" s="988" t="n">
        <v>37141.2634375</v>
      </c>
      <c r="F43" s="1002" t="s">
        <v>500</v>
      </c>
      <c r="H43" s="1001" t="n">
        <f aca="false">AVERAGE(B43:C43)</f>
        <v>-0.85</v>
      </c>
      <c r="J43" s="0" t="n">
        <f aca="false">+H43/6.5</f>
        <v>-0.130769230769231</v>
      </c>
      <c r="L43" s="986" t="n">
        <v>48724</v>
      </c>
      <c r="P43" s="0" t="n">
        <v>31</v>
      </c>
      <c r="Q43" s="199" t="n">
        <f aca="false">+Q38+0.005</f>
        <v>4.3</v>
      </c>
    </row>
    <row r="44" customFormat="false" ht="12.75" hidden="false" customHeight="false" outlineLevel="0" collapsed="false">
      <c r="A44" s="986" t="n">
        <v>55326</v>
      </c>
      <c r="B44" s="993" t="n">
        <v>-0.95</v>
      </c>
      <c r="C44" s="993" t="n">
        <v>-0.65</v>
      </c>
      <c r="E44" s="988" t="n">
        <v>37141.2634606482</v>
      </c>
      <c r="F44" s="1002" t="s">
        <v>501</v>
      </c>
      <c r="H44" s="1001" t="n">
        <f aca="false">AVERAGE(B44:C44)</f>
        <v>-0.8</v>
      </c>
      <c r="J44" s="0" t="n">
        <f aca="false">+H44/6.5</f>
        <v>-0.123076923076923</v>
      </c>
      <c r="L44" s="986" t="n">
        <v>48724</v>
      </c>
      <c r="P44" s="0" t="n">
        <v>31</v>
      </c>
      <c r="Q44" s="199" t="n">
        <f aca="false">+Q39+0.005</f>
        <v>4.3</v>
      </c>
    </row>
    <row r="45" customFormat="false" ht="12.75" hidden="false" customHeight="false" outlineLevel="0" collapsed="false">
      <c r="A45" s="986" t="n">
        <v>55328</v>
      </c>
      <c r="B45" s="993" t="n">
        <v>-0.9</v>
      </c>
      <c r="C45" s="993" t="n">
        <v>-0.6</v>
      </c>
      <c r="E45" s="988" t="n">
        <v>37141.2634722222</v>
      </c>
      <c r="F45" s="1002" t="s">
        <v>502</v>
      </c>
      <c r="H45" s="1001" t="n">
        <f aca="false">AVERAGE(B45:C45)</f>
        <v>-0.75</v>
      </c>
      <c r="J45" s="0" t="n">
        <f aca="false">+H45/6.5</f>
        <v>-0.115384615384615</v>
      </c>
      <c r="L45" s="986" t="n">
        <v>48724</v>
      </c>
      <c r="P45" s="0" t="n">
        <v>31</v>
      </c>
      <c r="Q45" s="199" t="n">
        <f aca="false">+Q40+0.005</f>
        <v>4.29</v>
      </c>
    </row>
    <row r="46" customFormat="false" ht="12.75" hidden="false" customHeight="false" outlineLevel="0" collapsed="false">
      <c r="A46" s="986" t="n">
        <v>55330</v>
      </c>
      <c r="B46" s="993" t="n">
        <v>-1.2</v>
      </c>
      <c r="C46" s="993" t="n">
        <v>-0.8</v>
      </c>
      <c r="E46" s="988" t="n">
        <v>37141.2634837963</v>
      </c>
      <c r="F46" s="1002" t="s">
        <v>503</v>
      </c>
      <c r="H46" s="1001" t="n">
        <f aca="false">AVERAGE(B46:C46)</f>
        <v>-1</v>
      </c>
      <c r="J46" s="0" t="n">
        <f aca="false">+H46/6.5</f>
        <v>-0.153846153846154</v>
      </c>
      <c r="L46" s="986" t="n">
        <v>48724</v>
      </c>
      <c r="P46" s="0" t="n">
        <v>31</v>
      </c>
      <c r="Q46" s="199" t="n">
        <f aca="false">+Q41+0.005</f>
        <v>4.295</v>
      </c>
    </row>
    <row r="47" customFormat="false" ht="12.75" hidden="false" customHeight="false" outlineLevel="0" collapsed="false">
      <c r="A47" s="986" t="n">
        <v>55334</v>
      </c>
      <c r="B47" s="993" t="n">
        <v>-1</v>
      </c>
      <c r="C47" s="993" t="n">
        <v>-0.5</v>
      </c>
      <c r="E47" s="988" t="n">
        <v>37141.2634953704</v>
      </c>
      <c r="F47" s="1002" t="s">
        <v>504</v>
      </c>
      <c r="H47" s="1001" t="n">
        <f aca="false">AVERAGE(B47:C47)</f>
        <v>-0.75</v>
      </c>
      <c r="J47" s="0" t="n">
        <f aca="false">+H47/6.5</f>
        <v>-0.115384615384615</v>
      </c>
      <c r="L47" s="986" t="n">
        <v>48724</v>
      </c>
      <c r="P47" s="0" t="n">
        <v>31</v>
      </c>
      <c r="Q47" s="199" t="n">
        <f aca="false">+Q42+0.005</f>
        <v>4.3</v>
      </c>
    </row>
    <row r="48" customFormat="false" ht="12.75" hidden="false" customHeight="false" outlineLevel="0" collapsed="false">
      <c r="A48" s="986" t="n">
        <v>55338</v>
      </c>
      <c r="B48" s="993" t="n">
        <v>-0.85</v>
      </c>
      <c r="C48" s="993" t="n">
        <v>-0.65</v>
      </c>
      <c r="E48" s="988" t="n">
        <v>37141.2635069444</v>
      </c>
      <c r="F48" s="1002" t="s">
        <v>505</v>
      </c>
      <c r="H48" s="1001" t="n">
        <f aca="false">AVERAGE(B48:C48)</f>
        <v>-0.75</v>
      </c>
      <c r="J48" s="0" t="n">
        <f aca="false">+H48/6.5</f>
        <v>-0.115384615384615</v>
      </c>
      <c r="L48" s="986" t="n">
        <v>48724</v>
      </c>
      <c r="P48" s="0" t="n">
        <v>31</v>
      </c>
      <c r="Q48" s="199" t="n">
        <f aca="false">+Q43+0.005</f>
        <v>4.305</v>
      </c>
    </row>
    <row r="49" customFormat="false" ht="12.75" hidden="false" customHeight="false" outlineLevel="0" collapsed="false">
      <c r="A49" s="986" t="n">
        <v>55340</v>
      </c>
      <c r="B49" s="993" t="n">
        <v>-0.7</v>
      </c>
      <c r="C49" s="993" t="n">
        <v>-0.4</v>
      </c>
      <c r="E49" s="988" t="n">
        <v>37141.2635185185</v>
      </c>
      <c r="F49" s="1002" t="s">
        <v>506</v>
      </c>
      <c r="H49" s="1001" t="n">
        <f aca="false">AVERAGE(B49:C49)</f>
        <v>-0.55</v>
      </c>
      <c r="J49" s="0" t="n">
        <f aca="false">+H49/6.5</f>
        <v>-0.0846153846153846</v>
      </c>
      <c r="L49" s="986" t="n">
        <v>48724</v>
      </c>
      <c r="P49" s="0" t="n">
        <v>31</v>
      </c>
      <c r="Q49" s="199" t="n">
        <f aca="false">+Q44+0.005</f>
        <v>4.305</v>
      </c>
    </row>
    <row r="50" customFormat="false" ht="12.75" hidden="false" customHeight="false" outlineLevel="0" collapsed="false">
      <c r="A50" s="986" t="n">
        <v>53073</v>
      </c>
      <c r="B50" s="993" t="n">
        <v>-1.1</v>
      </c>
      <c r="C50" s="993" t="n">
        <v>-0.9</v>
      </c>
      <c r="E50" s="988" t="n">
        <v>37141.2633217593</v>
      </c>
      <c r="F50" s="1002" t="s">
        <v>507</v>
      </c>
      <c r="H50" s="1001" t="n">
        <f aca="false">AVERAGE(B50:C50)</f>
        <v>-1</v>
      </c>
      <c r="J50" s="0" t="n">
        <f aca="false">+H50/6.5</f>
        <v>-0.153846153846154</v>
      </c>
      <c r="L50" s="986" t="n">
        <v>48724</v>
      </c>
      <c r="P50" s="0" t="n">
        <v>31</v>
      </c>
      <c r="Q50" s="199" t="n">
        <f aca="false">+Q45+0.005</f>
        <v>4.295</v>
      </c>
    </row>
    <row r="51" customFormat="false" ht="12.75" hidden="false" customHeight="false" outlineLevel="0" collapsed="false">
      <c r="A51" s="986" t="n">
        <v>55124</v>
      </c>
      <c r="B51" s="993" t="n">
        <v>-1.15</v>
      </c>
      <c r="C51" s="993" t="n">
        <v>-0.85</v>
      </c>
      <c r="E51" s="988" t="n">
        <v>37141.2634490741</v>
      </c>
      <c r="F51" s="1002" t="s">
        <v>508</v>
      </c>
      <c r="H51" s="1001" t="n">
        <f aca="false">AVERAGE(B51:C51)</f>
        <v>-1</v>
      </c>
      <c r="J51" s="0" t="n">
        <f aca="false">+H51/6.5</f>
        <v>-0.153846153846154</v>
      </c>
      <c r="L51" s="986" t="n">
        <v>48724</v>
      </c>
      <c r="P51" s="0" t="n">
        <v>31</v>
      </c>
      <c r="Q51" s="199" t="n">
        <f aca="false">+Q46+0.005</f>
        <v>4.3</v>
      </c>
    </row>
    <row r="52" customFormat="false" ht="12.75" hidden="false" customHeight="false" outlineLevel="0" collapsed="false">
      <c r="A52" s="986" t="n">
        <v>54258</v>
      </c>
      <c r="B52" s="993" t="n">
        <v>17.25</v>
      </c>
      <c r="C52" s="993" t="n">
        <v>17.75</v>
      </c>
      <c r="E52" s="988" t="n">
        <v>37138.2725231481</v>
      </c>
      <c r="F52" s="1002" t="s">
        <v>509</v>
      </c>
      <c r="H52" s="1001" t="n">
        <f aca="false">AVERAGE(B52:C52)</f>
        <v>17.5</v>
      </c>
      <c r="J52" s="0" t="n">
        <f aca="false">+H52/6.5</f>
        <v>2.69230769230769</v>
      </c>
      <c r="L52" s="986" t="n">
        <v>48724</v>
      </c>
      <c r="P52" s="0" t="n">
        <v>31</v>
      </c>
      <c r="Q52" s="199" t="n">
        <f aca="false">+Q47+0.005</f>
        <v>4.305</v>
      </c>
    </row>
    <row r="53" customFormat="false" ht="12.75" hidden="false" customHeight="false" outlineLevel="0" collapsed="false">
      <c r="A53" s="986" t="n">
        <v>57762</v>
      </c>
      <c r="B53" s="993" t="n">
        <v>14.8</v>
      </c>
      <c r="C53" s="993" t="n">
        <v>15.3</v>
      </c>
      <c r="E53" s="988" t="n">
        <v>37141.3570023148</v>
      </c>
      <c r="F53" s="1002" t="s">
        <v>510</v>
      </c>
      <c r="H53" s="1001" t="n">
        <f aca="false">AVERAGE(B53:C53)</f>
        <v>15.05</v>
      </c>
      <c r="J53" s="0" t="n">
        <f aca="false">+H53/6.5</f>
        <v>2.31538461538462</v>
      </c>
      <c r="L53" s="986" t="n">
        <v>48724</v>
      </c>
      <c r="P53" s="0" t="n">
        <v>31</v>
      </c>
      <c r="Q53" s="199" t="n">
        <f aca="false">+Q48+0.005</f>
        <v>4.31</v>
      </c>
    </row>
    <row r="54" customFormat="false" ht="12.75" hidden="false" customHeight="false" outlineLevel="0" collapsed="false">
      <c r="A54" s="986" t="n">
        <v>57764</v>
      </c>
      <c r="B54" s="993" t="n">
        <v>18.25</v>
      </c>
      <c r="C54" s="993" t="n">
        <v>19</v>
      </c>
      <c r="E54" s="988" t="n">
        <v>37141.3573842593</v>
      </c>
      <c r="F54" s="1002" t="s">
        <v>511</v>
      </c>
      <c r="H54" s="1001" t="n">
        <f aca="false">AVERAGE(B54:C54)</f>
        <v>18.625</v>
      </c>
      <c r="J54" s="0" t="n">
        <f aca="false">+H54/6.5</f>
        <v>2.86538461538462</v>
      </c>
      <c r="L54" s="986" t="n">
        <v>48724</v>
      </c>
      <c r="P54" s="0" t="n">
        <v>31</v>
      </c>
      <c r="Q54" s="199" t="n">
        <f aca="false">+Q49+0.005</f>
        <v>4.31</v>
      </c>
    </row>
    <row r="55" customFormat="false" ht="12.75" hidden="false" customHeight="false" outlineLevel="0" collapsed="false">
      <c r="A55" s="986" t="n">
        <v>51458</v>
      </c>
      <c r="B55" s="993" t="n">
        <v>16.7</v>
      </c>
      <c r="C55" s="993" t="n">
        <v>17.05</v>
      </c>
      <c r="E55" s="988" t="n">
        <v>37141.3569907407</v>
      </c>
      <c r="F55" s="1002" t="s">
        <v>512</v>
      </c>
      <c r="H55" s="1001" t="n">
        <f aca="false">AVERAGE(B55:C55)</f>
        <v>16.875</v>
      </c>
      <c r="J55" s="0" t="n">
        <f aca="false">+H55/6.5</f>
        <v>2.59615384615385</v>
      </c>
      <c r="L55" s="986" t="n">
        <v>48724</v>
      </c>
      <c r="P55" s="0" t="n">
        <v>31</v>
      </c>
      <c r="Q55" s="199" t="n">
        <f aca="false">+Q50+0.005</f>
        <v>4.3</v>
      </c>
    </row>
    <row r="56" customFormat="false" ht="12.75" hidden="false" customHeight="false" outlineLevel="0" collapsed="false">
      <c r="A56" s="986" t="n">
        <v>40819</v>
      </c>
      <c r="B56" s="993" t="n">
        <v>26.5</v>
      </c>
      <c r="C56" s="993" t="n">
        <v>27.25</v>
      </c>
      <c r="E56" s="988" t="n">
        <v>37138.3233217593</v>
      </c>
      <c r="F56" s="1002" t="s">
        <v>513</v>
      </c>
      <c r="H56" s="1001" t="n">
        <f aca="false">AVERAGE(B56:C56)</f>
        <v>26.875</v>
      </c>
      <c r="J56" s="0" t="n">
        <f aca="false">+H56/6.5</f>
        <v>4.13461538461539</v>
      </c>
      <c r="L56" s="986" t="n">
        <v>48724</v>
      </c>
      <c r="P56" s="0" t="n">
        <v>31</v>
      </c>
      <c r="Q56" s="199" t="n">
        <f aca="false">+Q51+0.005</f>
        <v>4.305</v>
      </c>
    </row>
    <row r="57" customFormat="false" ht="12.75" hidden="false" customHeight="false" outlineLevel="0" collapsed="false">
      <c r="A57" s="986" t="n">
        <v>40829</v>
      </c>
      <c r="B57" s="993" t="n">
        <v>26.45</v>
      </c>
      <c r="C57" s="993" t="n">
        <v>26.95</v>
      </c>
      <c r="E57" s="988" t="n">
        <v>37141.2983101852</v>
      </c>
      <c r="F57" s="1002" t="s">
        <v>514</v>
      </c>
      <c r="H57" s="1001" t="n">
        <f aca="false">AVERAGE(B57:C57)</f>
        <v>26.7</v>
      </c>
      <c r="J57" s="0" t="n">
        <f aca="false">+H57/6.5</f>
        <v>4.10769230769231</v>
      </c>
      <c r="L57" s="986" t="n">
        <v>48724</v>
      </c>
      <c r="P57" s="0" t="n">
        <v>31</v>
      </c>
      <c r="Q57" s="199" t="n">
        <f aca="false">+Q52+0.005</f>
        <v>4.31</v>
      </c>
    </row>
    <row r="58" customFormat="false" ht="12.75" hidden="false" customHeight="false" outlineLevel="0" collapsed="false">
      <c r="A58" s="986" t="n">
        <v>33278</v>
      </c>
      <c r="B58" s="993" t="n">
        <v>25.1</v>
      </c>
      <c r="C58" s="993" t="n">
        <v>25.65</v>
      </c>
      <c r="E58" s="988" t="n">
        <v>37141.2991203704</v>
      </c>
      <c r="F58" s="1002" t="s">
        <v>515</v>
      </c>
      <c r="H58" s="1001" t="n">
        <f aca="false">AVERAGE(B58:C58)</f>
        <v>25.375</v>
      </c>
      <c r="J58" s="0" t="n">
        <f aca="false">+H58/6.5</f>
        <v>3.90384615384615</v>
      </c>
      <c r="L58" s="986" t="n">
        <v>48724</v>
      </c>
      <c r="P58" s="0" t="n">
        <v>31</v>
      </c>
      <c r="Q58" s="199" t="n">
        <f aca="false">+Q53+0.005</f>
        <v>4.315</v>
      </c>
    </row>
    <row r="59" customFormat="false" ht="12.75" hidden="false" customHeight="false" outlineLevel="0" collapsed="false">
      <c r="A59" s="986" t="n">
        <v>59475</v>
      </c>
      <c r="B59" s="993" t="n">
        <v>25.2</v>
      </c>
      <c r="C59" s="993" t="n">
        <v>25.6</v>
      </c>
      <c r="E59" s="988" t="n">
        <v>37141.2983449074</v>
      </c>
      <c r="F59" s="1002" t="s">
        <v>516</v>
      </c>
      <c r="H59" s="1001" t="n">
        <f aca="false">AVERAGE(B59:C59)</f>
        <v>25.4</v>
      </c>
      <c r="J59" s="0" t="n">
        <f aca="false">+H59/6.5</f>
        <v>3.90769230769231</v>
      </c>
      <c r="L59" s="986" t="n">
        <v>48724</v>
      </c>
      <c r="P59" s="0" t="n">
        <v>31</v>
      </c>
      <c r="Q59" s="199" t="n">
        <f aca="false">+Q54+0.005</f>
        <v>4.315</v>
      </c>
    </row>
    <row r="60" customFormat="false" ht="12.75" hidden="false" customHeight="false" outlineLevel="0" collapsed="false">
      <c r="A60" s="986" t="n">
        <v>33314</v>
      </c>
      <c r="B60" s="993" t="n">
        <v>28.25</v>
      </c>
      <c r="C60" s="993" t="n">
        <v>29</v>
      </c>
      <c r="E60" s="988" t="n">
        <v>37141.3093634259</v>
      </c>
      <c r="F60" s="1002" t="s">
        <v>517</v>
      </c>
      <c r="H60" s="1001" t="n">
        <f aca="false">AVERAGE(B60:C60)</f>
        <v>28.625</v>
      </c>
      <c r="J60" s="0" t="n">
        <f aca="false">+H60/6.5</f>
        <v>4.40384615384615</v>
      </c>
      <c r="L60" s="986" t="n">
        <v>48724</v>
      </c>
      <c r="P60" s="0" t="n">
        <v>31</v>
      </c>
      <c r="Q60" s="199" t="n">
        <f aca="false">+Q55+0.005</f>
        <v>4.305</v>
      </c>
    </row>
    <row r="61" customFormat="false" ht="12.75" hidden="false" customHeight="false" outlineLevel="0" collapsed="false">
      <c r="A61" s="986" t="n">
        <v>43344</v>
      </c>
      <c r="B61" s="993" t="n">
        <v>26.75</v>
      </c>
      <c r="C61" s="993" t="n">
        <v>27.5</v>
      </c>
      <c r="E61" s="988" t="n">
        <v>37141.3094212963</v>
      </c>
      <c r="F61" s="1002" t="s">
        <v>518</v>
      </c>
      <c r="H61" s="1001" t="n">
        <f aca="false">AVERAGE(B61:C61)</f>
        <v>27.125</v>
      </c>
      <c r="J61" s="0" t="n">
        <f aca="false">+H61/6.5</f>
        <v>4.17307692307692</v>
      </c>
      <c r="L61" s="986" t="n">
        <v>48724</v>
      </c>
      <c r="P61" s="0" t="n">
        <v>31</v>
      </c>
      <c r="Q61" s="199" t="n">
        <f aca="false">+Q56+0.005</f>
        <v>4.31</v>
      </c>
    </row>
    <row r="62" customFormat="false" ht="12.75" hidden="false" customHeight="false" outlineLevel="0" collapsed="false">
      <c r="A62" s="986" t="n">
        <v>48498</v>
      </c>
      <c r="B62" s="993" t="n">
        <v>30</v>
      </c>
      <c r="C62" s="993" t="n">
        <v>30.75</v>
      </c>
      <c r="E62" s="988" t="n">
        <v>37141.3646875</v>
      </c>
      <c r="F62" s="1002" t="s">
        <v>519</v>
      </c>
      <c r="H62" s="1001" t="n">
        <f aca="false">AVERAGE(B62:C62)</f>
        <v>30.375</v>
      </c>
      <c r="J62" s="0" t="n">
        <f aca="false">+H62/6.5</f>
        <v>4.67307692307692</v>
      </c>
      <c r="L62" s="986" t="n">
        <v>48724</v>
      </c>
      <c r="P62" s="0" t="n">
        <v>31</v>
      </c>
      <c r="Q62" s="199" t="n">
        <f aca="false">+Q57+0.005</f>
        <v>4.315</v>
      </c>
    </row>
    <row r="63" customFormat="false" ht="12.75" hidden="false" customHeight="false" outlineLevel="0" collapsed="false">
      <c r="A63" s="986" t="n">
        <v>48500</v>
      </c>
      <c r="B63" s="993" t="n">
        <v>39.25</v>
      </c>
      <c r="C63" s="993" t="n">
        <v>40.25</v>
      </c>
      <c r="E63" s="988" t="n">
        <v>37141.3647685185</v>
      </c>
      <c r="F63" s="1002" t="s">
        <v>520</v>
      </c>
      <c r="H63" s="1001" t="n">
        <f aca="false">AVERAGE(B63:C63)</f>
        <v>39.75</v>
      </c>
      <c r="J63" s="0" t="n">
        <f aca="false">+H63/6.5</f>
        <v>6.11538461538462</v>
      </c>
      <c r="L63" s="986" t="n">
        <v>48724</v>
      </c>
      <c r="P63" s="0" t="n">
        <v>31</v>
      </c>
      <c r="Q63" s="199" t="n">
        <f aca="false">+Q58+0.005</f>
        <v>4.32</v>
      </c>
    </row>
    <row r="64" customFormat="false" ht="12.75" hidden="false" customHeight="false" outlineLevel="0" collapsed="false">
      <c r="A64" s="986" t="n">
        <v>31712</v>
      </c>
      <c r="B64" s="993" t="n">
        <v>53.75</v>
      </c>
      <c r="C64" s="993" t="n">
        <v>54.5</v>
      </c>
      <c r="E64" s="988" t="n">
        <v>37141.3648148148</v>
      </c>
      <c r="F64" s="1002" t="s">
        <v>521</v>
      </c>
      <c r="H64" s="1001" t="n">
        <f aca="false">AVERAGE(B64:C64)</f>
        <v>54.125</v>
      </c>
      <c r="J64" s="0" t="n">
        <f aca="false">+H64/6.5</f>
        <v>8.32692307692308</v>
      </c>
      <c r="L64" s="986" t="n">
        <v>48724</v>
      </c>
      <c r="P64" s="0" t="n">
        <v>31</v>
      </c>
      <c r="Q64" s="199" t="n">
        <f aca="false">+Q59+0.005</f>
        <v>4.32</v>
      </c>
    </row>
    <row r="65" customFormat="false" ht="12.75" hidden="false" customHeight="false" outlineLevel="0" collapsed="false">
      <c r="A65" s="986" t="n">
        <v>48502</v>
      </c>
      <c r="B65" s="993" t="n">
        <v>27.25</v>
      </c>
      <c r="C65" s="993" t="n">
        <v>27.75</v>
      </c>
      <c r="E65" s="988" t="n">
        <v>37141.268599537</v>
      </c>
      <c r="F65" s="1002" t="s">
        <v>522</v>
      </c>
      <c r="H65" s="1001" t="n">
        <f aca="false">AVERAGE(B65:C65)</f>
        <v>27.5</v>
      </c>
      <c r="J65" s="0" t="n">
        <f aca="false">+H65/6.5</f>
        <v>4.23076923076923</v>
      </c>
      <c r="L65" s="986" t="n">
        <v>48724</v>
      </c>
      <c r="P65" s="0" t="n">
        <v>31</v>
      </c>
      <c r="Q65" s="199" t="n">
        <f aca="false">+Q60+0.005</f>
        <v>4.31</v>
      </c>
    </row>
    <row r="66" customFormat="false" ht="12.75" hidden="false" customHeight="false" outlineLevel="0" collapsed="false">
      <c r="A66" s="986" t="n">
        <v>48504</v>
      </c>
      <c r="B66" s="993" t="n">
        <v>27.75</v>
      </c>
      <c r="C66" s="993" t="n">
        <v>28.5</v>
      </c>
      <c r="E66" s="988" t="n">
        <v>37141.2686689815</v>
      </c>
      <c r="F66" s="1002" t="s">
        <v>202</v>
      </c>
      <c r="H66" s="1001" t="n">
        <f aca="false">AVERAGE(B66:C66)</f>
        <v>28.125</v>
      </c>
      <c r="J66" s="0" t="n">
        <f aca="false">+H66/6.5</f>
        <v>4.32692307692308</v>
      </c>
      <c r="L66" s="986" t="n">
        <v>48724</v>
      </c>
      <c r="P66" s="0" t="n">
        <v>31</v>
      </c>
      <c r="Q66" s="199" t="n">
        <f aca="false">+Q61+0.005</f>
        <v>4.315</v>
      </c>
    </row>
    <row r="67" customFormat="false" ht="12.75" hidden="false" customHeight="false" outlineLevel="0" collapsed="false">
      <c r="A67" s="986" t="n">
        <v>33317</v>
      </c>
      <c r="B67" s="993" t="n">
        <v>33.5</v>
      </c>
      <c r="C67" s="993" t="n">
        <v>34.25</v>
      </c>
      <c r="E67" s="988" t="n">
        <v>37141.3622337963</v>
      </c>
      <c r="F67" s="1002" t="s">
        <v>208</v>
      </c>
      <c r="H67" s="1001" t="n">
        <f aca="false">AVERAGE(B67:C67)</f>
        <v>33.875</v>
      </c>
      <c r="J67" s="0" t="n">
        <f aca="false">+H67/6.5</f>
        <v>5.21153846153846</v>
      </c>
      <c r="L67" s="986" t="n">
        <v>48724</v>
      </c>
      <c r="P67" s="0" t="n">
        <v>31</v>
      </c>
      <c r="Q67" s="199" t="n">
        <f aca="false">+Q62+0.005</f>
        <v>4.32</v>
      </c>
    </row>
    <row r="68" customFormat="false" ht="12.75" hidden="false" customHeight="false" outlineLevel="0" collapsed="false">
      <c r="A68" s="986" t="n">
        <v>36494</v>
      </c>
      <c r="B68" s="993" t="n">
        <v>24.9</v>
      </c>
      <c r="C68" s="993" t="n">
        <v>25.3</v>
      </c>
      <c r="E68" s="988" t="n">
        <v>37141.3617476852</v>
      </c>
      <c r="F68" s="1002" t="s">
        <v>523</v>
      </c>
      <c r="H68" s="1001" t="n">
        <f aca="false">AVERAGE(B68:C68)</f>
        <v>25.1</v>
      </c>
      <c r="J68" s="0" t="n">
        <f aca="false">+H68/6.5</f>
        <v>3.86153846153846</v>
      </c>
      <c r="L68" s="986" t="n">
        <v>48724</v>
      </c>
      <c r="P68" s="0" t="n">
        <v>31</v>
      </c>
      <c r="Q68" s="199" t="n">
        <f aca="false">+Q63+0.005</f>
        <v>4.325</v>
      </c>
    </row>
    <row r="69" customFormat="false" ht="12.75" hidden="false" customHeight="false" outlineLevel="0" collapsed="false">
      <c r="A69" s="986" t="n">
        <v>36495</v>
      </c>
      <c r="B69" s="993" t="n">
        <v>25.3</v>
      </c>
      <c r="C69" s="993" t="n">
        <v>25.7</v>
      </c>
      <c r="E69" s="988" t="n">
        <v>37141.2982986111</v>
      </c>
      <c r="F69" s="1002" t="s">
        <v>524</v>
      </c>
      <c r="H69" s="1001" t="n">
        <f aca="false">AVERAGE(B69:C69)</f>
        <v>25.5</v>
      </c>
      <c r="J69" s="0" t="n">
        <f aca="false">+H69/6.5</f>
        <v>3.92307692307692</v>
      </c>
      <c r="L69" s="986" t="n">
        <v>48724</v>
      </c>
      <c r="P69" s="0" t="n">
        <v>31</v>
      </c>
      <c r="Q69" s="199" t="n">
        <f aca="false">+Q64+0.005</f>
        <v>4.325</v>
      </c>
    </row>
    <row r="70" customFormat="false" ht="12.75" hidden="false" customHeight="false" outlineLevel="0" collapsed="false">
      <c r="A70" s="986" t="n">
        <v>52895</v>
      </c>
      <c r="B70" s="993" t="n">
        <v>26.6</v>
      </c>
      <c r="C70" s="993" t="n">
        <v>26.9</v>
      </c>
      <c r="E70" s="988" t="n">
        <v>37141.2983217593</v>
      </c>
      <c r="F70" s="1002" t="s">
        <v>525</v>
      </c>
      <c r="H70" s="1001" t="n">
        <f aca="false">AVERAGE(B70:C70)</f>
        <v>26.75</v>
      </c>
      <c r="J70" s="0" t="n">
        <f aca="false">+H70/6.5</f>
        <v>4.11538461538462</v>
      </c>
      <c r="L70" s="986" t="n">
        <v>48724</v>
      </c>
      <c r="P70" s="0" t="n">
        <v>31</v>
      </c>
      <c r="Q70" s="199" t="n">
        <f aca="false">+Q65+0.005</f>
        <v>4.315</v>
      </c>
    </row>
    <row r="71" customFormat="false" ht="12.75" hidden="false" customHeight="false" outlineLevel="0" collapsed="false">
      <c r="A71" s="986" t="n">
        <v>26309</v>
      </c>
      <c r="B71" s="993" t="n">
        <v>25.6</v>
      </c>
      <c r="C71" s="993" t="n">
        <v>25.95</v>
      </c>
      <c r="E71" s="988" t="n">
        <v>37141.2991319444</v>
      </c>
      <c r="F71" s="1002" t="s">
        <v>526</v>
      </c>
      <c r="H71" s="1001" t="n">
        <f aca="false">AVERAGE(B71:C71)</f>
        <v>25.775</v>
      </c>
      <c r="J71" s="0" t="n">
        <f aca="false">+H71/6.5</f>
        <v>3.96538461538462</v>
      </c>
      <c r="L71" s="986" t="n">
        <v>48724</v>
      </c>
      <c r="P71" s="0" t="n">
        <v>31</v>
      </c>
      <c r="Q71" s="199" t="n">
        <f aca="false">+Q66+0.005</f>
        <v>4.32</v>
      </c>
    </row>
  </sheetData>
  <conditionalFormatting sqref="B2:C71">
    <cfRule type="cellIs" priority="2" operator="lessThan" aboveAverage="0" equalAverage="0" bottom="0" percent="0" rank="0" text="" dxfId="0">
      <formula>10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Q324"/>
  <sheetViews>
    <sheetView showFormulas="false" showGridLines="true" showRowColHeaders="true" showZeros="true" rightToLeft="false" tabSelected="false" showOutlineSymbols="true" defaultGridColor="true" view="normal" topLeftCell="P16" colorId="64" zoomScale="75" zoomScaleNormal="75" zoomScalePageLayoutView="100" workbookViewId="0">
      <selection pane="topLeft" activeCell="AB37" activeCellId="0" sqref="AB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85"/>
    <col collapsed="false" customWidth="true" hidden="false" outlineLevel="0" max="2" min="2" style="0" width="16.13"/>
    <col collapsed="false" customWidth="true" hidden="false" outlineLevel="0" max="3" min="3" style="0" width="12.85"/>
    <col collapsed="false" customWidth="true" hidden="false" outlineLevel="0" max="4" min="4" style="0" width="10.99"/>
    <col collapsed="false" customWidth="true" hidden="false" outlineLevel="0" max="5" min="5" style="0" width="16.56"/>
    <col collapsed="false" customWidth="true" hidden="false" outlineLevel="0" max="6" min="6" style="0" width="13.28"/>
    <col collapsed="false" customWidth="true" hidden="false" outlineLevel="0" max="7" min="7" style="0" width="16.13"/>
    <col collapsed="false" customWidth="true" hidden="false" outlineLevel="0" max="8" min="8" style="0" width="18.85"/>
    <col collapsed="false" customWidth="true" hidden="false" outlineLevel="0" max="9" min="9" style="0" width="15.85"/>
    <col collapsed="false" customWidth="true" hidden="false" outlineLevel="0" max="10" min="10" style="0" width="13.7"/>
    <col collapsed="false" customWidth="true" hidden="false" outlineLevel="0" max="11" min="11" style="0" width="14.28"/>
    <col collapsed="false" customWidth="true" hidden="false" outlineLevel="0" max="12" min="12" style="0" width="14.99"/>
    <col collapsed="false" customWidth="true" hidden="false" outlineLevel="0" max="13" min="13" style="34" width="11.85"/>
    <col collapsed="false" customWidth="true" hidden="false" outlineLevel="0" max="15" min="15" style="0" width="13.85"/>
    <col collapsed="false" customWidth="true" hidden="false" outlineLevel="0" max="23" min="16" style="0" width="12.7"/>
    <col collapsed="false" customWidth="true" hidden="true" outlineLevel="0" max="24" min="24" style="0" width="12.7"/>
    <col collapsed="false" customWidth="true" hidden="false" outlineLevel="0" max="25" min="25" style="0" width="12.7"/>
    <col collapsed="false" customWidth="true" hidden="true" outlineLevel="0" max="26" min="26" style="0" width="12.7"/>
    <col collapsed="false" customWidth="true" hidden="false" outlineLevel="0" max="28" min="27" style="0" width="12.7"/>
    <col collapsed="false" customWidth="true" hidden="true" outlineLevel="0" max="29" min="29" style="0" width="12.7"/>
    <col collapsed="false" customWidth="true" hidden="false" outlineLevel="0" max="30" min="30" style="0" width="12.7"/>
    <col collapsed="false" customWidth="true" hidden="true" outlineLevel="0" max="31" min="31" style="0" width="12.7"/>
    <col collapsed="false" customWidth="true" hidden="false" outlineLevel="0" max="33" min="32" style="0" width="12.7"/>
    <col collapsed="false" customWidth="true" hidden="true" outlineLevel="0" max="34" min="34" style="0" width="12.7"/>
    <col collapsed="false" customWidth="true" hidden="false" outlineLevel="0" max="35" min="35" style="0" width="12.7"/>
    <col collapsed="false" customWidth="true" hidden="true" outlineLevel="0" max="36" min="36" style="0" width="12.7"/>
    <col collapsed="false" customWidth="true" hidden="false" outlineLevel="0" max="37" min="37" style="0" width="12.99"/>
    <col collapsed="false" customWidth="true" hidden="false" outlineLevel="0" max="40" min="38" style="0" width="12.7"/>
    <col collapsed="false" customWidth="true" hidden="true" outlineLevel="0" max="41" min="41" style="0" width="12.7"/>
    <col collapsed="false" customWidth="true" hidden="false" outlineLevel="0" max="47" min="42" style="0" width="13.7"/>
    <col collapsed="false" customWidth="true" hidden="false" outlineLevel="0" max="55" min="48" style="0" width="12.7"/>
  </cols>
  <sheetData>
    <row r="1" customFormat="false" ht="18" hidden="false" customHeight="false" outlineLevel="0" collapsed="false">
      <c r="A1" s="0" t="s">
        <v>60</v>
      </c>
      <c r="N1" s="35"/>
      <c r="O1" s="35"/>
      <c r="P1" s="35"/>
      <c r="Q1" s="35"/>
      <c r="R1" s="35"/>
      <c r="S1" s="35"/>
      <c r="T1" s="35"/>
      <c r="U1" s="35"/>
      <c r="V1" s="35"/>
      <c r="W1" s="36"/>
      <c r="X1" s="36"/>
      <c r="Y1" s="36"/>
      <c r="Z1" s="36"/>
      <c r="AA1" s="36"/>
      <c r="AB1" s="36"/>
      <c r="AC1" s="36"/>
      <c r="AD1" s="37"/>
      <c r="AE1" s="38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</row>
    <row r="2" customFormat="false" ht="18" hidden="false" customHeight="false" outlineLevel="0" collapsed="false">
      <c r="A2" s="39" t="s">
        <v>61</v>
      </c>
      <c r="B2" s="40" t="n">
        <v>126.75</v>
      </c>
      <c r="C2" s="40" t="n">
        <f aca="false">+B2+1.5</f>
        <v>128.25</v>
      </c>
      <c r="D2" s="40" t="n">
        <f aca="false">AVERAGE(B2:C2)</f>
        <v>127.5</v>
      </c>
      <c r="N2" s="35"/>
      <c r="O2" s="35"/>
      <c r="P2" s="35"/>
      <c r="Q2" s="35"/>
      <c r="R2" s="35"/>
      <c r="S2" s="35"/>
      <c r="T2" s="35"/>
      <c r="U2" s="35"/>
      <c r="V2" s="35"/>
      <c r="W2" s="41"/>
      <c r="X2" s="41"/>
      <c r="Y2" s="41"/>
      <c r="Z2" s="41"/>
      <c r="AA2" s="41"/>
      <c r="AB2" s="41"/>
      <c r="AC2" s="41"/>
      <c r="AD2" s="35"/>
      <c r="AE2" s="38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</row>
    <row r="3" customFormat="false" ht="18" hidden="false" customHeight="false" outlineLevel="0" collapsed="false">
      <c r="A3" s="39"/>
      <c r="B3" s="40" t="n">
        <v>5.25</v>
      </c>
      <c r="C3" s="40" t="n">
        <v>6.25</v>
      </c>
      <c r="D3" s="40" t="n">
        <f aca="false">AVERAGE(B3:C3)</f>
        <v>5.75</v>
      </c>
      <c r="N3" s="35"/>
      <c r="O3" s="35"/>
      <c r="P3" s="35"/>
      <c r="Q3" s="35"/>
      <c r="R3" s="35"/>
      <c r="S3" s="35"/>
      <c r="T3" s="35"/>
      <c r="U3" s="35"/>
      <c r="V3" s="35"/>
      <c r="W3" s="42"/>
      <c r="X3" s="42"/>
      <c r="Y3" s="42"/>
      <c r="Z3" s="42"/>
      <c r="AA3" s="42"/>
      <c r="AB3" s="42"/>
      <c r="AC3" s="42"/>
      <c r="AD3" s="35"/>
      <c r="AE3" s="38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</row>
    <row r="4" customFormat="false" ht="18" hidden="false" customHeight="false" outlineLevel="0" collapsed="false">
      <c r="A4" s="39" t="s">
        <v>62</v>
      </c>
      <c r="B4" s="43" t="n">
        <f aca="false">+B2-C3</f>
        <v>120.5</v>
      </c>
      <c r="C4" s="44" t="n">
        <f aca="false">+C2-B3</f>
        <v>123</v>
      </c>
      <c r="D4" s="40" t="n">
        <f aca="false">AVERAGE(B4:C4)</f>
        <v>121.75</v>
      </c>
      <c r="N4" s="35"/>
      <c r="O4" s="35"/>
      <c r="P4" s="35"/>
      <c r="Q4" s="35"/>
      <c r="R4" s="35"/>
      <c r="S4" s="35"/>
      <c r="T4" s="35"/>
      <c r="U4" s="35"/>
      <c r="V4" s="35"/>
      <c r="W4" s="42"/>
      <c r="X4" s="42"/>
      <c r="Y4" s="42"/>
      <c r="Z4" s="42"/>
      <c r="AA4" s="42"/>
      <c r="AB4" s="42"/>
      <c r="AC4" s="42"/>
      <c r="AD4" s="35"/>
      <c r="AE4" s="38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</row>
    <row r="5" customFormat="false" ht="18" hidden="false" customHeight="false" outlineLevel="0" collapsed="false">
      <c r="N5" s="35"/>
      <c r="O5" s="35"/>
      <c r="P5" s="35"/>
      <c r="Q5" s="35"/>
      <c r="R5" s="35"/>
      <c r="S5" s="35"/>
      <c r="T5" s="35"/>
      <c r="U5" s="35"/>
      <c r="V5" s="45"/>
      <c r="W5" s="45"/>
      <c r="X5" s="45"/>
      <c r="Y5" s="45"/>
      <c r="Z5" s="45"/>
      <c r="AA5" s="45"/>
      <c r="AB5" s="45"/>
      <c r="AC5" s="45"/>
      <c r="AD5" s="35"/>
      <c r="AE5" s="38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</row>
    <row r="6" customFormat="false" ht="12.75" hidden="false" customHeight="false" outlineLevel="0" collapsed="false"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</row>
    <row r="7" customFormat="false" ht="21" hidden="false" customHeight="false" outlineLevel="0" collapsed="false">
      <c r="C7" s="46"/>
      <c r="D7" s="47"/>
      <c r="E7" s="46"/>
      <c r="F7" s="46"/>
      <c r="G7" s="48" t="s">
        <v>63</v>
      </c>
      <c r="H7" s="49" t="s">
        <v>64</v>
      </c>
      <c r="I7" s="46"/>
      <c r="J7" s="46"/>
      <c r="K7" s="46"/>
      <c r="L7" s="50"/>
      <c r="N7" s="35"/>
      <c r="O7" s="51"/>
      <c r="P7" s="52"/>
      <c r="Q7" s="52"/>
      <c r="R7" s="52"/>
      <c r="S7" s="52"/>
      <c r="T7" s="52"/>
      <c r="U7" s="52"/>
      <c r="V7" s="53"/>
      <c r="W7" s="53"/>
      <c r="X7" s="53"/>
      <c r="Y7" s="52"/>
      <c r="Z7" s="52"/>
      <c r="AA7" s="54"/>
      <c r="AB7" s="54"/>
      <c r="AC7" s="54"/>
      <c r="AD7" s="54"/>
      <c r="AE7" s="54"/>
      <c r="AF7" s="54"/>
      <c r="AG7" s="54"/>
      <c r="AH7" s="54"/>
      <c r="AI7" s="55"/>
      <c r="AJ7" s="55"/>
      <c r="AK7" s="56"/>
      <c r="AL7" s="57"/>
      <c r="AM7" s="58"/>
      <c r="AN7" s="58"/>
      <c r="AO7" s="58"/>
      <c r="AP7" s="58"/>
      <c r="AQ7" s="58"/>
      <c r="AR7" s="58"/>
      <c r="AS7" s="58"/>
      <c r="AT7" s="58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</row>
    <row r="8" customFormat="false" ht="21" hidden="false" customHeight="false" outlineLevel="0" collapsed="false">
      <c r="A8" s="59"/>
      <c r="B8" s="49" t="s">
        <v>65</v>
      </c>
      <c r="C8" s="46"/>
      <c r="D8" s="47"/>
      <c r="E8" s="46"/>
      <c r="F8" s="46"/>
      <c r="G8" s="60" t="s">
        <v>66</v>
      </c>
      <c r="H8" s="61" t="s">
        <v>67</v>
      </c>
      <c r="I8" s="61" t="s">
        <v>67</v>
      </c>
      <c r="J8" s="46"/>
      <c r="K8" s="46"/>
      <c r="L8" s="46"/>
      <c r="N8" s="35"/>
      <c r="O8" s="62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4"/>
      <c r="AB8" s="64"/>
      <c r="AC8" s="64"/>
      <c r="AD8" s="64"/>
      <c r="AE8" s="64"/>
      <c r="AF8" s="64"/>
      <c r="AG8" s="64"/>
      <c r="AH8" s="64"/>
      <c r="AI8" s="63"/>
      <c r="AJ8" s="63"/>
      <c r="AK8" s="63"/>
      <c r="AL8" s="65"/>
      <c r="AM8" s="66"/>
      <c r="AN8" s="66"/>
      <c r="AO8" s="67"/>
      <c r="AP8" s="67"/>
      <c r="AQ8" s="67"/>
      <c r="AR8" s="67"/>
      <c r="AS8" s="67"/>
      <c r="AT8" s="67"/>
      <c r="AU8" s="35"/>
      <c r="AV8" s="67"/>
      <c r="AW8" s="67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</row>
    <row r="9" customFormat="false" ht="18" hidden="false" customHeight="false" outlineLevel="0" collapsed="false">
      <c r="A9" s="68"/>
      <c r="B9" s="68" t="s">
        <v>68</v>
      </c>
      <c r="C9" s="68" t="s">
        <v>68</v>
      </c>
      <c r="D9" s="68" t="s">
        <v>69</v>
      </c>
      <c r="E9" s="68" t="s">
        <v>70</v>
      </c>
      <c r="F9" s="68" t="s">
        <v>70</v>
      </c>
      <c r="G9" s="69" t="s">
        <v>70</v>
      </c>
      <c r="H9" s="70" t="s">
        <v>71</v>
      </c>
      <c r="I9" s="70" t="s">
        <v>71</v>
      </c>
      <c r="J9" s="71" t="s">
        <v>72</v>
      </c>
      <c r="K9" s="72" t="s">
        <v>73</v>
      </c>
      <c r="L9" s="72"/>
      <c r="N9" s="35"/>
      <c r="O9" s="73"/>
      <c r="P9" s="74" t="s">
        <v>74</v>
      </c>
      <c r="Q9" s="75" t="s">
        <v>75</v>
      </c>
      <c r="R9" s="76"/>
      <c r="S9" s="76"/>
      <c r="T9" s="76"/>
      <c r="U9" s="76"/>
      <c r="V9" s="76"/>
      <c r="W9" s="76" t="s">
        <v>75</v>
      </c>
      <c r="X9" s="76"/>
      <c r="Y9" s="76"/>
      <c r="Z9" s="76"/>
      <c r="AA9" s="77" t="s">
        <v>75</v>
      </c>
      <c r="AB9" s="76" t="s">
        <v>76</v>
      </c>
      <c r="AC9" s="76"/>
      <c r="AD9" s="76" t="s">
        <v>77</v>
      </c>
      <c r="AE9" s="76"/>
      <c r="AF9" s="75" t="s">
        <v>78</v>
      </c>
      <c r="AG9" s="76" t="s">
        <v>76</v>
      </c>
      <c r="AH9" s="76"/>
      <c r="AI9" s="78" t="s">
        <v>77</v>
      </c>
      <c r="AJ9" s="78"/>
      <c r="AK9" s="64"/>
      <c r="AL9" s="79"/>
      <c r="AM9" s="80"/>
      <c r="AN9" s="81"/>
      <c r="AO9" s="67"/>
      <c r="AP9" s="67"/>
      <c r="AQ9" s="67"/>
      <c r="AR9" s="67"/>
      <c r="AS9" s="67"/>
      <c r="AT9" s="67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</row>
    <row r="10" customFormat="false" ht="18.75" hidden="false" customHeight="false" outlineLevel="0" collapsed="false">
      <c r="A10" s="82" t="s">
        <v>79</v>
      </c>
      <c r="B10" s="82" t="s">
        <v>80</v>
      </c>
      <c r="C10" s="82" t="s">
        <v>81</v>
      </c>
      <c r="D10" s="82" t="s">
        <v>82</v>
      </c>
      <c r="E10" s="82" t="s">
        <v>80</v>
      </c>
      <c r="F10" s="82" t="s">
        <v>81</v>
      </c>
      <c r="G10" s="83" t="s">
        <v>60</v>
      </c>
      <c r="H10" s="84" t="s">
        <v>83</v>
      </c>
      <c r="I10" s="84" t="s">
        <v>84</v>
      </c>
      <c r="J10" s="85" t="s">
        <v>85</v>
      </c>
      <c r="K10" s="86" t="s">
        <v>86</v>
      </c>
      <c r="L10" s="86" t="s">
        <v>87</v>
      </c>
      <c r="N10" s="35"/>
      <c r="O10" s="87"/>
      <c r="P10" s="88" t="n">
        <f aca="true">NOW()</f>
        <v>45926.9809151337</v>
      </c>
      <c r="Q10" s="89" t="s">
        <v>88</v>
      </c>
      <c r="R10" s="89"/>
      <c r="S10" s="89"/>
      <c r="T10" s="89" t="s">
        <v>89</v>
      </c>
      <c r="U10" s="89" t="s">
        <v>90</v>
      </c>
      <c r="V10" s="89" t="s">
        <v>91</v>
      </c>
      <c r="W10" s="89" t="s">
        <v>92</v>
      </c>
      <c r="X10" s="89"/>
      <c r="Y10" s="89" t="s">
        <v>93</v>
      </c>
      <c r="Z10" s="89"/>
      <c r="AA10" s="90" t="s">
        <v>92</v>
      </c>
      <c r="AB10" s="89"/>
      <c r="AC10" s="89"/>
      <c r="AD10" s="89"/>
      <c r="AE10" s="89"/>
      <c r="AF10" s="89" t="s">
        <v>92</v>
      </c>
      <c r="AG10" s="89"/>
      <c r="AH10" s="89"/>
      <c r="AI10" s="91"/>
      <c r="AJ10" s="91"/>
      <c r="AK10" s="63"/>
      <c r="AL10" s="92"/>
      <c r="AM10" s="80"/>
      <c r="AN10" s="81"/>
      <c r="AO10" s="67"/>
      <c r="AP10" s="93"/>
      <c r="AQ10" s="93"/>
      <c r="AR10" s="93"/>
      <c r="AS10" s="35"/>
      <c r="AT10" s="67"/>
      <c r="AU10" s="35"/>
      <c r="AV10" s="94"/>
      <c r="AW10" s="94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</row>
    <row r="11" customFormat="false" ht="20.1" hidden="false" customHeight="true" outlineLevel="0" collapsed="false">
      <c r="A11" s="95" t="n">
        <f aca="false">TradeSum!A12</f>
        <v>37195</v>
      </c>
      <c r="B11" s="96" t="n">
        <f aca="false">TradeSum!B12+TradeSum!B56</f>
        <v>-619968.510742188</v>
      </c>
      <c r="C11" s="97" t="n">
        <f aca="false">TradeSum!C12+TradeSum!C56</f>
        <v>-1697.33437954166</v>
      </c>
      <c r="D11" s="98" t="n">
        <f aca="false">TradeSum!D12+TradeSum!D56+(NYMEX!D12*2)</f>
        <v>1450</v>
      </c>
      <c r="E11" s="97" t="n">
        <f aca="false">TradeSum!E12+TradeSum!E56</f>
        <v>-90341.3780973388</v>
      </c>
      <c r="F11" s="99" t="n">
        <f aca="false">C11+D11</f>
        <v>-247.334379541658</v>
      </c>
      <c r="G11" s="100" t="n">
        <f aca="false">TradeSum!CE12*NYMEX!E12</f>
        <v>0</v>
      </c>
      <c r="H11" s="101" t="n">
        <f aca="false">G11+E11</f>
        <v>-90341.3780973388</v>
      </c>
      <c r="I11" s="101" t="n">
        <f aca="false">H11/TradeSum!CD12</f>
        <v>-245.492875264508</v>
      </c>
      <c r="J11" s="102" t="n">
        <f aca="false">NYMEX!J12+TradeSum!J12+TradeSum!J56</f>
        <v>65014.0764879398</v>
      </c>
      <c r="K11" s="103" t="n">
        <f aca="false">TradeSum!K100+NYMEX!K12</f>
        <v>-52049.1728959171</v>
      </c>
      <c r="L11" s="103" t="n">
        <f aca="false">J11+K11</f>
        <v>12964.9035920227</v>
      </c>
      <c r="N11" s="104"/>
      <c r="P11" s="105" t="s">
        <v>16</v>
      </c>
      <c r="Q11" s="106" t="n">
        <f aca="false">+Master!K34</f>
        <v>34.371568627451</v>
      </c>
      <c r="R11" s="107" t="n">
        <v>34.56</v>
      </c>
      <c r="S11" s="107" t="n">
        <f aca="false">+Q11-R11</f>
        <v>-0.188431372549019</v>
      </c>
      <c r="T11" s="108"/>
      <c r="U11" s="108"/>
      <c r="V11" s="108"/>
      <c r="W11" s="106" t="n">
        <f aca="false">+Master!M34</f>
        <v>33.4048175349578</v>
      </c>
      <c r="X11" s="108"/>
      <c r="Y11" s="108" t="n">
        <f aca="false">+W11-Q11</f>
        <v>-0.966751092493226</v>
      </c>
      <c r="Z11" s="108"/>
      <c r="AA11" s="109" t="n">
        <v>24.41</v>
      </c>
      <c r="AB11" s="108" t="s">
        <v>94</v>
      </c>
      <c r="AC11" s="108"/>
      <c r="AD11" s="108" t="s">
        <v>94</v>
      </c>
      <c r="AE11" s="108"/>
      <c r="AF11" s="109" t="n">
        <v>22.77</v>
      </c>
      <c r="AG11" s="108" t="n">
        <f aca="false">+W11</f>
        <v>33.4048175349578</v>
      </c>
      <c r="AH11" s="108"/>
      <c r="AI11" s="110" t="n">
        <f aca="false">+AG11+2</f>
        <v>35.4048175349578</v>
      </c>
      <c r="AJ11" s="110"/>
      <c r="AK11" s="63"/>
      <c r="AL11" s="92"/>
      <c r="AM11" s="80"/>
      <c r="AN11" s="81"/>
      <c r="AO11" s="67"/>
      <c r="AP11" s="93"/>
      <c r="AQ11" s="93"/>
      <c r="AR11" s="93"/>
      <c r="AS11" s="35"/>
      <c r="AT11" s="67"/>
      <c r="AU11" s="35"/>
      <c r="AV11" s="67"/>
      <c r="AW11" s="67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L11" s="111"/>
      <c r="BM11" s="112"/>
      <c r="BN11" s="112"/>
      <c r="BO11" s="111"/>
      <c r="BP11" s="111"/>
      <c r="BQ11" s="112"/>
    </row>
    <row r="12" customFormat="false" ht="20.1" hidden="false" customHeight="true" outlineLevel="0" collapsed="false">
      <c r="A12" s="95" t="n">
        <f aca="false">TradeSum!A13</f>
        <v>37196</v>
      </c>
      <c r="B12" s="96" t="n">
        <f aca="false">TradeSum!B13+TradeSum!B57</f>
        <v>-811119.625</v>
      </c>
      <c r="C12" s="97" t="n">
        <f aca="false">TradeSum!C13+TradeSum!C57</f>
        <v>-2439.18253312186</v>
      </c>
      <c r="D12" s="99" t="n">
        <f aca="false">TradeSum!D13+TradeSum!D57+(NYMEX!D12*2)</f>
        <v>1400</v>
      </c>
      <c r="E12" s="97" t="n">
        <f aca="false">TradeSum!E13+TradeSum!E57</f>
        <v>-345567.146011636</v>
      </c>
      <c r="F12" s="99" t="n">
        <f aca="false">C12+D12</f>
        <v>-1039.18253312186</v>
      </c>
      <c r="G12" s="100" t="n">
        <f aca="false">TradeSum!CE13*NYMEX!E12</f>
        <v>0</v>
      </c>
      <c r="H12" s="101" t="n">
        <f aca="false">G12+E12</f>
        <v>-345567.146011636</v>
      </c>
      <c r="I12" s="101" t="n">
        <f aca="false">H12/TradeSum!CD13</f>
        <v>-1028.47364884416</v>
      </c>
      <c r="J12" s="113" t="n">
        <f aca="false">NYMEX!J12+TradeSum!J13+TradeSum!J57</f>
        <v>-40556.2906675839</v>
      </c>
      <c r="K12" s="114" t="n">
        <f aca="false">TradeSum!K101+NYMEX!K12</f>
        <v>23277.8015435964</v>
      </c>
      <c r="L12" s="114" t="n">
        <f aca="false">J12+K12</f>
        <v>-17278.4891239875</v>
      </c>
      <c r="N12" s="115"/>
      <c r="O12" s="116" t="n">
        <f aca="false">+Q$11-Q12</f>
        <v>0.791882563572308</v>
      </c>
      <c r="P12" s="105" t="s">
        <v>18</v>
      </c>
      <c r="Q12" s="106" t="n">
        <f aca="false">+Master!K47</f>
        <v>33.5796860638787</v>
      </c>
      <c r="R12" s="107" t="n">
        <v>33.83</v>
      </c>
      <c r="S12" s="117" t="n">
        <f aca="false">+Q12-R12</f>
        <v>-0.250313936121323</v>
      </c>
      <c r="T12" s="118"/>
      <c r="U12" s="108"/>
      <c r="V12" s="108"/>
      <c r="W12" s="106" t="n">
        <f aca="false">+Master!M47</f>
        <v>32.852727145536</v>
      </c>
      <c r="X12" s="118" t="n">
        <f aca="false">+W12+$V12</f>
        <v>32.852727145536</v>
      </c>
      <c r="Y12" s="108" t="n">
        <f aca="false">+W12-Q12</f>
        <v>-0.726958918342646</v>
      </c>
      <c r="Z12" s="118" t="n">
        <f aca="false">+Y12+$V12</f>
        <v>-0.726958918342646</v>
      </c>
      <c r="AA12" s="109" t="n">
        <v>25.45</v>
      </c>
      <c r="AB12" s="118" t="n">
        <f aca="false">+R12</f>
        <v>33.83</v>
      </c>
      <c r="AC12" s="118" t="n">
        <f aca="false">+AB12+$AA12</f>
        <v>59.28</v>
      </c>
      <c r="AD12" s="118" t="s">
        <v>94</v>
      </c>
      <c r="AE12" s="118" t="e">
        <f aca="false">+AD12+$AA12</f>
        <v>#VALUE!</v>
      </c>
      <c r="AF12" s="109" t="n">
        <v>22.88</v>
      </c>
      <c r="AG12" s="108" t="n">
        <f aca="false">+W12</f>
        <v>32.852727145536</v>
      </c>
      <c r="AH12" s="108" t="n">
        <f aca="false">+AG12+$AF12</f>
        <v>55.732727145536</v>
      </c>
      <c r="AI12" s="110" t="n">
        <f aca="false">+AG12+2</f>
        <v>34.852727145536</v>
      </c>
      <c r="AJ12" s="108" t="n">
        <f aca="false">+AI12+$AF12</f>
        <v>57.732727145536</v>
      </c>
      <c r="AK12" s="119"/>
      <c r="AL12" s="92"/>
      <c r="AM12" s="80"/>
      <c r="AN12" s="81"/>
      <c r="AO12" s="120"/>
      <c r="AP12" s="93"/>
      <c r="AQ12" s="93"/>
      <c r="AR12" s="93"/>
      <c r="AS12" s="35"/>
      <c r="AT12" s="120"/>
      <c r="AU12" s="121"/>
      <c r="AV12" s="67"/>
      <c r="AW12" s="67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L12" s="111"/>
      <c r="BM12" s="112"/>
      <c r="BN12" s="112"/>
      <c r="BO12" s="111"/>
      <c r="BP12" s="111"/>
      <c r="BQ12" s="112"/>
    </row>
    <row r="13" customFormat="false" ht="20.1" hidden="false" customHeight="true" outlineLevel="0" collapsed="false">
      <c r="A13" s="95" t="n">
        <f aca="false">TradeSum!A14</f>
        <v>37226</v>
      </c>
      <c r="B13" s="96" t="n">
        <f aca="false">TradeSum!B14+TradeSum!B58</f>
        <v>-688750.125</v>
      </c>
      <c r="C13" s="97" t="n">
        <f aca="false">TradeSum!C14+TradeSum!C58</f>
        <v>-2181.14441531628</v>
      </c>
      <c r="D13" s="99" t="n">
        <f aca="false">TradeSum!D14+TradeSum!D58+(NYMEX!D13*2)</f>
        <v>2050</v>
      </c>
      <c r="E13" s="97" t="n">
        <f aca="false">TradeSum!E14+TradeSum!E58</f>
        <v>-41412.082486543</v>
      </c>
      <c r="F13" s="99" t="n">
        <f aca="false">C13+D13</f>
        <v>-131.144415316281</v>
      </c>
      <c r="G13" s="100" t="n">
        <f aca="false">TradeSum!CE14*NYMEX!E13</f>
        <v>0</v>
      </c>
      <c r="H13" s="101" t="n">
        <f aca="false">G13+E13</f>
        <v>-41412.082486543</v>
      </c>
      <c r="I13" s="101" t="n">
        <f aca="false">H13/TradeSum!CD14</f>
        <v>-129.412757770447</v>
      </c>
      <c r="J13" s="122" t="n">
        <f aca="false">NYMEX!J13+TradeSum!J14+TradeSum!J58</f>
        <v>103312.256012678</v>
      </c>
      <c r="K13" s="123" t="n">
        <f aca="false">TradeSum!K102+NYMEX!K13</f>
        <v>-97100.4594371525</v>
      </c>
      <c r="L13" s="123" t="n">
        <f aca="false">J13+K13</f>
        <v>6211.79657552566</v>
      </c>
      <c r="N13" s="115"/>
      <c r="O13" s="116" t="n">
        <f aca="false">+Q$11-Q13</f>
        <v>0.422839070396385</v>
      </c>
      <c r="P13" s="105" t="s">
        <v>20</v>
      </c>
      <c r="Q13" s="106" t="n">
        <f aca="false">+M62</f>
        <v>33.9487295570546</v>
      </c>
      <c r="R13" s="107" t="n">
        <v>34.13</v>
      </c>
      <c r="S13" s="117" t="n">
        <f aca="false">+Q13-R13</f>
        <v>-0.181270442945404</v>
      </c>
      <c r="T13" s="118" t="n">
        <v>0</v>
      </c>
      <c r="U13" s="118" t="n">
        <v>0</v>
      </c>
      <c r="V13" s="118" t="n">
        <v>0</v>
      </c>
      <c r="W13" s="106" t="n">
        <f aca="false">+J62</f>
        <v>32.9585495009244</v>
      </c>
      <c r="X13" s="118" t="n">
        <f aca="false">+W13+$V13</f>
        <v>32.9585495009244</v>
      </c>
      <c r="Y13" s="108" t="n">
        <f aca="false">+W13-Q13</f>
        <v>-0.990180056130235</v>
      </c>
      <c r="Z13" s="118" t="n">
        <f aca="false">+Y13+$V13</f>
        <v>-0.990180056130235</v>
      </c>
      <c r="AA13" s="109" t="n">
        <v>25.26</v>
      </c>
      <c r="AB13" s="118" t="n">
        <f aca="false">+R13</f>
        <v>34.13</v>
      </c>
      <c r="AC13" s="118" t="n">
        <f aca="false">+AB13+$AA13</f>
        <v>59.39</v>
      </c>
      <c r="AD13" s="118" t="n">
        <f aca="false">+AB13+2</f>
        <v>36.13</v>
      </c>
      <c r="AE13" s="118" t="n">
        <f aca="false">+AD13+$AA13</f>
        <v>61.39</v>
      </c>
      <c r="AF13" s="109" t="n">
        <v>22.71</v>
      </c>
      <c r="AG13" s="108" t="n">
        <f aca="false">+W13</f>
        <v>32.9585495009244</v>
      </c>
      <c r="AH13" s="108" t="n">
        <f aca="false">+AG13+$AF13</f>
        <v>55.6685495009244</v>
      </c>
      <c r="AI13" s="110" t="n">
        <f aca="false">+AG13+2</f>
        <v>34.9585495009244</v>
      </c>
      <c r="AJ13" s="108" t="n">
        <f aca="false">+AI13+$AF13</f>
        <v>57.6685495009244</v>
      </c>
      <c r="AK13" s="119"/>
      <c r="AL13" s="92"/>
      <c r="AM13" s="80"/>
      <c r="AN13" s="81"/>
      <c r="AO13" s="120"/>
      <c r="AP13" s="93"/>
      <c r="AQ13" s="93"/>
      <c r="AR13" s="93"/>
      <c r="AS13" s="35"/>
      <c r="AT13" s="120"/>
      <c r="AU13" s="121"/>
      <c r="AV13" s="67"/>
      <c r="AW13" s="67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L13" s="111"/>
      <c r="BM13" s="112"/>
      <c r="BN13" s="112"/>
      <c r="BO13" s="111"/>
      <c r="BP13" s="111"/>
      <c r="BQ13" s="112"/>
    </row>
    <row r="14" customFormat="false" ht="20.1" hidden="false" customHeight="true" outlineLevel="0" collapsed="false">
      <c r="A14" s="95" t="n">
        <f aca="false">TradeSum!A15</f>
        <v>37257</v>
      </c>
      <c r="B14" s="96" t="n">
        <f aca="false">TradeSum!B15+TradeSum!B59</f>
        <v>-292578.7421875</v>
      </c>
      <c r="C14" s="97" t="n">
        <f aca="false">TradeSum!C15+TradeSum!C59</f>
        <v>-844.638631399453</v>
      </c>
      <c r="D14" s="99" t="n">
        <f aca="false">TradeSum!D15+TradeSum!D59+(NYMEX!D14*2)</f>
        <v>600</v>
      </c>
      <c r="E14" s="97" t="n">
        <f aca="false">TradeSum!E15+TradeSum!E59</f>
        <v>-84741.6402760685</v>
      </c>
      <c r="F14" s="99" t="n">
        <f aca="false">C14+D14</f>
        <v>-244.638631399453</v>
      </c>
      <c r="G14" s="100" t="n">
        <f aca="false">TradeSum!CE15*NYMEX!E14</f>
        <v>0</v>
      </c>
      <c r="H14" s="101" t="n">
        <f aca="false">G14+E14</f>
        <v>-84741.6402760685</v>
      </c>
      <c r="I14" s="101" t="n">
        <f aca="false">H14/TradeSum!CD15</f>
        <v>-240.743296238831</v>
      </c>
      <c r="J14" s="113" t="n">
        <f aca="false">NYMEX!J14+TradeSum!J15+TradeSum!J59</f>
        <v>73144.738694462</v>
      </c>
      <c r="K14" s="114" t="n">
        <f aca="false">TradeSum!K103+NYMEX!K14</f>
        <v>-51959.3132319352</v>
      </c>
      <c r="L14" s="114" t="n">
        <f aca="false">J14+K14</f>
        <v>21185.4254625268</v>
      </c>
      <c r="N14" s="115" t="n">
        <v>-0.839999999999996</v>
      </c>
      <c r="O14" s="116" t="n">
        <f aca="false">+Q$11-Q14</f>
        <v>-0.00675871963777297</v>
      </c>
      <c r="P14" s="105" t="s">
        <v>22</v>
      </c>
      <c r="Q14" s="106" t="n">
        <f aca="false">+M74</f>
        <v>34.3783273470888</v>
      </c>
      <c r="R14" s="107" t="n">
        <v>34.63</v>
      </c>
      <c r="S14" s="117" t="n">
        <f aca="false">+Q14-R14</f>
        <v>-0.251672652911246</v>
      </c>
      <c r="T14" s="118" t="n">
        <v>0</v>
      </c>
      <c r="U14" s="118" t="n">
        <v>0</v>
      </c>
      <c r="V14" s="118" t="n">
        <v>0</v>
      </c>
      <c r="W14" s="106" t="n">
        <f aca="false">+J74</f>
        <v>33.545713113325</v>
      </c>
      <c r="X14" s="118" t="n">
        <f aca="false">+W14+$V14</f>
        <v>33.545713113325</v>
      </c>
      <c r="Y14" s="108" t="n">
        <f aca="false">+W14-Q14</f>
        <v>-0.832614233763799</v>
      </c>
      <c r="Z14" s="118" t="n">
        <f aca="false">+Y14+$V14</f>
        <v>-0.832614233763799</v>
      </c>
      <c r="AA14" s="109" t="n">
        <v>25.61</v>
      </c>
      <c r="AB14" s="118" t="n">
        <f aca="false">+R14</f>
        <v>34.63</v>
      </c>
      <c r="AC14" s="118" t="n">
        <f aca="false">+AB14+$AA14</f>
        <v>60.24</v>
      </c>
      <c r="AD14" s="118" t="n">
        <f aca="false">+AB14+2</f>
        <v>36.63</v>
      </c>
      <c r="AE14" s="118" t="n">
        <f aca="false">+AD14+$AA14</f>
        <v>62.24</v>
      </c>
      <c r="AF14" s="109" t="n">
        <v>23.05</v>
      </c>
      <c r="AG14" s="108" t="n">
        <f aca="false">+W14</f>
        <v>33.545713113325</v>
      </c>
      <c r="AH14" s="108" t="n">
        <f aca="false">+AG14+$AF14</f>
        <v>56.595713113325</v>
      </c>
      <c r="AI14" s="110" t="n">
        <f aca="false">+AG14+2</f>
        <v>35.545713113325</v>
      </c>
      <c r="AJ14" s="108" t="n">
        <f aca="false">+AI14+$AF14</f>
        <v>58.595713113325</v>
      </c>
      <c r="AK14" s="63"/>
      <c r="AL14" s="92"/>
      <c r="AM14" s="80"/>
      <c r="AN14" s="81"/>
      <c r="AO14" s="67"/>
      <c r="AP14" s="93"/>
      <c r="AQ14" s="93"/>
      <c r="AR14" s="93"/>
      <c r="AS14" s="35"/>
      <c r="AT14" s="67"/>
      <c r="AU14" s="121"/>
      <c r="AV14" s="67"/>
      <c r="AW14" s="67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L14" s="111"/>
      <c r="BM14" s="112"/>
      <c r="BN14" s="112"/>
      <c r="BO14" s="111"/>
      <c r="BP14" s="111"/>
      <c r="BQ14" s="112"/>
    </row>
    <row r="15" customFormat="false" ht="20.1" hidden="false" customHeight="true" outlineLevel="0" collapsed="false">
      <c r="A15" s="95" t="n">
        <f aca="false">TradeSum!A16</f>
        <v>37288</v>
      </c>
      <c r="B15" s="96" t="n">
        <f aca="false">TradeSum!B16+TradeSum!B60</f>
        <v>-266219.6953125</v>
      </c>
      <c r="C15" s="97" t="n">
        <f aca="false">TradeSum!C16+TradeSum!C60</f>
        <v>-847.651594225867</v>
      </c>
      <c r="D15" s="99" t="n">
        <f aca="false">TradeSum!D16+TradeSum!D60+(NYMEX!D15*2)</f>
        <v>600</v>
      </c>
      <c r="E15" s="97" t="n">
        <f aca="false">TradeSum!E16+TradeSum!E60</f>
        <v>-77779.281496753</v>
      </c>
      <c r="F15" s="99" t="n">
        <f aca="false">C15+D15</f>
        <v>-247.651594225867</v>
      </c>
      <c r="G15" s="100" t="n">
        <f aca="false">TradeSum!CE16*NYMEX!E15</f>
        <v>0</v>
      </c>
      <c r="H15" s="101" t="n">
        <f aca="false">G15+E15</f>
        <v>-77779.281496753</v>
      </c>
      <c r="I15" s="101" t="n">
        <f aca="false">H15/TradeSum!CD16</f>
        <v>-243.060254677353</v>
      </c>
      <c r="J15" s="122" t="n">
        <f aca="false">NYMEX!J15+TradeSum!J16+TradeSum!J60</f>
        <v>66554.9721875318</v>
      </c>
      <c r="K15" s="123" t="n">
        <f aca="false">TradeSum!K104+NYMEX!K15</f>
        <v>-47110.137684562</v>
      </c>
      <c r="L15" s="123" t="n">
        <f aca="false">J15+K15</f>
        <v>19444.8345029698</v>
      </c>
      <c r="N15" s="115" t="n">
        <v>0.0499999999999972</v>
      </c>
      <c r="O15" s="116"/>
      <c r="P15" s="105" t="s">
        <v>24</v>
      </c>
      <c r="Q15" s="106" t="n">
        <f aca="false">+M86</f>
        <v>34.5352707273364</v>
      </c>
      <c r="R15" s="107" t="n">
        <v>34.8</v>
      </c>
      <c r="S15" s="117" t="n">
        <f aca="false">+Q15-R15</f>
        <v>-0.264729272663587</v>
      </c>
      <c r="T15" s="118" t="n">
        <v>0</v>
      </c>
      <c r="U15" s="118" t="n">
        <v>0</v>
      </c>
      <c r="V15" s="118" t="n">
        <v>0</v>
      </c>
      <c r="W15" s="106" t="n">
        <f aca="false">+J86</f>
        <v>33.8551508405335</v>
      </c>
      <c r="X15" s="118" t="n">
        <f aca="false">+W15+$V15</f>
        <v>33.8551508405335</v>
      </c>
      <c r="Y15" s="108" t="n">
        <f aca="false">+W15-Q15</f>
        <v>-0.680119886802935</v>
      </c>
      <c r="Z15" s="118" t="n">
        <f aca="false">+Y15+$V15</f>
        <v>-0.680119886802935</v>
      </c>
      <c r="AA15" s="109" t="n">
        <v>25.96</v>
      </c>
      <c r="AB15" s="118" t="n">
        <f aca="false">+R15</f>
        <v>34.8</v>
      </c>
      <c r="AC15" s="118" t="n">
        <f aca="false">+AB15+$AA15</f>
        <v>60.76</v>
      </c>
      <c r="AD15" s="118" t="n">
        <f aca="false">+AB15+3</f>
        <v>37.8</v>
      </c>
      <c r="AE15" s="118" t="n">
        <f aca="false">+AD15+$AA15</f>
        <v>63.76</v>
      </c>
      <c r="AF15" s="109" t="n">
        <v>23.38</v>
      </c>
      <c r="AG15" s="108" t="n">
        <f aca="false">+W15</f>
        <v>33.8551508405335</v>
      </c>
      <c r="AH15" s="108" t="n">
        <f aca="false">+AG15+$AF15</f>
        <v>57.2351508405335</v>
      </c>
      <c r="AI15" s="110" t="n">
        <f aca="false">+AG15+3</f>
        <v>36.8551508405335</v>
      </c>
      <c r="AJ15" s="108" t="n">
        <f aca="false">+AI15+$AF15</f>
        <v>60.2351508405335</v>
      </c>
      <c r="AK15" s="63"/>
      <c r="AL15" s="92"/>
      <c r="AM15" s="80"/>
      <c r="AN15" s="81"/>
      <c r="AO15" s="67"/>
      <c r="AP15" s="93"/>
      <c r="AQ15" s="93"/>
      <c r="AR15" s="93"/>
      <c r="AS15" s="38"/>
      <c r="AT15" s="67"/>
      <c r="AU15" s="121"/>
      <c r="AV15" s="67"/>
      <c r="AW15" s="67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L15" s="111"/>
      <c r="BM15" s="112"/>
      <c r="BN15" s="112"/>
      <c r="BO15" s="111"/>
      <c r="BP15" s="111"/>
      <c r="BQ15" s="112"/>
    </row>
    <row r="16" customFormat="false" ht="20.1" hidden="false" customHeight="true" outlineLevel="0" collapsed="false">
      <c r="A16" s="95" t="n">
        <f aca="false">TradeSum!A17</f>
        <v>37316</v>
      </c>
      <c r="B16" s="96" t="n">
        <f aca="false">TradeSum!B17+TradeSum!B61</f>
        <v>-31318.50390625</v>
      </c>
      <c r="C16" s="97" t="n">
        <f aca="false">TradeSum!C17+TradeSum!C61</f>
        <v>-95.2506441910792</v>
      </c>
      <c r="D16" s="99" t="n">
        <f aca="false">TradeSum!D17+TradeSum!D61+(NYMEX!D16*2)</f>
        <v>-50</v>
      </c>
      <c r="E16" s="97" t="n">
        <f aca="false">TradeSum!E17+TradeSum!E61</f>
        <v>-47758.5522503971</v>
      </c>
      <c r="F16" s="99" t="n">
        <f aca="false">C16+D16</f>
        <v>-145.250644191079</v>
      </c>
      <c r="G16" s="100" t="n">
        <f aca="false">TradeSum!CE17*NYMEX!E16</f>
        <v>0</v>
      </c>
      <c r="H16" s="101" t="n">
        <f aca="false">G16+E16</f>
        <v>-47758.5522503971</v>
      </c>
      <c r="I16" s="101" t="n">
        <f aca="false">H16/TradeSum!CD17</f>
        <v>-142.138548364277</v>
      </c>
      <c r="J16" s="113" t="n">
        <f aca="false">NYMEX!J16+TradeSum!J17+TradeSum!J61</f>
        <v>7829.64820365299</v>
      </c>
      <c r="K16" s="114" t="n">
        <f aca="false">TradeSum!K105+NYMEX!K16</f>
        <v>4110.02375372191</v>
      </c>
      <c r="L16" s="114" t="n">
        <f aca="false">J16+K16</f>
        <v>11939.6719573749</v>
      </c>
      <c r="N16" s="115" t="n">
        <v>0.590000000000003</v>
      </c>
      <c r="O16" s="124"/>
      <c r="P16" s="105" t="s">
        <v>26</v>
      </c>
      <c r="Q16" s="106" t="n">
        <f aca="false">+M98</f>
        <v>34.695796666151</v>
      </c>
      <c r="R16" s="107" t="n">
        <v>34.94</v>
      </c>
      <c r="S16" s="117" t="n">
        <f aca="false">+Q16-R16</f>
        <v>-0.244203333849015</v>
      </c>
      <c r="T16" s="118" t="n">
        <v>0</v>
      </c>
      <c r="U16" s="118" t="n">
        <v>0</v>
      </c>
      <c r="V16" s="118" t="n">
        <v>0</v>
      </c>
      <c r="W16" s="106" t="n">
        <f aca="false">+J98</f>
        <v>34.2088517707672</v>
      </c>
      <c r="X16" s="118" t="n">
        <f aca="false">+W16+$V16</f>
        <v>34.2088517707672</v>
      </c>
      <c r="Y16" s="108" t="n">
        <f aca="false">+W16-Q16</f>
        <v>-0.486944895383758</v>
      </c>
      <c r="Z16" s="118" t="n">
        <f aca="false">+Y16+$V16</f>
        <v>-0.486944895383758</v>
      </c>
      <c r="AA16" s="109" t="n">
        <v>26.26</v>
      </c>
      <c r="AB16" s="118" t="n">
        <f aca="false">+R16</f>
        <v>34.94</v>
      </c>
      <c r="AC16" s="118" t="n">
        <f aca="false">+AB16+$AA16</f>
        <v>61.2</v>
      </c>
      <c r="AD16" s="118" t="n">
        <f aca="false">+AB16+3</f>
        <v>37.94</v>
      </c>
      <c r="AE16" s="118" t="n">
        <f aca="false">+AD16+$AA16</f>
        <v>64.2</v>
      </c>
      <c r="AF16" s="109" t="n">
        <v>23.71</v>
      </c>
      <c r="AG16" s="108" t="n">
        <f aca="false">+W16</f>
        <v>34.2088517707672</v>
      </c>
      <c r="AH16" s="108" t="n">
        <f aca="false">+AG16+$AF16</f>
        <v>57.9188517707672</v>
      </c>
      <c r="AI16" s="110" t="n">
        <f aca="false">+AG16+3</f>
        <v>37.2088517707672</v>
      </c>
      <c r="AJ16" s="108" t="n">
        <f aca="false">+AI16+$AF16</f>
        <v>60.9188517707672</v>
      </c>
      <c r="AK16" s="63"/>
      <c r="AL16" s="92"/>
      <c r="AM16" s="80"/>
      <c r="AN16" s="81"/>
      <c r="AO16" s="67"/>
      <c r="AP16" s="93"/>
      <c r="AQ16" s="93"/>
      <c r="AR16" s="93"/>
      <c r="AS16" s="38"/>
      <c r="AT16" s="67"/>
      <c r="AU16" s="121"/>
      <c r="AV16" s="67"/>
      <c r="AW16" s="67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N16" s="112"/>
    </row>
    <row r="17" customFormat="false" ht="20.1" hidden="false" customHeight="true" outlineLevel="0" collapsed="false">
      <c r="A17" s="95" t="n">
        <f aca="false">TradeSum!A18</f>
        <v>37347</v>
      </c>
      <c r="B17" s="96" t="n">
        <f aca="false">TradeSum!B18+TradeSum!B62</f>
        <v>-34027.072265625</v>
      </c>
      <c r="C17" s="97" t="n">
        <f aca="false">TradeSum!C18+TradeSum!C62</f>
        <v>-99.0689214888004</v>
      </c>
      <c r="D17" s="99" t="n">
        <f aca="false">TradeSum!D18+TradeSum!D62+(NYMEX!D17*2)</f>
        <v>-50</v>
      </c>
      <c r="E17" s="97" t="n">
        <f aca="false">TradeSum!E18+TradeSum!E62</f>
        <v>-51200.5065547384</v>
      </c>
      <c r="F17" s="99" t="n">
        <f aca="false">C17+D17</f>
        <v>-149.0689214888</v>
      </c>
      <c r="G17" s="100" t="n">
        <f aca="false">TradeSum!CE18*NYMEX!E17</f>
        <v>0</v>
      </c>
      <c r="H17" s="101" t="n">
        <f aca="false">G17+E17</f>
        <v>-51200.5065547384</v>
      </c>
      <c r="I17" s="101" t="n">
        <f aca="false">H17/TradeSum!CD18</f>
        <v>-145.455984530507</v>
      </c>
      <c r="J17" s="122" t="n">
        <f aca="false">NYMEX!J17+TradeSum!J18+TradeSum!J62</f>
        <v>8506.79221579782</v>
      </c>
      <c r="K17" s="123" t="n">
        <f aca="false">TradeSum!K106+NYMEX!K17</f>
        <v>4293.37076045564</v>
      </c>
      <c r="L17" s="123" t="n">
        <f aca="false">J17+K17</f>
        <v>12800.1629762535</v>
      </c>
      <c r="N17" s="115" t="n">
        <v>0.409999999999997</v>
      </c>
      <c r="O17" s="124"/>
      <c r="P17" s="105" t="s">
        <v>28</v>
      </c>
      <c r="Q17" s="106" t="n">
        <f aca="false">+M110</f>
        <v>34.9280369346279</v>
      </c>
      <c r="R17" s="107" t="n">
        <v>35.13</v>
      </c>
      <c r="S17" s="117" t="n">
        <f aca="false">+Q17-R17</f>
        <v>-0.201963065372141</v>
      </c>
      <c r="T17" s="118" t="n">
        <v>0</v>
      </c>
      <c r="U17" s="118" t="n">
        <v>0</v>
      </c>
      <c r="V17" s="118" t="n">
        <v>0</v>
      </c>
      <c r="W17" s="106" t="n">
        <f aca="false">+J110</f>
        <v>34.5810519248298</v>
      </c>
      <c r="X17" s="118" t="n">
        <f aca="false">+W17+$V17</f>
        <v>34.5810519248298</v>
      </c>
      <c r="Y17" s="108" t="n">
        <f aca="false">+W17-Q17</f>
        <v>-0.346985009798111</v>
      </c>
      <c r="Z17" s="118" t="n">
        <f aca="false">+Y17+$V17</f>
        <v>-0.346985009798111</v>
      </c>
      <c r="AA17" s="109" t="n">
        <v>26.53</v>
      </c>
      <c r="AB17" s="118" t="n">
        <f aca="false">+R17</f>
        <v>35.13</v>
      </c>
      <c r="AC17" s="118" t="n">
        <f aca="false">+AB17+$AA17</f>
        <v>61.66</v>
      </c>
      <c r="AD17" s="118" t="n">
        <f aca="false">+AB17+4</f>
        <v>39.13</v>
      </c>
      <c r="AE17" s="118" t="n">
        <f aca="false">+AD17+$AA17</f>
        <v>65.66</v>
      </c>
      <c r="AF17" s="109" t="n">
        <v>23.97</v>
      </c>
      <c r="AG17" s="108" t="n">
        <f aca="false">+W17</f>
        <v>34.5810519248298</v>
      </c>
      <c r="AH17" s="108" t="n">
        <f aca="false">+AG17+$AF17</f>
        <v>58.5510519248298</v>
      </c>
      <c r="AI17" s="110" t="n">
        <f aca="false">+AG17+4</f>
        <v>38.5810519248298</v>
      </c>
      <c r="AJ17" s="108" t="n">
        <f aca="false">+AI17+$AF17</f>
        <v>62.5510519248298</v>
      </c>
      <c r="AK17" s="63"/>
      <c r="AL17" s="92"/>
      <c r="AM17" s="80"/>
      <c r="AN17" s="81"/>
      <c r="AO17" s="67"/>
      <c r="AP17" s="93"/>
      <c r="AQ17" s="93"/>
      <c r="AR17" s="93"/>
      <c r="AS17" s="38"/>
      <c r="AT17" s="67"/>
      <c r="AU17" s="121"/>
      <c r="AV17" s="67"/>
      <c r="AW17" s="67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L17" s="111"/>
      <c r="BP17" s="111"/>
    </row>
    <row r="18" customFormat="false" ht="20.1" hidden="false" customHeight="true" outlineLevel="0" collapsed="false">
      <c r="A18" s="95" t="n">
        <f aca="false">TradeSum!A19</f>
        <v>37377</v>
      </c>
      <c r="B18" s="96" t="n">
        <f aca="false">TradeSum!B19+TradeSum!B63</f>
        <v>-310618.09375</v>
      </c>
      <c r="C18" s="97" t="n">
        <f aca="false">TradeSum!C19+TradeSum!C63</f>
        <v>-907.099058913155</v>
      </c>
      <c r="D18" s="99" t="n">
        <f aca="false">TradeSum!D19+TradeSum!D63+(NYMEX!D18*2)</f>
        <v>0</v>
      </c>
      <c r="E18" s="97" t="n">
        <f aca="false">TradeSum!E19+TradeSum!E63</f>
        <v>-310618.09375</v>
      </c>
      <c r="F18" s="99" t="n">
        <f aca="false">C18+D18</f>
        <v>-907.099058913155</v>
      </c>
      <c r="G18" s="100" t="n">
        <f aca="false">TradeSum!CE19*NYMEX!E18</f>
        <v>0</v>
      </c>
      <c r="H18" s="101" t="n">
        <f aca="false">G18+E18</f>
        <v>-310618.09375</v>
      </c>
      <c r="I18" s="101" t="n">
        <f aca="false">H18/TradeSum!CD19</f>
        <v>-882.437766335227</v>
      </c>
      <c r="J18" s="113" t="n">
        <f aca="false">NYMEX!J18+TradeSum!J19+TradeSum!J63</f>
        <v>0</v>
      </c>
      <c r="K18" s="114" t="n">
        <f aca="false">TradeSum!K107+NYMEX!K18</f>
        <v>4280.3772462592</v>
      </c>
      <c r="L18" s="114" t="n">
        <f aca="false">J18+K18</f>
        <v>4280.3772462592</v>
      </c>
      <c r="N18" s="115" t="n">
        <v>0.940000000000005</v>
      </c>
      <c r="O18" s="124"/>
      <c r="P18" s="105" t="s">
        <v>30</v>
      </c>
      <c r="Q18" s="106" t="n">
        <f aca="false">+M122</f>
        <v>35.639625731177</v>
      </c>
      <c r="R18" s="107" t="n">
        <v>35.85</v>
      </c>
      <c r="S18" s="117" t="n">
        <f aca="false">+Q18-R18</f>
        <v>-0.210374268822974</v>
      </c>
      <c r="T18" s="118" t="n">
        <v>0</v>
      </c>
      <c r="U18" s="118" t="n">
        <v>0</v>
      </c>
      <c r="V18" s="118" t="n">
        <v>0</v>
      </c>
      <c r="W18" s="106" t="n">
        <f aca="false">+J122</f>
        <v>35.2969611829798</v>
      </c>
      <c r="X18" s="118" t="n">
        <f aca="false">+W18+$V18</f>
        <v>35.2969611829798</v>
      </c>
      <c r="Y18" s="108" t="n">
        <f aca="false">+W18-Q18</f>
        <v>-0.342664548197185</v>
      </c>
      <c r="Z18" s="118" t="n">
        <f aca="false">+Y18+$V18</f>
        <v>-0.342664548197185</v>
      </c>
      <c r="AA18" s="109" t="n">
        <v>26.79</v>
      </c>
      <c r="AB18" s="118" t="n">
        <f aca="false">+R18</f>
        <v>35.85</v>
      </c>
      <c r="AC18" s="118" t="n">
        <f aca="false">+AB18+$AA18</f>
        <v>62.64</v>
      </c>
      <c r="AD18" s="118" t="n">
        <f aca="false">+AB18+4</f>
        <v>39.85</v>
      </c>
      <c r="AE18" s="118" t="n">
        <f aca="false">+AD18+$AA18</f>
        <v>66.64</v>
      </c>
      <c r="AF18" s="109" t="n">
        <v>24.26</v>
      </c>
      <c r="AG18" s="108" t="n">
        <f aca="false">+W18</f>
        <v>35.2969611829798</v>
      </c>
      <c r="AH18" s="108" t="n">
        <f aca="false">+AG18+$AF18</f>
        <v>59.5569611829799</v>
      </c>
      <c r="AI18" s="110" t="n">
        <f aca="false">+AG18+4</f>
        <v>39.2969611829798</v>
      </c>
      <c r="AJ18" s="108" t="n">
        <f aca="false">+AI18+$AF18</f>
        <v>63.5569611829799</v>
      </c>
      <c r="AK18" s="63"/>
      <c r="AL18" s="92"/>
      <c r="AM18" s="80"/>
      <c r="AN18" s="81"/>
      <c r="AO18" s="67"/>
      <c r="AP18" s="67"/>
      <c r="AQ18" s="67"/>
      <c r="AR18" s="67"/>
      <c r="AS18" s="38"/>
      <c r="AT18" s="67"/>
      <c r="AU18" s="121"/>
      <c r="AV18" s="67"/>
      <c r="AW18" s="67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</row>
    <row r="19" customFormat="false" ht="20.1" hidden="false" customHeight="true" outlineLevel="0" collapsed="false">
      <c r="A19" s="95" t="n">
        <f aca="false">TradeSum!A20</f>
        <v>37408</v>
      </c>
      <c r="B19" s="96" t="n">
        <f aca="false">TradeSum!B20+TradeSum!B64</f>
        <v>-480969.16015625</v>
      </c>
      <c r="C19" s="97" t="n">
        <f aca="false">TradeSum!C20+TradeSum!C64</f>
        <v>-1549.59237034108</v>
      </c>
      <c r="D19" s="99" t="n">
        <f aca="false">TradeSum!D20+TradeSum!D64+(NYMEX!D19*2)</f>
        <v>-300</v>
      </c>
      <c r="E19" s="97" t="n">
        <f aca="false">TradeSum!E20+TradeSum!E64</f>
        <v>-574084.45344794</v>
      </c>
      <c r="F19" s="99" t="n">
        <f aca="false">C19+D19</f>
        <v>-1849.59237034108</v>
      </c>
      <c r="G19" s="100" t="n">
        <f aca="false">TradeSum!CE20*NYMEX!E19</f>
        <v>0</v>
      </c>
      <c r="H19" s="101" t="n">
        <f aca="false">G19+E19</f>
        <v>-574084.45344794</v>
      </c>
      <c r="I19" s="101" t="n">
        <f aca="false">H19/TradeSum!CD20</f>
        <v>-1794.01391702481</v>
      </c>
      <c r="J19" s="122" t="n">
        <f aca="false">NYMEX!J19+TradeSum!J20+TradeSum!J64</f>
        <v>180363.435058594</v>
      </c>
      <c r="K19" s="123" t="n">
        <f aca="false">TradeSum!K108+NYMEX!K19</f>
        <v>34918.2349843838</v>
      </c>
      <c r="L19" s="123" t="n">
        <f aca="false">J19+K19</f>
        <v>215281.670042978</v>
      </c>
      <c r="N19" s="115" t="n">
        <v>0.599999999999994</v>
      </c>
      <c r="O19" s="124"/>
      <c r="P19" s="125" t="s">
        <v>32</v>
      </c>
      <c r="Q19" s="106" t="n">
        <f aca="false">+M134</f>
        <v>36.4045080563136</v>
      </c>
      <c r="R19" s="107" t="n">
        <v>36.54</v>
      </c>
      <c r="S19" s="117" t="n">
        <f aca="false">+Q19-R19</f>
        <v>-0.135491943686397</v>
      </c>
      <c r="T19" s="118" t="n">
        <v>0</v>
      </c>
      <c r="U19" s="118" t="n">
        <v>0</v>
      </c>
      <c r="V19" s="118" t="n">
        <v>0</v>
      </c>
      <c r="W19" s="106" t="n">
        <f aca="false">+J134</f>
        <v>36.1397976436212</v>
      </c>
      <c r="X19" s="118" t="n">
        <f aca="false">+W19+$V19</f>
        <v>36.1397976436212</v>
      </c>
      <c r="Y19" s="108" t="n">
        <f aca="false">+W19-Q19</f>
        <v>-0.264710412692409</v>
      </c>
      <c r="Z19" s="118" t="n">
        <f aca="false">+Y19+$V19</f>
        <v>-0.264710412692409</v>
      </c>
      <c r="AA19" s="126" t="n">
        <v>27.15</v>
      </c>
      <c r="AB19" s="108" t="n">
        <f aca="false">+R19</f>
        <v>36.54</v>
      </c>
      <c r="AC19" s="118" t="n">
        <f aca="false">+AB19+$AA19</f>
        <v>63.69</v>
      </c>
      <c r="AD19" s="108" t="n">
        <f aca="false">+AB19+4</f>
        <v>40.54</v>
      </c>
      <c r="AE19" s="118" t="n">
        <f aca="false">+AD19+$AA19</f>
        <v>67.69</v>
      </c>
      <c r="AF19" s="126" t="n">
        <v>24.59</v>
      </c>
      <c r="AG19" s="108" t="n">
        <f aca="false">+W19</f>
        <v>36.1397976436212</v>
      </c>
      <c r="AH19" s="108" t="n">
        <f aca="false">+AG19+$AF19</f>
        <v>60.7297976436212</v>
      </c>
      <c r="AI19" s="110" t="n">
        <f aca="false">+AG19+4</f>
        <v>40.1397976436212</v>
      </c>
      <c r="AJ19" s="108" t="n">
        <f aca="false">+AI19+$AF19</f>
        <v>64.7297976436212</v>
      </c>
      <c r="AK19" s="63"/>
      <c r="AL19" s="127"/>
      <c r="AM19" s="128"/>
      <c r="AN19" s="67"/>
      <c r="AO19" s="67"/>
      <c r="AP19" s="67"/>
      <c r="AQ19" s="67"/>
      <c r="AR19" s="66"/>
      <c r="AS19" s="38"/>
      <c r="AT19" s="67"/>
      <c r="AU19" s="121"/>
      <c r="AV19" s="67"/>
      <c r="AW19" s="67"/>
      <c r="AX19" s="129"/>
      <c r="AY19" s="129"/>
      <c r="AZ19" s="129"/>
      <c r="BA19" s="129"/>
      <c r="BB19" s="129"/>
      <c r="BC19" s="35"/>
      <c r="BD19" s="35"/>
      <c r="BE19" s="35"/>
      <c r="BF19" s="35"/>
      <c r="BG19" s="35"/>
      <c r="BH19" s="35"/>
      <c r="BI19" s="35"/>
      <c r="BJ19" s="35"/>
    </row>
    <row r="20" customFormat="false" ht="20.1" hidden="false" customHeight="true" outlineLevel="0" collapsed="false">
      <c r="A20" s="95" t="n">
        <f aca="false">TradeSum!A21</f>
        <v>37438</v>
      </c>
      <c r="B20" s="96" t="n">
        <f aca="false">TradeSum!B21+TradeSum!B65</f>
        <v>-453843.109375</v>
      </c>
      <c r="C20" s="97" t="n">
        <f aca="false">TradeSum!C21+TradeSum!C65</f>
        <v>-1333.42364677414</v>
      </c>
      <c r="D20" s="99" t="n">
        <f aca="false">TradeSum!D21+TradeSum!D65+(NYMEX!D20*2)</f>
        <v>-650</v>
      </c>
      <c r="E20" s="97" t="n">
        <f aca="false">TradeSum!E21+TradeSum!E65</f>
        <v>-675076.639924289</v>
      </c>
      <c r="F20" s="99" t="n">
        <f aca="false">C20+D20</f>
        <v>-1983.42364677414</v>
      </c>
      <c r="G20" s="100" t="n">
        <f aca="false">TradeSum!CE21*NYMEX!E20</f>
        <v>0</v>
      </c>
      <c r="H20" s="101" t="n">
        <f aca="false">G20+E20</f>
        <v>-675076.639924289</v>
      </c>
      <c r="I20" s="101" t="n">
        <f aca="false">H20/TradeSum!CD21</f>
        <v>-1917.83136342128</v>
      </c>
      <c r="J20" s="113" t="n">
        <f aca="false">NYMEX!J20+TradeSum!J21+TradeSum!J65</f>
        <v>226921.5546875</v>
      </c>
      <c r="K20" s="114" t="n">
        <f aca="false">TradeSum!K109+NYMEX!K20</f>
        <v>116998.501732797</v>
      </c>
      <c r="L20" s="114" t="n">
        <f aca="false">J20+K20</f>
        <v>343920.056420297</v>
      </c>
      <c r="N20" s="104"/>
      <c r="O20" s="124"/>
      <c r="P20" s="64"/>
      <c r="Q20" s="130"/>
      <c r="R20" s="130" t="n">
        <f aca="false">+R$11-R12</f>
        <v>0.730000000000004</v>
      </c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64"/>
      <c r="AL20" s="65"/>
      <c r="AM20" s="131"/>
      <c r="AN20" s="66"/>
      <c r="AO20" s="66"/>
      <c r="AP20" s="66"/>
      <c r="AQ20" s="66"/>
      <c r="AR20" s="66"/>
      <c r="AS20" s="132"/>
      <c r="AT20" s="66"/>
      <c r="AU20" s="121"/>
      <c r="AV20" s="67"/>
      <c r="AW20" s="67"/>
      <c r="AX20" s="129"/>
      <c r="AY20" s="129"/>
      <c r="AZ20" s="129"/>
      <c r="BA20" s="129"/>
      <c r="BB20" s="129"/>
      <c r="BC20" s="35"/>
      <c r="BD20" s="35"/>
      <c r="BE20" s="35"/>
      <c r="BF20" s="35"/>
      <c r="BG20" s="35"/>
      <c r="BH20" s="35"/>
      <c r="BI20" s="35"/>
      <c r="BJ20" s="35"/>
    </row>
    <row r="21" customFormat="false" ht="20.1" hidden="false" customHeight="true" outlineLevel="0" collapsed="false">
      <c r="A21" s="95" t="n">
        <f aca="false">TradeSum!A22</f>
        <v>37469</v>
      </c>
      <c r="B21" s="96" t="n">
        <f aca="false">TradeSum!B22+TradeSum!B66</f>
        <v>-463027.203125</v>
      </c>
      <c r="C21" s="97" t="n">
        <f aca="false">TradeSum!C22+TradeSum!C66</f>
        <v>-1364.85898139555</v>
      </c>
      <c r="D21" s="99" t="n">
        <f aca="false">TradeSum!D22+TradeSum!D66+(NYMEX!D21*2)</f>
        <v>-650</v>
      </c>
      <c r="E21" s="97" t="n">
        <f aca="false">TradeSum!E22+TradeSum!E66</f>
        <v>-683539.128630678</v>
      </c>
      <c r="F21" s="99" t="n">
        <f aca="false">C21+D21</f>
        <v>-2014.85898139555</v>
      </c>
      <c r="G21" s="100" t="n">
        <f aca="false">TradeSum!CE22*NYMEX!E21</f>
        <v>0</v>
      </c>
      <c r="H21" s="101" t="n">
        <f aca="false">G21+E21</f>
        <v>-683539.128630678</v>
      </c>
      <c r="I21" s="101" t="n">
        <f aca="false">H21/TradeSum!CD22</f>
        <v>-1941.87252451897</v>
      </c>
      <c r="J21" s="122" t="n">
        <f aca="false">NYMEX!J21+TradeSum!J22+TradeSum!J66</f>
        <v>231513.6015625</v>
      </c>
      <c r="K21" s="123" t="n">
        <f aca="false">TradeSum!K110+NYMEX!K21</f>
        <v>116616.883680887</v>
      </c>
      <c r="L21" s="123" t="n">
        <f aca="false">J21+K21</f>
        <v>348130.485243387</v>
      </c>
      <c r="N21" s="104"/>
      <c r="O21" s="124"/>
      <c r="P21" s="64"/>
      <c r="Q21" s="130"/>
      <c r="R21" s="130" t="n">
        <f aca="false">+R$11-R13</f>
        <v>0.43</v>
      </c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63"/>
      <c r="AL21" s="127"/>
      <c r="AM21" s="80"/>
      <c r="AN21" s="81"/>
      <c r="AO21" s="81"/>
      <c r="AP21" s="81"/>
      <c r="AQ21" s="67"/>
      <c r="AR21" s="67"/>
      <c r="AS21" s="35"/>
      <c r="AT21" s="81"/>
      <c r="AU21" s="121"/>
      <c r="AV21" s="67"/>
      <c r="AW21" s="67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133"/>
      <c r="BL21" s="133"/>
    </row>
    <row r="22" customFormat="false" ht="20.1" hidden="false" customHeight="true" outlineLevel="0" collapsed="false">
      <c r="A22" s="95" t="n">
        <f aca="false">TradeSum!A23</f>
        <v>37500</v>
      </c>
      <c r="B22" s="96" t="n">
        <f aca="false">TradeSum!B23+TradeSum!B67</f>
        <v>-153614.6484375</v>
      </c>
      <c r="C22" s="97" t="n">
        <f aca="false">TradeSum!C23+TradeSum!C67</f>
        <v>-499.691694115878</v>
      </c>
      <c r="D22" s="99" t="n">
        <f aca="false">TradeSum!D23+TradeSum!D67+(NYMEX!D22*2)</f>
        <v>-50</v>
      </c>
      <c r="E22" s="97" t="n">
        <f aca="false">TradeSum!E23+TradeSum!E67</f>
        <v>-168985.591185437</v>
      </c>
      <c r="F22" s="99" t="n">
        <f aca="false">C22+D22</f>
        <v>-549.691694115878</v>
      </c>
      <c r="G22" s="100" t="n">
        <f aca="false">TradeSum!CE23*NYMEX!E22</f>
        <v>0</v>
      </c>
      <c r="H22" s="101" t="n">
        <f aca="false">G22+E22</f>
        <v>-168985.591185437</v>
      </c>
      <c r="I22" s="101" t="n">
        <f aca="false">H22/TradeSum!CD23</f>
        <v>-528.079972454492</v>
      </c>
      <c r="J22" s="113" t="n">
        <f aca="false">NYMEX!J22+TradeSum!J23+TradeSum!J67</f>
        <v>0</v>
      </c>
      <c r="K22" s="114" t="n">
        <f aca="false">TradeSum!K111+NYMEX!K22</f>
        <v>0</v>
      </c>
      <c r="L22" s="114" t="n">
        <f aca="false">J22+K22</f>
        <v>0</v>
      </c>
      <c r="N22" s="104"/>
      <c r="O22" s="124"/>
      <c r="P22" s="64"/>
      <c r="Q22" s="130"/>
      <c r="R22" s="130" t="n">
        <f aca="false">+R$11-R14</f>
        <v>-0.0700000000000003</v>
      </c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63"/>
      <c r="AL22" s="127"/>
      <c r="AM22" s="80"/>
      <c r="AN22" s="81"/>
      <c r="AO22" s="81"/>
      <c r="AP22" s="81"/>
      <c r="AQ22" s="67"/>
      <c r="AR22" s="67"/>
      <c r="AS22" s="35"/>
      <c r="AT22" s="81"/>
      <c r="AU22" s="121"/>
      <c r="AV22" s="67"/>
      <c r="AW22" s="67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67"/>
      <c r="BI22" s="58"/>
      <c r="BJ22" s="58"/>
      <c r="BK22" s="133"/>
      <c r="BL22" s="133"/>
    </row>
    <row r="23" customFormat="false" ht="20.1" hidden="false" customHeight="true" outlineLevel="0" collapsed="false">
      <c r="A23" s="95" t="n">
        <f aca="false">TradeSum!A24</f>
        <v>37530</v>
      </c>
      <c r="B23" s="96" t="n">
        <f aca="false">TradeSum!B24+TradeSum!B68</f>
        <v>51708.328125</v>
      </c>
      <c r="C23" s="97" t="n">
        <f aca="false">TradeSum!C24+TradeSum!C68</f>
        <v>146.761976669126</v>
      </c>
      <c r="D23" s="99" t="n">
        <f aca="false">TradeSum!D24+TradeSum!D68+(NYMEX!D23*2)</f>
        <v>-50</v>
      </c>
      <c r="E23" s="97" t="n">
        <f aca="false">TradeSum!E24+TradeSum!E68</f>
        <v>34091.9368434979</v>
      </c>
      <c r="F23" s="99" t="n">
        <f aca="false">C23+D23</f>
        <v>96.7619766691259</v>
      </c>
      <c r="G23" s="100" t="n">
        <f aca="false">TradeSum!CE24*NYMEX!E23</f>
        <v>0</v>
      </c>
      <c r="H23" s="101" t="n">
        <f aca="false">G23+E23</f>
        <v>34091.9368434979</v>
      </c>
      <c r="I23" s="101" t="n">
        <f aca="false">H23/TradeSum!CD24</f>
        <v>92.6411327268966</v>
      </c>
      <c r="J23" s="122" t="n">
        <f aca="false">NYMEX!J23+TradeSum!J24+TradeSum!J68</f>
        <v>-0.0169513109140098</v>
      </c>
      <c r="K23" s="123" t="n">
        <f aca="false">TradeSum!K112+NYMEX!K23</f>
        <v>0.00577510309507021</v>
      </c>
      <c r="L23" s="123" t="n">
        <f aca="false">J23+K23</f>
        <v>-0.0111762078189396</v>
      </c>
      <c r="N23" s="104"/>
      <c r="O23" s="134"/>
      <c r="P23" s="135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36"/>
      <c r="AL23" s="137"/>
      <c r="AM23" s="80"/>
      <c r="AN23" s="81"/>
      <c r="AO23" s="81"/>
      <c r="AP23" s="81"/>
      <c r="AQ23" s="67"/>
      <c r="AR23" s="67"/>
      <c r="AS23" s="35"/>
      <c r="AT23" s="81"/>
      <c r="AU23" s="121"/>
      <c r="AV23" s="67"/>
      <c r="AW23" s="67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67"/>
      <c r="BI23" s="58"/>
      <c r="BJ23" s="58"/>
      <c r="BK23" s="133"/>
      <c r="BL23" s="133"/>
    </row>
    <row r="24" customFormat="false" ht="20.1" hidden="false" customHeight="true" outlineLevel="0" collapsed="false">
      <c r="A24" s="95" t="n">
        <f aca="false">TradeSum!A25</f>
        <v>37561</v>
      </c>
      <c r="B24" s="96" t="n">
        <f aca="false">TradeSum!B25+TradeSum!B69</f>
        <v>44804.59375</v>
      </c>
      <c r="C24" s="97" t="n">
        <f aca="false">TradeSum!C25+TradeSum!C69</f>
        <v>146.751853679166</v>
      </c>
      <c r="D24" s="99" t="n">
        <f aca="false">TradeSum!D25+TradeSum!D69+(NYMEX!D24*2)</f>
        <v>-50</v>
      </c>
      <c r="E24" s="97" t="n">
        <f aca="false">TradeSum!E25+TradeSum!E69</f>
        <v>29539.1668995994</v>
      </c>
      <c r="F24" s="99" t="n">
        <f aca="false">C24+D24</f>
        <v>96.7518536791658</v>
      </c>
      <c r="G24" s="100" t="n">
        <f aca="false">TradeSum!CE25*NYMEX!E24</f>
        <v>0</v>
      </c>
      <c r="H24" s="101" t="n">
        <f aca="false">G24+E24</f>
        <v>29539.1668995994</v>
      </c>
      <c r="I24" s="101" t="n">
        <f aca="false">H24/TradeSum!CD25</f>
        <v>92.309896561248</v>
      </c>
      <c r="J24" s="113" t="n">
        <f aca="false">NYMEX!J24+TradeSum!J25+TradeSum!J69</f>
        <v>-0.0146880904212594</v>
      </c>
      <c r="K24" s="114" t="n">
        <f aca="false">TradeSum!K113+NYMEX!K24</f>
        <v>0.00500439689619562</v>
      </c>
      <c r="L24" s="114" t="n">
        <f aca="false">J24+K24</f>
        <v>-0.00968369352506379</v>
      </c>
      <c r="N24" s="104"/>
      <c r="O24" s="128"/>
      <c r="P24" s="138"/>
      <c r="Q24" s="139"/>
      <c r="R24" s="139"/>
      <c r="S24" s="139"/>
      <c r="T24" s="139"/>
      <c r="U24" s="139"/>
      <c r="V24" s="139"/>
      <c r="W24" s="139"/>
      <c r="X24" s="139"/>
      <c r="Y24" s="58"/>
      <c r="Z24" s="58"/>
      <c r="AA24" s="80"/>
      <c r="AB24" s="81"/>
      <c r="AC24" s="81"/>
      <c r="AD24" s="81"/>
      <c r="AE24" s="67"/>
      <c r="AF24" s="67"/>
      <c r="AG24" s="35"/>
      <c r="AH24" s="81"/>
      <c r="AI24" s="121"/>
      <c r="AJ24" s="67"/>
      <c r="AK24" s="67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67"/>
      <c r="AW24" s="58"/>
      <c r="AX24" s="58"/>
      <c r="AY24" s="133"/>
      <c r="AZ24" s="133"/>
    </row>
    <row r="25" customFormat="false" ht="20.1" hidden="false" customHeight="true" outlineLevel="0" collapsed="false">
      <c r="A25" s="95" t="n">
        <f aca="false">TradeSum!A26</f>
        <v>37591</v>
      </c>
      <c r="B25" s="96" t="n">
        <f aca="false">TradeSum!B26+TradeSum!B70</f>
        <v>46866.4375</v>
      </c>
      <c r="C25" s="97" t="n">
        <f aca="false">TradeSum!C26+TradeSum!C70</f>
        <v>146.726433416974</v>
      </c>
      <c r="D25" s="99" t="n">
        <f aca="false">TradeSum!D26+TradeSum!D70+(NYMEX!D25*2)</f>
        <v>-50</v>
      </c>
      <c r="E25" s="97" t="n">
        <f aca="false">TradeSum!E26+TradeSum!E70</f>
        <v>30895.7509615993</v>
      </c>
      <c r="F25" s="99" t="n">
        <f aca="false">C25+D25</f>
        <v>96.7264334169737</v>
      </c>
      <c r="G25" s="100" t="n">
        <f aca="false">TradeSum!CE26*NYMEX!E25</f>
        <v>0</v>
      </c>
      <c r="H25" s="101" t="n">
        <f aca="false">G25+E25</f>
        <v>30895.7509615993</v>
      </c>
      <c r="I25" s="101" t="n">
        <f aca="false">H25/TradeSum!CD26</f>
        <v>91.9516397666647</v>
      </c>
      <c r="J25" s="122" t="n">
        <f aca="false">NYMEX!J25+TradeSum!J26+TradeSum!J70</f>
        <v>-0.0153640154749155</v>
      </c>
      <c r="K25" s="123" t="n">
        <f aca="false">TradeSum!K114+NYMEX!K25</f>
        <v>0.00523559903867266</v>
      </c>
      <c r="L25" s="123" t="n">
        <f aca="false">J25+K25</f>
        <v>-0.0101284164362428</v>
      </c>
      <c r="N25" s="121"/>
      <c r="O25" s="128"/>
      <c r="P25" s="138"/>
      <c r="Q25" s="139"/>
      <c r="R25" s="139"/>
      <c r="S25" s="139"/>
      <c r="T25" s="139"/>
      <c r="U25" s="139"/>
      <c r="V25" s="139"/>
      <c r="W25" s="139"/>
      <c r="X25" s="139"/>
      <c r="Y25" s="58"/>
      <c r="Z25" s="140"/>
      <c r="AA25" s="80"/>
      <c r="AB25" s="81"/>
      <c r="AC25" s="81"/>
      <c r="AD25" s="81"/>
      <c r="AE25" s="120"/>
      <c r="AF25" s="67"/>
      <c r="AG25" s="35"/>
      <c r="AH25" s="81"/>
      <c r="AI25" s="121"/>
      <c r="AJ25" s="67"/>
      <c r="AK25" s="67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67"/>
      <c r="AW25" s="58"/>
      <c r="AX25" s="58"/>
      <c r="AY25" s="133"/>
      <c r="AZ25" s="133"/>
    </row>
    <row r="26" customFormat="false" ht="20.1" hidden="false" customHeight="true" outlineLevel="0" collapsed="false">
      <c r="A26" s="141" t="n">
        <f aca="false">TradeSum!A27</f>
        <v>37622</v>
      </c>
      <c r="B26" s="96" t="n">
        <f aca="false">TradeSum!B27+TradeSum!B71</f>
        <v>-649314.859375</v>
      </c>
      <c r="C26" s="97" t="n">
        <f aca="false">TradeSum!C27+TradeSum!C71</f>
        <v>-1947.76192142196</v>
      </c>
      <c r="D26" s="142" t="n">
        <f aca="false">TradeSum!D27+TradeSum!D71+(NYMEX!D26*2)</f>
        <v>0</v>
      </c>
      <c r="E26" s="97" t="n">
        <f aca="false">TradeSum!E27+TradeSum!E71</f>
        <v>-649314.859375</v>
      </c>
      <c r="F26" s="99" t="n">
        <f aca="false">C26+D26</f>
        <v>-1947.76192142196</v>
      </c>
      <c r="G26" s="100" t="n">
        <f aca="false">TradeSum!CE27*NYMEX!E26</f>
        <v>0</v>
      </c>
      <c r="H26" s="101" t="n">
        <f aca="false">G26+E26</f>
        <v>-649314.859375</v>
      </c>
      <c r="I26" s="143" t="n">
        <f aca="false">H26/TradeSum!CD27</f>
        <v>-1844.6444868608</v>
      </c>
      <c r="J26" s="144" t="n">
        <f aca="false">NYMEX!J26+TradeSum!J27+TradeSum!J71</f>
        <v>-0.117949505537174</v>
      </c>
      <c r="K26" s="145" t="n">
        <f aca="false">TradeSum!K115+NYMEX!K26</f>
        <v>0</v>
      </c>
      <c r="L26" s="145" t="n">
        <f aca="false">J26+K26</f>
        <v>-0.117949505537174</v>
      </c>
      <c r="N26" s="121"/>
      <c r="O26" s="128"/>
      <c r="P26" s="128"/>
      <c r="Q26" s="128"/>
      <c r="R26" s="128"/>
      <c r="S26" s="128"/>
      <c r="T26" s="146"/>
      <c r="U26" s="146"/>
      <c r="V26" s="146"/>
      <c r="W26" s="128"/>
      <c r="X26" s="128"/>
      <c r="Y26" s="128"/>
      <c r="Z26" s="147"/>
      <c r="AA26" s="80"/>
      <c r="AB26" s="81"/>
      <c r="AC26" s="81"/>
      <c r="AD26" s="81"/>
      <c r="AE26" s="120"/>
      <c r="AF26" s="67"/>
      <c r="AG26" s="35"/>
      <c r="AH26" s="81"/>
      <c r="AI26" s="121"/>
      <c r="AJ26" s="67"/>
      <c r="AK26" s="67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67"/>
      <c r="AW26" s="58"/>
      <c r="AX26" s="58"/>
      <c r="AY26" s="133"/>
      <c r="AZ26" s="133"/>
    </row>
    <row r="27" customFormat="false" ht="18" hidden="false" customHeight="false" outlineLevel="0" collapsed="false">
      <c r="A27" s="95" t="n">
        <f aca="false">TradeSum!A28</f>
        <v>37653</v>
      </c>
      <c r="B27" s="148" t="n">
        <f aca="false">TradeSum!B28+TradeSum!B72</f>
        <v>-588170.171875</v>
      </c>
      <c r="C27" s="149" t="n">
        <f aca="false">TradeSum!C28+TradeSum!C72</f>
        <v>-1947.80314863934</v>
      </c>
      <c r="D27" s="99" t="n">
        <f aca="false">TradeSum!D28+TradeSum!D72+(NYMEX!D27*2)</f>
        <v>0</v>
      </c>
      <c r="E27" s="149" t="n">
        <f aca="false">TradeSum!E28+TradeSum!E72</f>
        <v>-588170.171875</v>
      </c>
      <c r="F27" s="98" t="n">
        <f aca="false">C27+D27</f>
        <v>-1947.80314863934</v>
      </c>
      <c r="G27" s="150" t="n">
        <f aca="false">TradeSum!CE28*NYMEX!E27</f>
        <v>0</v>
      </c>
      <c r="H27" s="151" t="n">
        <f aca="false">G27+E27</f>
        <v>-588170.171875</v>
      </c>
      <c r="I27" s="101" t="n">
        <f aca="false">H27/TradeSum!CD28</f>
        <v>-1838.03178710938</v>
      </c>
      <c r="J27" s="102" t="n">
        <f aca="false">NYMEX!J27+TradeSum!J28+TradeSum!J72</f>
        <v>-0.106842435442102</v>
      </c>
      <c r="K27" s="103" t="n">
        <f aca="false">TradeSum!K116+NYMEX!K27</f>
        <v>0</v>
      </c>
      <c r="L27" s="152" t="n">
        <f aca="false">J27+K27</f>
        <v>-0.106842435442102</v>
      </c>
      <c r="N27" s="121"/>
      <c r="O27" s="153"/>
      <c r="P27" s="154"/>
      <c r="Q27" s="154"/>
      <c r="R27" s="155"/>
      <c r="S27" s="155"/>
      <c r="T27" s="155"/>
      <c r="U27" s="155"/>
      <c r="V27" s="156"/>
      <c r="W27" s="156"/>
      <c r="X27" s="156"/>
      <c r="Y27" s="155"/>
      <c r="Z27" s="155"/>
      <c r="AA27" s="157"/>
      <c r="AB27" s="157"/>
      <c r="AC27" s="157"/>
      <c r="AD27" s="157"/>
      <c r="AE27" s="157"/>
      <c r="AF27" s="157"/>
      <c r="AG27" s="157"/>
      <c r="AH27" s="157"/>
      <c r="AI27" s="158"/>
      <c r="AJ27" s="159"/>
      <c r="AK27" s="157"/>
      <c r="AL27" s="159"/>
      <c r="AM27" s="57"/>
      <c r="AN27" s="158"/>
      <c r="AO27" s="159"/>
      <c r="AP27" s="157"/>
      <c r="AQ27" s="159"/>
      <c r="AR27" s="57"/>
      <c r="AS27" s="58"/>
      <c r="AT27" s="58"/>
      <c r="AU27" s="58"/>
      <c r="AV27" s="67"/>
      <c r="AW27" s="58"/>
      <c r="AX27" s="58"/>
      <c r="AY27" s="133"/>
      <c r="AZ27" s="133"/>
    </row>
    <row r="28" customFormat="false" ht="18" hidden="false" customHeight="false" outlineLevel="0" collapsed="false">
      <c r="A28" s="95" t="n">
        <f aca="false">TradeSum!A29</f>
        <v>37681</v>
      </c>
      <c r="B28" s="96" t="n">
        <f aca="false">TradeSum!B29+TradeSum!B73</f>
        <v>-599322.609375</v>
      </c>
      <c r="C28" s="97" t="n">
        <f aca="false">TradeSum!C29+TradeSum!C73</f>
        <v>-1897.65919048302</v>
      </c>
      <c r="D28" s="99" t="n">
        <f aca="false">TradeSum!D29+TradeSum!D73+(NYMEX!D28*2)</f>
        <v>0</v>
      </c>
      <c r="E28" s="97" t="n">
        <f aca="false">TradeSum!E29+TradeSum!E73</f>
        <v>-599322.609375</v>
      </c>
      <c r="F28" s="99" t="n">
        <f aca="false">C28+D28</f>
        <v>-1897.65919048302</v>
      </c>
      <c r="G28" s="100" t="n">
        <f aca="false">TradeSum!CE29*NYMEX!E28</f>
        <v>0</v>
      </c>
      <c r="H28" s="101" t="n">
        <f aca="false">G28+E28</f>
        <v>-599322.609375</v>
      </c>
      <c r="I28" s="101" t="n">
        <f aca="false">H28/TradeSum!CD29</f>
        <v>-1783.6982421875</v>
      </c>
      <c r="J28" s="113" t="n">
        <f aca="false">NYMEX!J28+TradeSum!J29+TradeSum!J73</f>
        <v>149830.918184949</v>
      </c>
      <c r="K28" s="114" t="n">
        <f aca="false">TradeSum!K117+NYMEX!K28</f>
        <v>0</v>
      </c>
      <c r="L28" s="160" t="n">
        <f aca="false">J28+K28</f>
        <v>149830.918184949</v>
      </c>
      <c r="N28" s="121"/>
      <c r="O28" s="161"/>
      <c r="P28" s="162"/>
      <c r="Q28" s="162"/>
      <c r="R28" s="63"/>
      <c r="S28" s="63"/>
      <c r="T28" s="63"/>
      <c r="U28" s="63"/>
      <c r="V28" s="63"/>
      <c r="W28" s="63"/>
      <c r="X28" s="63"/>
      <c r="Y28" s="63"/>
      <c r="Z28" s="63"/>
      <c r="AA28" s="64"/>
      <c r="AB28" s="64"/>
      <c r="AC28" s="64"/>
      <c r="AD28" s="64"/>
      <c r="AE28" s="64"/>
      <c r="AF28" s="64"/>
      <c r="AG28" s="64"/>
      <c r="AH28" s="64"/>
      <c r="AI28" s="62"/>
      <c r="AJ28" s="63"/>
      <c r="AK28" s="63"/>
      <c r="AL28" s="64"/>
      <c r="AM28" s="127"/>
      <c r="AN28" s="62"/>
      <c r="AO28" s="63"/>
      <c r="AP28" s="63"/>
      <c r="AQ28" s="64"/>
      <c r="AR28" s="127"/>
      <c r="AS28" s="58"/>
      <c r="AT28" s="58"/>
      <c r="AU28" s="58"/>
      <c r="AV28" s="67"/>
      <c r="AW28" s="58"/>
      <c r="AX28" s="58"/>
      <c r="AY28" s="133"/>
      <c r="AZ28" s="133"/>
    </row>
    <row r="29" customFormat="false" ht="18" hidden="false" customHeight="false" outlineLevel="0" collapsed="false">
      <c r="A29" s="95" t="n">
        <f aca="false">TradeSum!A30</f>
        <v>37712</v>
      </c>
      <c r="B29" s="96" t="n">
        <f aca="false">TradeSum!B30+TradeSum!B74</f>
        <v>-625377.28125</v>
      </c>
      <c r="C29" s="97" t="n">
        <f aca="false">TradeSum!C30+TradeSum!C74</f>
        <v>-1897.64711015005</v>
      </c>
      <c r="D29" s="99" t="n">
        <f aca="false">TradeSum!D30+TradeSum!D74</f>
        <v>0</v>
      </c>
      <c r="E29" s="97" t="n">
        <f aca="false">TradeSum!E30+TradeSum!E74</f>
        <v>-625377.28125</v>
      </c>
      <c r="F29" s="99" t="n">
        <f aca="false">C29+D29</f>
        <v>-1897.64711015005</v>
      </c>
      <c r="G29" s="100" t="n">
        <f aca="false">TradeSum!CE30*NYMEX!E29</f>
        <v>0</v>
      </c>
      <c r="H29" s="101" t="n">
        <f aca="false">G29+E29</f>
        <v>-625377.28125</v>
      </c>
      <c r="I29" s="101" t="n">
        <f aca="false">H29/TradeSum!CD30</f>
        <v>-1776.64000355114</v>
      </c>
      <c r="J29" s="122" t="n">
        <f aca="false">NYMEX!J29+TradeSum!J30+TradeSum!J74</f>
        <v>156344.597710755</v>
      </c>
      <c r="K29" s="123" t="n">
        <f aca="false">TradeSum!K118+NYMEX!K29</f>
        <v>0</v>
      </c>
      <c r="L29" s="163" t="n">
        <f aca="false">J29+K29</f>
        <v>156344.597710755</v>
      </c>
      <c r="N29" s="121"/>
      <c r="O29" s="164"/>
      <c r="P29" s="162"/>
      <c r="Q29" s="162"/>
      <c r="R29" s="165"/>
      <c r="S29" s="64"/>
      <c r="T29" s="166" t="s">
        <v>95</v>
      </c>
      <c r="U29" s="166" t="s">
        <v>95</v>
      </c>
      <c r="V29" s="166" t="s">
        <v>95</v>
      </c>
      <c r="W29" s="167"/>
      <c r="X29" s="167"/>
      <c r="Y29" s="167"/>
      <c r="Z29" s="167"/>
      <c r="AA29" s="64"/>
      <c r="AB29" s="167"/>
      <c r="AC29" s="167"/>
      <c r="AD29" s="167"/>
      <c r="AE29" s="167"/>
      <c r="AF29" s="64"/>
      <c r="AG29" s="167"/>
      <c r="AH29" s="167"/>
      <c r="AI29" s="168"/>
      <c r="AJ29" s="78"/>
      <c r="AK29" s="64"/>
      <c r="AL29" s="169"/>
      <c r="AM29" s="33"/>
      <c r="AN29" s="168"/>
      <c r="AO29" s="78"/>
      <c r="AP29" s="64"/>
      <c r="AQ29" s="169"/>
      <c r="AR29" s="33"/>
      <c r="AS29" s="35"/>
      <c r="AT29" s="35"/>
      <c r="AU29" s="35"/>
      <c r="AV29" s="67"/>
      <c r="AW29" s="58"/>
      <c r="AX29" s="35"/>
    </row>
    <row r="30" customFormat="false" ht="18" hidden="false" customHeight="false" outlineLevel="0" collapsed="false">
      <c r="A30" s="95" t="n">
        <f aca="false">TradeSum!A31</f>
        <v>37742</v>
      </c>
      <c r="B30" s="96" t="n">
        <f aca="false">TradeSum!B31+TradeSum!B75</f>
        <v>-512334.921875</v>
      </c>
      <c r="C30" s="97" t="n">
        <f aca="false">TradeSum!C31+TradeSum!C75</f>
        <v>-1635.3290475805</v>
      </c>
      <c r="D30" s="99" t="n">
        <f aca="false">TradeSum!D31+TradeSum!D75</f>
        <v>0</v>
      </c>
      <c r="E30" s="97" t="n">
        <f aca="false">TradeSum!E31+TradeSum!E75</f>
        <v>-512334.921875</v>
      </c>
      <c r="F30" s="99" t="n">
        <f aca="false">C30+D30</f>
        <v>-1635.3290475805</v>
      </c>
      <c r="G30" s="100" t="n">
        <f aca="false">TradeSum!CE31*NYMEX!E30</f>
        <v>0</v>
      </c>
      <c r="H30" s="101" t="n">
        <f aca="false">G30+E30</f>
        <v>-512334.921875</v>
      </c>
      <c r="I30" s="101" t="n">
        <f aca="false">H30/TradeSum!CD31</f>
        <v>-1524.80631510417</v>
      </c>
      <c r="J30" s="113" t="n">
        <f aca="false">NYMEX!J30+TradeSum!J31+TradeSum!J75</f>
        <v>0</v>
      </c>
      <c r="K30" s="114" t="n">
        <f aca="false">TradeSum!K119+NYMEX!K30</f>
        <v>0</v>
      </c>
      <c r="L30" s="160" t="n">
        <f aca="false">J30+K30</f>
        <v>0</v>
      </c>
      <c r="N30" s="121"/>
      <c r="O30" s="170" t="s">
        <v>96</v>
      </c>
      <c r="P30" s="171" t="s">
        <v>97</v>
      </c>
      <c r="Q30" s="166" t="s">
        <v>98</v>
      </c>
      <c r="R30" s="166" t="s">
        <v>99</v>
      </c>
      <c r="S30" s="172" t="s">
        <v>100</v>
      </c>
      <c r="T30" s="171" t="s">
        <v>97</v>
      </c>
      <c r="U30" s="166" t="s">
        <v>98</v>
      </c>
      <c r="V30" s="166" t="s">
        <v>99</v>
      </c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8"/>
      <c r="AJ30" s="91"/>
      <c r="AK30" s="63"/>
      <c r="AL30" s="173"/>
      <c r="AM30" s="33"/>
      <c r="AN30" s="168"/>
      <c r="AO30" s="91"/>
      <c r="AP30" s="63"/>
      <c r="AQ30" s="174" t="s">
        <v>101</v>
      </c>
      <c r="AR30" s="33"/>
      <c r="AS30" s="175" t="n">
        <v>48</v>
      </c>
      <c r="AT30" s="175"/>
      <c r="AU30" s="175"/>
      <c r="AV30" s="67"/>
      <c r="AW30" s="58"/>
      <c r="AX30" s="35"/>
    </row>
    <row r="31" customFormat="false" ht="18" hidden="false" customHeight="false" outlineLevel="0" collapsed="false">
      <c r="A31" s="95" t="n">
        <f aca="false">TradeSum!A32</f>
        <v>37773</v>
      </c>
      <c r="B31" s="96" t="n">
        <f aca="false">TradeSum!B32+TradeSum!B76</f>
        <v>-249273.98046875</v>
      </c>
      <c r="C31" s="97" t="n">
        <f aca="false">TradeSum!C32+TradeSum!C76</f>
        <v>-798.914541525032</v>
      </c>
      <c r="D31" s="99" t="n">
        <f aca="false">TradeSum!D32+TradeSum!D76</f>
        <v>0</v>
      </c>
      <c r="E31" s="97" t="n">
        <f aca="false">TradeSum!E32+TradeSum!E76</f>
        <v>-249273.98046875</v>
      </c>
      <c r="F31" s="99" t="n">
        <f aca="false">C31+D31</f>
        <v>-798.914541525032</v>
      </c>
      <c r="G31" s="100" t="n">
        <f aca="false">TradeSum!CE32*NYMEX!E31</f>
        <v>0</v>
      </c>
      <c r="H31" s="101" t="n">
        <f aca="false">G31+E31</f>
        <v>-249273.98046875</v>
      </c>
      <c r="I31" s="101" t="n">
        <f aca="false">H31/TradeSum!CD32</f>
        <v>-741.886846633185</v>
      </c>
      <c r="J31" s="122" t="n">
        <f aca="false">NYMEX!J31+TradeSum!J32+TradeSum!J76</f>
        <v>124636.990234375</v>
      </c>
      <c r="K31" s="123" t="n">
        <f aca="false">TradeSum!K120+NYMEX!K31</f>
        <v>0</v>
      </c>
      <c r="L31" s="163" t="n">
        <f aca="false">J31+K31</f>
        <v>124636.990234375</v>
      </c>
      <c r="N31" s="176"/>
      <c r="O31" s="177" t="s">
        <v>102</v>
      </c>
      <c r="P31" s="178" t="n">
        <v>0</v>
      </c>
      <c r="Q31" s="178" t="n">
        <f aca="false">30.6+U31</f>
        <v>30.6</v>
      </c>
      <c r="R31" s="178" t="n">
        <f aca="false">7.4+V31</f>
        <v>7.4</v>
      </c>
      <c r="S31" s="179" t="n">
        <f aca="false">SUM(P31:R31)</f>
        <v>38</v>
      </c>
      <c r="T31" s="178"/>
      <c r="U31" s="178"/>
      <c r="V31" s="178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8"/>
      <c r="AJ31" s="91"/>
      <c r="AK31" s="63"/>
      <c r="AL31" s="173"/>
      <c r="AM31" s="33"/>
      <c r="AN31" s="168"/>
      <c r="AO31" s="91"/>
      <c r="AP31" s="63"/>
      <c r="AQ31" s="173"/>
      <c r="AR31" s="33"/>
      <c r="AS31" s="175" t="n">
        <f aca="false">+AS30+AT$31</f>
        <v>48.1</v>
      </c>
      <c r="AT31" s="175" t="n">
        <v>0.1</v>
      </c>
      <c r="AU31" s="175"/>
      <c r="AV31" s="67"/>
      <c r="AW31" s="35"/>
      <c r="AX31" s="35"/>
    </row>
    <row r="32" customFormat="false" ht="18" hidden="false" customHeight="false" outlineLevel="0" collapsed="false">
      <c r="A32" s="95" t="n">
        <f aca="false">TradeSum!A33</f>
        <v>37803</v>
      </c>
      <c r="B32" s="96" t="n">
        <f aca="false">TradeSum!B33+TradeSum!B77</f>
        <v>-295234.9296875</v>
      </c>
      <c r="C32" s="97" t="n">
        <f aca="false">TradeSum!C33+TradeSum!C77</f>
        <v>-907.041935863315</v>
      </c>
      <c r="D32" s="99" t="n">
        <f aca="false">TradeSum!D33+TradeSum!D77</f>
        <v>0</v>
      </c>
      <c r="E32" s="97" t="n">
        <f aca="false">TradeSum!E33+TradeSum!E77</f>
        <v>-295234.9296875</v>
      </c>
      <c r="F32" s="99" t="n">
        <f aca="false">C32+D32</f>
        <v>-907.041935863315</v>
      </c>
      <c r="G32" s="100" t="n">
        <f aca="false">TradeSum!CE33*NYMEX!E32</f>
        <v>0</v>
      </c>
      <c r="H32" s="101" t="n">
        <f aca="false">G32+E32</f>
        <v>-295234.9296875</v>
      </c>
      <c r="I32" s="101" t="n">
        <f aca="false">H32/TradeSum!CD33</f>
        <v>-838.735595703125</v>
      </c>
      <c r="J32" s="113" t="n">
        <f aca="false">NYMEX!J32+TradeSum!J33+TradeSum!J77</f>
        <v>147617.46484375</v>
      </c>
      <c r="K32" s="180" t="n">
        <f aca="false">TradeSum!K121+NYMEX!K32</f>
        <v>0</v>
      </c>
      <c r="L32" s="160" t="n">
        <f aca="false">J32+K32</f>
        <v>147617.46484375</v>
      </c>
      <c r="N32" s="115"/>
      <c r="O32" s="181" t="s">
        <v>103</v>
      </c>
      <c r="P32" s="182" t="n">
        <v>0</v>
      </c>
      <c r="Q32" s="182" t="n">
        <f aca="false">30.5+U32</f>
        <v>30.5</v>
      </c>
      <c r="R32" s="182" t="n">
        <f aca="false">7.3+V32</f>
        <v>7.3</v>
      </c>
      <c r="S32" s="183" t="n">
        <f aca="false">SUM(P32:R32)</f>
        <v>37.8</v>
      </c>
      <c r="T32" s="182"/>
      <c r="U32" s="182"/>
      <c r="V32" s="182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/>
      <c r="AI32" s="184"/>
      <c r="AJ32" s="110"/>
      <c r="AK32" s="185" t="s">
        <v>104</v>
      </c>
      <c r="AL32" s="186" t="s">
        <v>92</v>
      </c>
      <c r="AM32" s="187" t="s">
        <v>105</v>
      </c>
      <c r="AN32" s="184"/>
      <c r="AO32" s="110"/>
      <c r="AP32" s="185" t="s">
        <v>104</v>
      </c>
      <c r="AQ32" s="186" t="s">
        <v>92</v>
      </c>
      <c r="AR32" s="187" t="s">
        <v>105</v>
      </c>
      <c r="AS32" s="175" t="n">
        <f aca="false">+AS31+AT$31</f>
        <v>48.2</v>
      </c>
      <c r="AT32" s="175"/>
      <c r="AU32" s="175"/>
      <c r="AV32" s="67"/>
      <c r="AW32" s="35"/>
      <c r="AX32" s="147" t="s">
        <v>106</v>
      </c>
    </row>
    <row r="33" customFormat="false" ht="18" hidden="false" customHeight="false" outlineLevel="0" collapsed="false">
      <c r="A33" s="95" t="n">
        <f aca="false">TradeSum!A34</f>
        <v>37834</v>
      </c>
      <c r="B33" s="96" t="n">
        <f aca="false">TradeSum!B34+TradeSum!B78</f>
        <v>-288535.107421875</v>
      </c>
      <c r="C33" s="97" t="n">
        <f aca="false">TradeSum!C34+TradeSum!C78</f>
        <v>-932.709785526134</v>
      </c>
      <c r="D33" s="99" t="n">
        <f aca="false">TradeSum!D34+TradeSum!D78</f>
        <v>0</v>
      </c>
      <c r="E33" s="97" t="n">
        <f aca="false">TradeSum!E34+TradeSum!E78</f>
        <v>-288535.107421875</v>
      </c>
      <c r="F33" s="99" t="n">
        <f aca="false">C33+D33</f>
        <v>-932.709785526134</v>
      </c>
      <c r="G33" s="100" t="n">
        <f aca="false">TradeSum!CE34*NYMEX!E33</f>
        <v>0</v>
      </c>
      <c r="H33" s="101" t="n">
        <f aca="false">G33+E33</f>
        <v>-288535.107421875</v>
      </c>
      <c r="I33" s="101" t="n">
        <f aca="false">H33/TradeSum!CD34</f>
        <v>-858.73543875558</v>
      </c>
      <c r="J33" s="188" t="n">
        <f aca="false">NYMEX!J33+TradeSum!J34+TradeSum!J78</f>
        <v>144267.553710938</v>
      </c>
      <c r="K33" s="189" t="n">
        <f aca="false">TradeSum!K122+NYMEX!K33</f>
        <v>0</v>
      </c>
      <c r="L33" s="189" t="n">
        <f aca="false">J33+K33</f>
        <v>144267.553710938</v>
      </c>
      <c r="N33" s="115"/>
      <c r="O33" s="190" t="s">
        <v>107</v>
      </c>
      <c r="P33" s="191" t="n">
        <v>0</v>
      </c>
      <c r="Q33" s="191" t="n">
        <f aca="false">30.5+U33</f>
        <v>30.5</v>
      </c>
      <c r="R33" s="191" t="n">
        <f aca="false">7.3+V33</f>
        <v>7.3</v>
      </c>
      <c r="S33" s="192" t="n">
        <f aca="false">SUM(P33:R33)</f>
        <v>37.8</v>
      </c>
      <c r="T33" s="191"/>
      <c r="U33" s="191"/>
      <c r="V33" s="191"/>
      <c r="W33" s="130"/>
      <c r="X33" s="130"/>
      <c r="Y33" s="130" t="s">
        <v>16</v>
      </c>
      <c r="Z33" s="130"/>
      <c r="AA33" s="64" t="n">
        <v>180</v>
      </c>
      <c r="AB33" s="193" t="n">
        <v>3.15</v>
      </c>
      <c r="AC33" s="130"/>
      <c r="AD33" s="193" t="n">
        <f aca="false">+AD37</f>
        <v>3.16</v>
      </c>
      <c r="AE33" s="130"/>
      <c r="AF33" s="64" t="n">
        <f aca="false">(AD33-AB33)*AA33*10000</f>
        <v>18000.0000000004</v>
      </c>
      <c r="AG33" s="194" t="n">
        <v>900</v>
      </c>
      <c r="AH33" s="130"/>
      <c r="AI33" s="184" t="s">
        <v>108</v>
      </c>
      <c r="AJ33" s="108"/>
      <c r="AK33" s="63" t="n">
        <f aca="false">AG33+AP33</f>
        <v>900</v>
      </c>
      <c r="AL33" s="63" t="n">
        <f aca="false">-700+AQ33</f>
        <v>-700</v>
      </c>
      <c r="AM33" s="127" t="n">
        <f aca="false">200-250+100+AR33</f>
        <v>50</v>
      </c>
      <c r="AN33" s="184" t="s">
        <v>109</v>
      </c>
      <c r="AO33" s="108"/>
      <c r="AP33" s="63"/>
      <c r="AQ33" s="63"/>
      <c r="AR33" s="127"/>
      <c r="AS33" s="175" t="n">
        <f aca="false">+AS32+AT$31</f>
        <v>48.3</v>
      </c>
      <c r="AT33" s="175"/>
      <c r="AU33" s="175"/>
      <c r="AV33" s="35"/>
      <c r="AW33" s="35"/>
      <c r="AX33" s="147"/>
    </row>
    <row r="34" customFormat="false" ht="18" hidden="false" customHeight="false" outlineLevel="0" collapsed="false">
      <c r="A34" s="95" t="n">
        <f aca="false">TradeSum!A35</f>
        <v>37865</v>
      </c>
      <c r="B34" s="96" t="n">
        <f aca="false">TradeSum!B35+TradeSum!B79</f>
        <v>-276807.1796875</v>
      </c>
      <c r="C34" s="97" t="n">
        <f aca="false">TradeSum!C35+TradeSum!C79</f>
        <v>-898.659296591206</v>
      </c>
      <c r="D34" s="99" t="n">
        <f aca="false">TradeSum!D35+TradeSum!D79</f>
        <v>0</v>
      </c>
      <c r="E34" s="97" t="n">
        <f aca="false">TradeSum!E35+TradeSum!E79</f>
        <v>-276807.1796875</v>
      </c>
      <c r="F34" s="99" t="n">
        <f aca="false">C34+D34</f>
        <v>-898.659296591206</v>
      </c>
      <c r="G34" s="100" t="n">
        <f aca="false">TradeSum!CE35*NYMEX!E34</f>
        <v>0</v>
      </c>
      <c r="H34" s="101" t="n">
        <f aca="false">G34+E34</f>
        <v>-276807.1796875</v>
      </c>
      <c r="I34" s="101" t="n">
        <f aca="false">H34/TradeSum!CD35</f>
        <v>-823.830891927083</v>
      </c>
      <c r="J34" s="188" t="n">
        <f aca="false">NYMEX!J34+TradeSum!J35+TradeSum!J79</f>
        <v>0</v>
      </c>
      <c r="K34" s="189" t="n">
        <f aca="false">TradeSum!K123+NYMEX!K34</f>
        <v>0</v>
      </c>
      <c r="L34" s="189" t="n">
        <f aca="false">J34+K34</f>
        <v>0</v>
      </c>
      <c r="N34" s="115"/>
      <c r="O34" s="181" t="s">
        <v>110</v>
      </c>
      <c r="P34" s="182" t="n">
        <v>0</v>
      </c>
      <c r="Q34" s="182" t="n">
        <f aca="false">-30.4+U34</f>
        <v>-30.4</v>
      </c>
      <c r="R34" s="182" t="n">
        <f aca="false">7.3+V34</f>
        <v>7.3</v>
      </c>
      <c r="S34" s="183" t="n">
        <f aca="false">SUM(P34:R34)</f>
        <v>-23.1</v>
      </c>
      <c r="T34" s="182"/>
      <c r="U34" s="182"/>
      <c r="V34" s="182"/>
      <c r="W34" s="130"/>
      <c r="X34" s="130"/>
      <c r="Y34" s="130" t="s">
        <v>111</v>
      </c>
      <c r="Z34" s="130"/>
      <c r="AA34" s="64"/>
      <c r="AB34" s="193" t="n">
        <v>5.22</v>
      </c>
      <c r="AC34" s="130"/>
      <c r="AD34" s="193"/>
      <c r="AE34" s="130"/>
      <c r="AF34" s="64" t="n">
        <f aca="false">(AD34-AB34)*AA34*10000</f>
        <v>-0</v>
      </c>
      <c r="AG34" s="195" t="n">
        <v>1000</v>
      </c>
      <c r="AH34" s="130"/>
      <c r="AI34" s="184" t="s">
        <v>112</v>
      </c>
      <c r="AJ34" s="108"/>
      <c r="AK34" s="63" t="n">
        <f aca="false">AG34+AP34</f>
        <v>1000</v>
      </c>
      <c r="AL34" s="63" t="n">
        <f aca="false">-650+AQ34</f>
        <v>-650</v>
      </c>
      <c r="AM34" s="127" t="n">
        <f aca="false">100+50-250-50+100+AR34</f>
        <v>-50</v>
      </c>
      <c r="AN34" s="184" t="s">
        <v>113</v>
      </c>
      <c r="AO34" s="108"/>
      <c r="AP34" s="63"/>
      <c r="AQ34" s="63"/>
      <c r="AR34" s="127"/>
      <c r="AS34" s="175" t="n">
        <f aca="false">+AS33+AT$31</f>
        <v>48.4</v>
      </c>
      <c r="AT34" s="175"/>
      <c r="AU34" s="175"/>
      <c r="AV34" s="35"/>
      <c r="AW34" s="35"/>
      <c r="AX34" s="147" t="s">
        <v>114</v>
      </c>
      <c r="AY34" s="196" t="n">
        <v>-1.25</v>
      </c>
      <c r="AZ34" s="196" t="n">
        <f aca="false">+'EOL LINKS'!H36</f>
        <v>-1.2</v>
      </c>
      <c r="BA34" s="112" t="n">
        <f aca="false">+AZ34-AY34</f>
        <v>0.0499999999999998</v>
      </c>
    </row>
    <row r="35" customFormat="false" ht="18" hidden="false" customHeight="false" outlineLevel="0" collapsed="false">
      <c r="A35" s="95" t="n">
        <f aca="false">TradeSum!A36</f>
        <v>37895</v>
      </c>
      <c r="B35" s="96" t="n">
        <f aca="false">TradeSum!B36+TradeSum!B80</f>
        <v>-486243.953125</v>
      </c>
      <c r="C35" s="97" t="n">
        <f aca="false">TradeSum!C36+TradeSum!C80</f>
        <v>-1447.74514082384</v>
      </c>
      <c r="D35" s="99" t="n">
        <f aca="false">TradeSum!D36+TradeSum!D80</f>
        <v>0</v>
      </c>
      <c r="E35" s="97" t="n">
        <f aca="false">TradeSum!E36+TradeSum!E80</f>
        <v>-486243.953125</v>
      </c>
      <c r="F35" s="99" t="n">
        <f aca="false">C35+D35</f>
        <v>-1447.74514082384</v>
      </c>
      <c r="G35" s="100" t="n">
        <f aca="false">TradeSum!CE36*NYMEX!E35</f>
        <v>0</v>
      </c>
      <c r="H35" s="101" t="n">
        <f aca="false">G35+E35</f>
        <v>-486243.953125</v>
      </c>
      <c r="I35" s="101" t="n">
        <f aca="false">H35/TradeSum!CD36</f>
        <v>-1321.31509001359</v>
      </c>
      <c r="J35" s="188" t="n">
        <f aca="false">NYMEX!J35+TradeSum!J36+TradeSum!J80</f>
        <v>177479.685140567</v>
      </c>
      <c r="K35" s="189" t="n">
        <f aca="false">TradeSum!K124+NYMEX!K35</f>
        <v>0</v>
      </c>
      <c r="L35" s="189" t="n">
        <f aca="false">J35+K35</f>
        <v>177479.685140567</v>
      </c>
      <c r="N35" s="115"/>
      <c r="O35" s="181" t="s">
        <v>115</v>
      </c>
      <c r="P35" s="182" t="n">
        <v>0</v>
      </c>
      <c r="Q35" s="182" t="n">
        <f aca="false">-30.3+U35</f>
        <v>-30.3</v>
      </c>
      <c r="R35" s="182" t="n">
        <f aca="false">7.3+V35</f>
        <v>7.3</v>
      </c>
      <c r="S35" s="183" t="n">
        <f aca="false">SUM(P35:R35)</f>
        <v>-23</v>
      </c>
      <c r="T35" s="182"/>
      <c r="U35" s="182"/>
      <c r="V35" s="182"/>
      <c r="W35" s="130"/>
      <c r="X35" s="130"/>
      <c r="Y35" s="130" t="s">
        <v>116</v>
      </c>
      <c r="Z35" s="130"/>
      <c r="AA35" s="64"/>
      <c r="AB35" s="193" t="n">
        <v>3.322</v>
      </c>
      <c r="AC35" s="130"/>
      <c r="AD35" s="193" t="n">
        <f aca="false">+Master!U58</f>
        <v>2.735</v>
      </c>
      <c r="AE35" s="130"/>
      <c r="AF35" s="64" t="n">
        <f aca="false">(AD35-AB35)*AA35*10000</f>
        <v>-0</v>
      </c>
      <c r="AG35" s="195" t="n">
        <v>200</v>
      </c>
      <c r="AH35" s="130"/>
      <c r="AI35" s="184" t="s">
        <v>117</v>
      </c>
      <c r="AJ35" s="108"/>
      <c r="AK35" s="63" t="n">
        <f aca="false">AG35+AP35</f>
        <v>200</v>
      </c>
      <c r="AL35" s="63" t="n">
        <f aca="false">-800+AQ35</f>
        <v>-800</v>
      </c>
      <c r="AM35" s="127" t="n">
        <f aca="false">100+50-250-50+100+AR35</f>
        <v>-50</v>
      </c>
      <c r="AN35" s="184" t="s">
        <v>118</v>
      </c>
      <c r="AO35" s="108"/>
      <c r="AP35" s="63"/>
      <c r="AQ35" s="63"/>
      <c r="AR35" s="127"/>
      <c r="AS35" s="175" t="n">
        <f aca="false">+AS34+AT$31</f>
        <v>48.5</v>
      </c>
      <c r="AT35" s="175"/>
      <c r="AU35" s="175"/>
      <c r="AV35" s="35"/>
      <c r="AW35" s="35"/>
      <c r="AX35" s="147" t="s">
        <v>119</v>
      </c>
      <c r="AY35" s="196" t="n">
        <v>-0.6</v>
      </c>
      <c r="AZ35" s="196" t="n">
        <f aca="false">+'EOL LINKS'!H37</f>
        <v>-1.1</v>
      </c>
      <c r="BA35" s="112" t="n">
        <f aca="false">+AZ35-AY35</f>
        <v>-0.5</v>
      </c>
    </row>
    <row r="36" customFormat="false" ht="18" hidden="false" customHeight="false" outlineLevel="0" collapsed="false">
      <c r="A36" s="95" t="n">
        <f aca="false">TradeSum!A37</f>
        <v>37926</v>
      </c>
      <c r="B36" s="96" t="n">
        <f aca="false">TradeSum!B37+TradeSum!B81</f>
        <v>-399907.3125</v>
      </c>
      <c r="C36" s="97" t="n">
        <f aca="false">TradeSum!C37+TradeSum!C81</f>
        <v>-1447.72189705996</v>
      </c>
      <c r="D36" s="99" t="n">
        <f aca="false">TradeSum!D37+TradeSum!D81</f>
        <v>0</v>
      </c>
      <c r="E36" s="97" t="n">
        <f aca="false">TradeSum!E37+TradeSum!E81</f>
        <v>-399907.3125</v>
      </c>
      <c r="F36" s="99" t="n">
        <f aca="false">C36+D36</f>
        <v>-1447.72189705996</v>
      </c>
      <c r="G36" s="100" t="n">
        <f aca="false">TradeSum!CE37*NYMEX!E36</f>
        <v>0</v>
      </c>
      <c r="H36" s="101" t="n">
        <f aca="false">G36+E36</f>
        <v>-399907.3125</v>
      </c>
      <c r="I36" s="101" t="n">
        <f aca="false">H36/TradeSum!CD37</f>
        <v>-1315.48458059211</v>
      </c>
      <c r="J36" s="188" t="n">
        <f aca="false">NYMEX!J36+TradeSum!J37+TradeSum!J81</f>
        <v>145966.697275646</v>
      </c>
      <c r="K36" s="189" t="n">
        <f aca="false">TradeSum!K125+NYMEX!K36</f>
        <v>0</v>
      </c>
      <c r="L36" s="189" t="n">
        <f aca="false">J36+K36</f>
        <v>145966.697275646</v>
      </c>
      <c r="N36" s="115"/>
      <c r="O36" s="190" t="s">
        <v>120</v>
      </c>
      <c r="P36" s="191" t="n">
        <v>0</v>
      </c>
      <c r="Q36" s="191" t="n">
        <f aca="false">-30.2+U36</f>
        <v>-30.2</v>
      </c>
      <c r="R36" s="191" t="n">
        <f aca="false">7.2+V36</f>
        <v>7.2</v>
      </c>
      <c r="S36" s="192" t="n">
        <f aca="false">SUM(P36:R36)</f>
        <v>-23</v>
      </c>
      <c r="T36" s="191"/>
      <c r="U36" s="191"/>
      <c r="V36" s="191"/>
      <c r="W36" s="130"/>
      <c r="X36" s="130"/>
      <c r="Y36" s="130" t="s">
        <v>121</v>
      </c>
      <c r="Z36" s="130"/>
      <c r="AA36" s="64"/>
      <c r="AB36" s="193" t="n">
        <v>3.22</v>
      </c>
      <c r="AC36" s="130"/>
      <c r="AD36" s="193" t="n">
        <f aca="false">+Master!U60</f>
        <v>3.2</v>
      </c>
      <c r="AE36" s="130"/>
      <c r="AF36" s="64" t="n">
        <f aca="false">(AD36-AB36)*AA36*10000</f>
        <v>-0</v>
      </c>
      <c r="AG36" s="195" t="n">
        <v>650</v>
      </c>
      <c r="AH36" s="130"/>
      <c r="AI36" s="184" t="s">
        <v>122</v>
      </c>
      <c r="AJ36" s="108"/>
      <c r="AK36" s="63" t="n">
        <f aca="false">AG36+AP36</f>
        <v>650</v>
      </c>
      <c r="AL36" s="63" t="n">
        <f aca="false">-800+AQ36</f>
        <v>-800</v>
      </c>
      <c r="AM36" s="127" t="n">
        <f aca="false">100+50-250-50+100+AR36</f>
        <v>-50</v>
      </c>
      <c r="AN36" s="184" t="s">
        <v>123</v>
      </c>
      <c r="AO36" s="108"/>
      <c r="AP36" s="63"/>
      <c r="AQ36" s="63"/>
      <c r="AR36" s="127"/>
      <c r="AS36" s="175" t="n">
        <f aca="false">+AS35+AT$31</f>
        <v>48.6</v>
      </c>
      <c r="AT36" s="175"/>
      <c r="AU36" s="175"/>
      <c r="AV36" s="35"/>
      <c r="AW36" s="35"/>
      <c r="AX36" s="147" t="s">
        <v>124</v>
      </c>
      <c r="AY36" s="196" t="n">
        <v>-1.25</v>
      </c>
      <c r="AZ36" s="196" t="n">
        <f aca="false">+'EOL LINKS'!H38</f>
        <v>-0.65</v>
      </c>
      <c r="BA36" s="112" t="n">
        <f aca="false">+AZ36-AY36</f>
        <v>0.6</v>
      </c>
    </row>
    <row r="37" customFormat="false" ht="18" hidden="false" customHeight="false" outlineLevel="0" collapsed="false">
      <c r="A37" s="95" t="n">
        <f aca="false">TradeSum!A38</f>
        <v>37956</v>
      </c>
      <c r="B37" s="96" t="n">
        <f aca="false">TradeSum!B38+TradeSum!B82</f>
        <v>-460913.40625</v>
      </c>
      <c r="C37" s="97" t="n">
        <f aca="false">TradeSum!C38+TradeSum!C82</f>
        <v>-1447.62694156043</v>
      </c>
      <c r="D37" s="99" t="n">
        <f aca="false">TradeSum!D38+TradeSum!D82</f>
        <v>0</v>
      </c>
      <c r="E37" s="97" t="n">
        <f aca="false">TradeSum!E38+TradeSum!E82</f>
        <v>-460913.40625</v>
      </c>
      <c r="F37" s="99" t="n">
        <f aca="false">C37+D37</f>
        <v>-1447.62694156043</v>
      </c>
      <c r="G37" s="100" t="n">
        <f aca="false">TradeSum!CE38*NYMEX!E37</f>
        <v>0</v>
      </c>
      <c r="H37" s="101" t="n">
        <f aca="false">G37+E37</f>
        <v>-460913.40625</v>
      </c>
      <c r="I37" s="101" t="n">
        <f aca="false">H37/TradeSum!CD38</f>
        <v>-1309.4130859375</v>
      </c>
      <c r="J37" s="188" t="n">
        <f aca="false">NYMEX!J37+TradeSum!J38+TradeSum!J82</f>
        <v>168234.00207362</v>
      </c>
      <c r="K37" s="189" t="n">
        <f aca="false">TradeSum!K126+NYMEX!K37</f>
        <v>0</v>
      </c>
      <c r="L37" s="189" t="n">
        <f aca="false">J37+K37</f>
        <v>168234.00207362</v>
      </c>
      <c r="N37" s="197"/>
      <c r="O37" s="181" t="s">
        <v>125</v>
      </c>
      <c r="P37" s="182" t="n">
        <v>0</v>
      </c>
      <c r="Q37" s="182" t="n">
        <f aca="false">-15+U37</f>
        <v>-15</v>
      </c>
      <c r="R37" s="182" t="n">
        <f aca="false">7.2+V37</f>
        <v>7.2</v>
      </c>
      <c r="S37" s="183" t="n">
        <f aca="false">SUM(P37:R37)</f>
        <v>-7.8</v>
      </c>
      <c r="T37" s="182"/>
      <c r="U37" s="182"/>
      <c r="V37" s="182"/>
      <c r="W37" s="130"/>
      <c r="X37" s="130"/>
      <c r="Y37" s="130" t="s">
        <v>16</v>
      </c>
      <c r="Z37" s="130"/>
      <c r="AA37" s="64" t="n">
        <f aca="false">-3*360</f>
        <v>-1080</v>
      </c>
      <c r="AB37" s="193" t="n">
        <v>3.15</v>
      </c>
      <c r="AC37" s="130"/>
      <c r="AD37" s="193" t="n">
        <f aca="false">+Master!L2</f>
        <v>3.16</v>
      </c>
      <c r="AE37" s="130"/>
      <c r="AF37" s="64" t="n">
        <f aca="false">(AD37-AB37)*AA37*10000</f>
        <v>-108000.000000002</v>
      </c>
      <c r="AG37" s="198" t="n">
        <v>300</v>
      </c>
      <c r="AH37" s="130"/>
      <c r="AI37" s="184" t="s">
        <v>126</v>
      </c>
      <c r="AJ37" s="108"/>
      <c r="AK37" s="63" t="n">
        <f aca="false">AG37+AP37</f>
        <v>300</v>
      </c>
      <c r="AL37" s="63" t="n">
        <f aca="false">-800+AQ37</f>
        <v>-800</v>
      </c>
      <c r="AM37" s="127" t="n">
        <f aca="false">100+50-250-50+100+AR37</f>
        <v>-50</v>
      </c>
      <c r="AN37" s="184" t="s">
        <v>127</v>
      </c>
      <c r="AO37" s="108"/>
      <c r="AP37" s="63"/>
      <c r="AQ37" s="63"/>
      <c r="AR37" s="127"/>
      <c r="AS37" s="175" t="n">
        <f aca="false">+AS36+AT$31</f>
        <v>48.7</v>
      </c>
      <c r="AT37" s="175"/>
      <c r="AU37" s="175"/>
      <c r="AV37" s="35"/>
      <c r="AW37" s="35"/>
      <c r="AX37" s="147" t="s">
        <v>128</v>
      </c>
      <c r="AY37" s="196" t="n">
        <v>-1.5</v>
      </c>
      <c r="AZ37" s="196" t="n">
        <f aca="false">+'EOL LINKS'!H39</f>
        <v>-1</v>
      </c>
      <c r="BA37" s="112" t="n">
        <f aca="false">+AZ37-AY37</f>
        <v>0.5</v>
      </c>
    </row>
    <row r="38" customFormat="false" ht="18" hidden="false" customHeight="false" outlineLevel="0" collapsed="false">
      <c r="A38" s="95" t="n">
        <f aca="false">TradeSum!A39</f>
        <v>37987</v>
      </c>
      <c r="B38" s="96" t="n">
        <f aca="false">TradeSum!B39+TradeSum!B83</f>
        <v>-45300.3671875</v>
      </c>
      <c r="C38" s="97" t="n">
        <f aca="false">TradeSum!C39+TradeSum!C83</f>
        <v>-149.748386232918</v>
      </c>
      <c r="D38" s="99" t="n">
        <f aca="false">TradeSum!D39+TradeSum!D83</f>
        <v>0</v>
      </c>
      <c r="E38" s="97" t="n">
        <f aca="false">TradeSum!E39+TradeSum!E83</f>
        <v>-45300.3671875</v>
      </c>
      <c r="F38" s="99" t="n">
        <f aca="false">C38+D38</f>
        <v>-149.748386232918</v>
      </c>
      <c r="G38" s="100" t="n">
        <f aca="false">TradeSum!CE39*NYMEX!E38</f>
        <v>0</v>
      </c>
      <c r="H38" s="101" t="n">
        <f aca="false">G38+E38</f>
        <v>-45300.3671875</v>
      </c>
      <c r="I38" s="101" t="n">
        <f aca="false">H38/TradeSum!CD39</f>
        <v>-134.822521391369</v>
      </c>
      <c r="J38" s="188" t="n">
        <f aca="false">NYMEX!J38+TradeSum!J39+TradeSum!J83</f>
        <v>-0.0082289136514774</v>
      </c>
      <c r="K38" s="189" t="n">
        <f aca="false">TradeSum!K127+NYMEX!K38</f>
        <v>0</v>
      </c>
      <c r="L38" s="189" t="n">
        <f aca="false">J38+K38</f>
        <v>-0.0082289136514774</v>
      </c>
      <c r="N38" s="197"/>
      <c r="O38" s="181" t="s">
        <v>129</v>
      </c>
      <c r="P38" s="182" t="n">
        <v>0</v>
      </c>
      <c r="Q38" s="182" t="n">
        <f aca="false">-15+U38</f>
        <v>-15</v>
      </c>
      <c r="R38" s="182" t="n">
        <f aca="false">7.2+V38</f>
        <v>7.2</v>
      </c>
      <c r="S38" s="183" t="n">
        <f aca="false">SUM(P38:R38)</f>
        <v>-7.8</v>
      </c>
      <c r="T38" s="182"/>
      <c r="U38" s="182"/>
      <c r="V38" s="182"/>
      <c r="W38" s="130"/>
      <c r="X38" s="130"/>
      <c r="Y38" s="130" t="s">
        <v>18</v>
      </c>
      <c r="Z38" s="130"/>
      <c r="AA38" s="64"/>
      <c r="AB38" s="193" t="n">
        <v>3.3</v>
      </c>
      <c r="AC38" s="130"/>
      <c r="AD38" s="193" t="n">
        <f aca="false">+Master!L3</f>
        <v>3.29</v>
      </c>
      <c r="AE38" s="130"/>
      <c r="AF38" s="64" t="n">
        <f aca="false">(AD38-AB38)*AA38*10000</f>
        <v>-0</v>
      </c>
      <c r="AG38" s="130"/>
      <c r="AH38" s="130"/>
      <c r="AI38" s="184"/>
      <c r="AJ38" s="108"/>
      <c r="AK38" s="63"/>
      <c r="AL38" s="63"/>
      <c r="AM38" s="127"/>
      <c r="AN38" s="184"/>
      <c r="AO38" s="108"/>
      <c r="AP38" s="63"/>
      <c r="AQ38" s="63"/>
      <c r="AR38" s="127"/>
      <c r="AS38" s="175" t="n">
        <f aca="false">+AS37+AT$31</f>
        <v>48.8</v>
      </c>
      <c r="AT38" s="175"/>
      <c r="AU38" s="175"/>
      <c r="AV38" s="35"/>
      <c r="AW38" s="35"/>
      <c r="AX38" s="147" t="s">
        <v>130</v>
      </c>
      <c r="AY38" s="196" t="n">
        <v>-1.5</v>
      </c>
      <c r="AZ38" s="196" t="n">
        <f aca="false">+'EOL LINKS'!H40</f>
        <v>-1.25</v>
      </c>
      <c r="BA38" s="112" t="n">
        <f aca="false">+AZ38-AY38</f>
        <v>0.25</v>
      </c>
      <c r="BH38" s="199" t="n">
        <v>3.155</v>
      </c>
    </row>
    <row r="39" customFormat="false" ht="18" hidden="false" customHeight="false" outlineLevel="0" collapsed="false">
      <c r="A39" s="95" t="n">
        <f aca="false">TradeSum!A40</f>
        <v>38018</v>
      </c>
      <c r="B39" s="96" t="n">
        <f aca="false">TradeSum!B40+TradeSum!B84</f>
        <v>-42953.421875</v>
      </c>
      <c r="C39" s="97" t="n">
        <f aca="false">TradeSum!C40+TradeSum!C84</f>
        <v>-149.757445252292</v>
      </c>
      <c r="D39" s="99" t="n">
        <f aca="false">TradeSum!D40+TradeSum!D84</f>
        <v>0</v>
      </c>
      <c r="E39" s="97" t="n">
        <f aca="false">TradeSum!E40+TradeSum!E84</f>
        <v>-42953.421875</v>
      </c>
      <c r="F39" s="99" t="n">
        <f aca="false">C39+D39</f>
        <v>-149.757445252292</v>
      </c>
      <c r="G39" s="100" t="n">
        <f aca="false">TradeSum!CE40*NYMEX!E39</f>
        <v>0</v>
      </c>
      <c r="H39" s="101" t="n">
        <f aca="false">G39+E39</f>
        <v>-42953.421875</v>
      </c>
      <c r="I39" s="101" t="n">
        <f aca="false">H39/TradeSum!CD40</f>
        <v>-134.229443359375</v>
      </c>
      <c r="J39" s="188" t="n">
        <f aca="false">NYMEX!J39+TradeSum!J40+TradeSum!J84</f>
        <v>-0.00780258575348564</v>
      </c>
      <c r="K39" s="189" t="n">
        <f aca="false">TradeSum!K128+NYMEX!K39</f>
        <v>0</v>
      </c>
      <c r="L39" s="189" t="n">
        <f aca="false">J39+K39</f>
        <v>-0.00780258575348564</v>
      </c>
      <c r="N39" s="197"/>
      <c r="O39" s="190" t="s">
        <v>131</v>
      </c>
      <c r="P39" s="191" t="n">
        <v>0</v>
      </c>
      <c r="Q39" s="191" t="n">
        <f aca="false">-14.9+U39</f>
        <v>-14.9</v>
      </c>
      <c r="R39" s="191" t="n">
        <f aca="false">7.1+V39</f>
        <v>7.1</v>
      </c>
      <c r="S39" s="192" t="n">
        <f aca="false">SUM(P39:R39)</f>
        <v>-7.8</v>
      </c>
      <c r="T39" s="191"/>
      <c r="U39" s="191"/>
      <c r="V39" s="191"/>
      <c r="W39" s="130"/>
      <c r="X39" s="130"/>
      <c r="Y39" s="130" t="s">
        <v>121</v>
      </c>
      <c r="Z39" s="130"/>
      <c r="AA39" s="64" t="n">
        <f aca="false">3.5*31</f>
        <v>108.5</v>
      </c>
      <c r="AB39" s="193" t="n">
        <v>3.22</v>
      </c>
      <c r="AC39" s="130"/>
      <c r="AD39" s="193" t="n">
        <f aca="false">+Master!U60</f>
        <v>3.2</v>
      </c>
      <c r="AE39" s="130"/>
      <c r="AF39" s="64" t="n">
        <f aca="false">(AD39-AB39)*AA39*10000</f>
        <v>-21700</v>
      </c>
      <c r="AG39" s="130"/>
      <c r="AH39" s="130"/>
      <c r="AI39" s="184" t="s">
        <v>132</v>
      </c>
      <c r="AJ39" s="108"/>
      <c r="AK39" s="63" t="n">
        <f aca="false">+AK53</f>
        <v>640.476190476191</v>
      </c>
      <c r="AL39" s="63" t="n">
        <f aca="false">+AL53</f>
        <v>-745.238095238095</v>
      </c>
      <c r="AM39" s="63" t="n">
        <f aca="false">+AM53</f>
        <v>-30.952380952381</v>
      </c>
      <c r="AN39" s="184" t="s">
        <v>132</v>
      </c>
      <c r="AO39" s="108"/>
      <c r="AP39" s="63" t="n">
        <f aca="false">+AP53</f>
        <v>0</v>
      </c>
      <c r="AQ39" s="63" t="n">
        <f aca="false">+AQ53</f>
        <v>0</v>
      </c>
      <c r="AR39" s="127" t="n">
        <f aca="false">+AR53</f>
        <v>0</v>
      </c>
      <c r="AS39" s="175" t="n">
        <f aca="false">+AS38+AT$31</f>
        <v>48.9</v>
      </c>
      <c r="AT39" s="175"/>
      <c r="AU39" s="175"/>
      <c r="AV39" s="35"/>
      <c r="AW39" s="35"/>
      <c r="AX39" s="147" t="s">
        <v>133</v>
      </c>
      <c r="AY39" s="196" t="n">
        <v>-1.25</v>
      </c>
      <c r="AZ39" s="196" t="n">
        <f aca="false">+'EOL LINKS'!H41</f>
        <v>-1</v>
      </c>
      <c r="BA39" s="112" t="n">
        <f aca="false">+AZ39-AY39</f>
        <v>0.25</v>
      </c>
      <c r="BH39" s="199" t="n">
        <v>3.036</v>
      </c>
    </row>
    <row r="40" customFormat="false" ht="18" hidden="false" customHeight="false" outlineLevel="0" collapsed="false">
      <c r="A40" s="95" t="n">
        <f aca="false">TradeSum!A41</f>
        <v>38047</v>
      </c>
      <c r="B40" s="96" t="n">
        <f aca="false">TradeSum!B41+TradeSum!B85</f>
        <v>-49164.66015625</v>
      </c>
      <c r="C40" s="97" t="n">
        <f aca="false">TradeSum!C41+TradeSum!C85</f>
        <v>-149.757469497401</v>
      </c>
      <c r="D40" s="99" t="n">
        <f aca="false">TradeSum!D41+TradeSum!D85</f>
        <v>0</v>
      </c>
      <c r="E40" s="97" t="n">
        <f aca="false">TradeSum!E41+TradeSum!E85</f>
        <v>-49164.66015625</v>
      </c>
      <c r="F40" s="99" t="n">
        <f aca="false">C40+D40</f>
        <v>-149.757469497401</v>
      </c>
      <c r="G40" s="100" t="n">
        <f aca="false">TradeSum!CE41*NYMEX!E40</f>
        <v>0</v>
      </c>
      <c r="H40" s="101" t="n">
        <f aca="false">G40+E40</f>
        <v>-49164.66015625</v>
      </c>
      <c r="I40" s="101" t="n">
        <f aca="false">H40/TradeSum!CD41</f>
        <v>-133.59961998981</v>
      </c>
      <c r="J40" s="188" t="n">
        <f aca="false">NYMEX!J40+TradeSum!J41+TradeSum!J85</f>
        <v>12291.1868470037</v>
      </c>
      <c r="K40" s="189" t="n">
        <f aca="false">TradeSum!K129+NYMEX!K40</f>
        <v>0</v>
      </c>
      <c r="L40" s="189" t="n">
        <f aca="false">J40+K40</f>
        <v>12291.1868470037</v>
      </c>
      <c r="N40" s="197"/>
      <c r="O40" s="181" t="s">
        <v>134</v>
      </c>
      <c r="P40" s="182" t="n">
        <f aca="false">-61.8+T40</f>
        <v>-61.8</v>
      </c>
      <c r="Q40" s="182" t="n">
        <f aca="false">44.7+U40</f>
        <v>44.7</v>
      </c>
      <c r="R40" s="182" t="n">
        <f aca="false">7.1+V40</f>
        <v>7.1</v>
      </c>
      <c r="S40" s="183" t="n">
        <f aca="false">SUM(P40:R40)</f>
        <v>-10</v>
      </c>
      <c r="T40" s="182"/>
      <c r="U40" s="182"/>
      <c r="V40" s="182"/>
      <c r="W40" s="130"/>
      <c r="X40" s="130"/>
      <c r="Y40" s="130" t="s">
        <v>22</v>
      </c>
      <c r="Z40" s="130"/>
      <c r="AA40" s="64"/>
      <c r="AB40" s="193" t="n">
        <f aca="false">+AD40</f>
        <v>3.035</v>
      </c>
      <c r="AC40" s="130"/>
      <c r="AD40" s="193" t="n">
        <f aca="false">+AD33-0.125</f>
        <v>3.035</v>
      </c>
      <c r="AE40" s="130"/>
      <c r="AF40" s="64" t="n">
        <f aca="false">(AD40-AB40)*AA40*10000</f>
        <v>0</v>
      </c>
      <c r="AG40" s="130"/>
      <c r="AH40" s="130"/>
      <c r="AI40" s="184"/>
      <c r="AJ40" s="108"/>
      <c r="AK40" s="63"/>
      <c r="AL40" s="63"/>
      <c r="AM40" s="127"/>
      <c r="AN40" s="184"/>
      <c r="AO40" s="108"/>
      <c r="AP40" s="63"/>
      <c r="AQ40" s="63"/>
      <c r="AR40" s="127"/>
      <c r="AS40" s="175" t="n">
        <f aca="false">+AS39+AT$31</f>
        <v>49</v>
      </c>
      <c r="AT40" s="175"/>
      <c r="AU40" s="175" t="n">
        <f aca="false">AVERAGE(AS30:AS38)</f>
        <v>48.4</v>
      </c>
      <c r="AV40" s="35"/>
      <c r="AW40" s="35"/>
      <c r="AX40" s="147" t="s">
        <v>135</v>
      </c>
      <c r="AY40" s="196" t="n">
        <v>-0.75</v>
      </c>
      <c r="AZ40" s="196" t="n">
        <f aca="false">+'EOL LINKS'!H42</f>
        <v>-0.55</v>
      </c>
      <c r="BA40" s="112" t="n">
        <f aca="false">+AZ40-AY40</f>
        <v>0.2</v>
      </c>
      <c r="BH40" s="199" t="n">
        <v>2.956</v>
      </c>
    </row>
    <row r="41" customFormat="false" ht="18" hidden="false" customHeight="false" outlineLevel="0" collapsed="false">
      <c r="A41" s="95" t="n">
        <f aca="false">TradeSum!A42</f>
        <v>38078</v>
      </c>
      <c r="B41" s="96" t="n">
        <f aca="false">TradeSum!B42+TradeSum!B86</f>
        <v>-46812.14453125</v>
      </c>
      <c r="C41" s="97" t="n">
        <f aca="false">TradeSum!C42+TradeSum!C86</f>
        <v>-149.767185855738</v>
      </c>
      <c r="D41" s="99" t="n">
        <f aca="false">TradeSum!D42+TradeSum!D86</f>
        <v>0</v>
      </c>
      <c r="E41" s="97" t="n">
        <f aca="false">TradeSum!E42+TradeSum!E86</f>
        <v>-46812.14453125</v>
      </c>
      <c r="F41" s="99" t="n">
        <f aca="false">C41+D41</f>
        <v>-149.767185855738</v>
      </c>
      <c r="G41" s="100" t="n">
        <f aca="false">TradeSum!CE42*NYMEX!E41</f>
        <v>0</v>
      </c>
      <c r="H41" s="101" t="n">
        <f aca="false">G41+E41</f>
        <v>-46812.14453125</v>
      </c>
      <c r="I41" s="101" t="n">
        <f aca="false">H41/TradeSum!CD42</f>
        <v>-132.989046963778</v>
      </c>
      <c r="J41" s="188" t="n">
        <f aca="false">NYMEX!J41+TradeSum!J42+TradeSum!J86</f>
        <v>11703.0568972496</v>
      </c>
      <c r="K41" s="189" t="n">
        <f aca="false">TradeSum!K130+NYMEX!K41</f>
        <v>0</v>
      </c>
      <c r="L41" s="189" t="n">
        <f aca="false">J41+K41</f>
        <v>11703.0568972496</v>
      </c>
      <c r="N41" s="197"/>
      <c r="O41" s="181" t="s">
        <v>136</v>
      </c>
      <c r="P41" s="182" t="n">
        <f aca="false">-61.6+T41</f>
        <v>-61.6</v>
      </c>
      <c r="Q41" s="182" t="n">
        <f aca="false">44.5+U41</f>
        <v>44.5</v>
      </c>
      <c r="R41" s="182" t="n">
        <f aca="false">7.1+V41</f>
        <v>7.1</v>
      </c>
      <c r="S41" s="183" t="n">
        <f aca="false">SUM(P41:R41)</f>
        <v>-10</v>
      </c>
      <c r="T41" s="182"/>
      <c r="U41" s="182"/>
      <c r="V41" s="182"/>
      <c r="W41" s="130"/>
      <c r="X41" s="130"/>
      <c r="Y41" s="130" t="s">
        <v>137</v>
      </c>
      <c r="Z41" s="130"/>
      <c r="AA41" s="64"/>
      <c r="AB41" s="193" t="n">
        <v>3.4</v>
      </c>
      <c r="AC41" s="130"/>
      <c r="AD41" s="193" t="n">
        <f aca="false">AVERAGE(Master!U60:U63)</f>
        <v>3.12</v>
      </c>
      <c r="AE41" s="130"/>
      <c r="AF41" s="64" t="n">
        <f aca="false">(AD41-AB41)*AA41*10000</f>
        <v>-0</v>
      </c>
      <c r="AG41" s="130"/>
      <c r="AH41" s="130"/>
      <c r="AI41" s="184" t="s">
        <v>138</v>
      </c>
      <c r="AJ41" s="130"/>
      <c r="AK41" s="64"/>
      <c r="AL41" s="64"/>
      <c r="AM41" s="65"/>
      <c r="AN41" s="184" t="s">
        <v>138</v>
      </c>
      <c r="AO41" s="130"/>
      <c r="AP41" s="64" t="n">
        <f aca="false">SUM(AP39:AR39)</f>
        <v>0</v>
      </c>
      <c r="AQ41" s="64"/>
      <c r="AR41" s="65"/>
      <c r="AS41" s="175" t="n">
        <f aca="false">+AS40+AT$41</f>
        <v>50.25</v>
      </c>
      <c r="AT41" s="175" t="n">
        <v>1.25</v>
      </c>
      <c r="AU41" s="175" t="n">
        <f aca="false">AVERAGE(AS39:AS51)</f>
        <v>51.0666666666667</v>
      </c>
      <c r="AV41" s="35"/>
      <c r="AW41" s="35"/>
      <c r="AX41" s="147" t="s">
        <v>114</v>
      </c>
      <c r="AY41" s="196" t="n">
        <v>-1</v>
      </c>
      <c r="AZ41" s="196" t="n">
        <f aca="false">+'EOL LINKS'!H43</f>
        <v>-0.85</v>
      </c>
      <c r="BA41" s="112" t="n">
        <f aca="false">+AZ41-AY41</f>
        <v>0.15</v>
      </c>
      <c r="BH41" s="199" t="n">
        <v>3.04</v>
      </c>
    </row>
    <row r="42" customFormat="false" ht="18" hidden="false" customHeight="false" outlineLevel="0" collapsed="false">
      <c r="A42" s="95" t="n">
        <f aca="false">TradeSum!A43</f>
        <v>38108</v>
      </c>
      <c r="B42" s="96" t="n">
        <f aca="false">TradeSum!B43+TradeSum!B87</f>
        <v>-42353.9609375</v>
      </c>
      <c r="C42" s="97" t="n">
        <f aca="false">TradeSum!C43+TradeSum!C87</f>
        <v>-149.758523026548</v>
      </c>
      <c r="D42" s="99" t="n">
        <f aca="false">TradeSum!D43+TradeSum!D87</f>
        <v>0</v>
      </c>
      <c r="E42" s="97" t="n">
        <f aca="false">TradeSum!E43+TradeSum!E87</f>
        <v>-42353.9609375</v>
      </c>
      <c r="F42" s="99" t="n">
        <f aca="false">C42+D42</f>
        <v>-149.758523026548</v>
      </c>
      <c r="G42" s="100" t="n">
        <f aca="false">TradeSum!CE43*NYMEX!E42</f>
        <v>0</v>
      </c>
      <c r="H42" s="101" t="n">
        <f aca="false">G42+E42</f>
        <v>-42353.9609375</v>
      </c>
      <c r="I42" s="101" t="n">
        <f aca="false">H42/TradeSum!CD43</f>
        <v>-132.356127929688</v>
      </c>
      <c r="J42" s="188" t="n">
        <f aca="false">NYMEX!J42+TradeSum!J43+TradeSum!J87</f>
        <v>0</v>
      </c>
      <c r="K42" s="189" t="n">
        <f aca="false">TradeSum!K131+NYMEX!K42</f>
        <v>0</v>
      </c>
      <c r="L42" s="189" t="n">
        <f aca="false">J42+K42</f>
        <v>0</v>
      </c>
      <c r="N42" s="197"/>
      <c r="O42" s="181" t="s">
        <v>139</v>
      </c>
      <c r="P42" s="182" t="n">
        <f aca="false">-61.4+T42</f>
        <v>-61.4</v>
      </c>
      <c r="Q42" s="182" t="n">
        <f aca="false">44.4+U42</f>
        <v>44.4</v>
      </c>
      <c r="R42" s="182" t="n">
        <f aca="false">7+V42</f>
        <v>7</v>
      </c>
      <c r="S42" s="183" t="n">
        <f aca="false">SUM(P42:R42)</f>
        <v>-10</v>
      </c>
      <c r="T42" s="182"/>
      <c r="U42" s="182"/>
      <c r="V42" s="182"/>
      <c r="W42" s="130"/>
      <c r="X42" s="130"/>
      <c r="Y42" s="130" t="s">
        <v>140</v>
      </c>
      <c r="Z42" s="130"/>
      <c r="AA42" s="64"/>
      <c r="AB42" s="193" t="n">
        <v>3.31</v>
      </c>
      <c r="AC42" s="130"/>
      <c r="AD42" s="193" t="n">
        <f aca="false">AVERAGE(Master!U63:U64)</f>
        <v>3.01</v>
      </c>
      <c r="AE42" s="130"/>
      <c r="AF42" s="64" t="n">
        <f aca="false">(AD42-AB42)*AA42*10000</f>
        <v>-0</v>
      </c>
      <c r="AG42" s="130"/>
      <c r="AH42" s="130"/>
      <c r="AI42" s="184"/>
      <c r="AJ42" s="130"/>
      <c r="AK42" s="63"/>
      <c r="AL42" s="63"/>
      <c r="AM42" s="127"/>
      <c r="AN42" s="184"/>
      <c r="AO42" s="130"/>
      <c r="AP42" s="63"/>
      <c r="AQ42" s="63"/>
      <c r="AR42" s="127"/>
      <c r="AS42" s="175" t="n">
        <f aca="false">+AS41+AT$41</f>
        <v>51.5</v>
      </c>
      <c r="AT42" s="175"/>
      <c r="AU42" s="175" t="n">
        <f aca="false">+AU41-AU40</f>
        <v>2.66666666666668</v>
      </c>
      <c r="AV42" s="35"/>
      <c r="AW42" s="35"/>
      <c r="AX42" s="147" t="s">
        <v>119</v>
      </c>
      <c r="AY42" s="196" t="n">
        <v>-0.5</v>
      </c>
      <c r="AZ42" s="196" t="n">
        <f aca="false">+'EOL LINKS'!H44</f>
        <v>-0.8</v>
      </c>
      <c r="BA42" s="112" t="n">
        <f aca="false">+AZ42-AY42</f>
        <v>-0.3</v>
      </c>
      <c r="BH42" s="199" t="n">
        <v>2.999</v>
      </c>
    </row>
    <row r="43" customFormat="false" ht="18" hidden="false" customHeight="false" outlineLevel="0" collapsed="false">
      <c r="A43" s="95" t="n">
        <f aca="false">TradeSum!A44</f>
        <v>38139</v>
      </c>
      <c r="B43" s="96" t="n">
        <f aca="false">TradeSum!B44+TradeSum!B88</f>
        <v>-216411.84375</v>
      </c>
      <c r="C43" s="97" t="n">
        <f aca="false">TradeSum!C44+TradeSum!C88</f>
        <v>-698.907854451475</v>
      </c>
      <c r="D43" s="99" t="n">
        <f aca="false">TradeSum!D44+TradeSum!D88</f>
        <v>0</v>
      </c>
      <c r="E43" s="97" t="n">
        <f aca="false">TradeSum!E44+TradeSum!E88</f>
        <v>-216411.84375</v>
      </c>
      <c r="F43" s="99" t="n">
        <f aca="false">C43+D43</f>
        <v>-698.907854451475</v>
      </c>
      <c r="G43" s="100" t="n">
        <f aca="false">TradeSum!CE44*NYMEX!E43</f>
        <v>0</v>
      </c>
      <c r="H43" s="101" t="n">
        <f aca="false">G43+E43</f>
        <v>-216411.84375</v>
      </c>
      <c r="I43" s="101" t="n">
        <f aca="false">H43/TradeSum!CD44</f>
        <v>-614.806374289773</v>
      </c>
      <c r="J43" s="188" t="n">
        <f aca="false">NYMEX!J43+TradeSum!J44+TradeSum!J88</f>
        <v>108205.921875</v>
      </c>
      <c r="K43" s="189" t="n">
        <f aca="false">TradeSum!K132+NYMEX!K43</f>
        <v>0</v>
      </c>
      <c r="L43" s="189" t="n">
        <f aca="false">J43+K43</f>
        <v>108205.921875</v>
      </c>
      <c r="N43" s="197"/>
      <c r="O43" s="177" t="s">
        <v>141</v>
      </c>
      <c r="P43" s="178" t="n">
        <f aca="false">SUM(P31:P33)</f>
        <v>0</v>
      </c>
      <c r="Q43" s="178" t="n">
        <f aca="false">SUM(Q31:Q33)</f>
        <v>91.6</v>
      </c>
      <c r="R43" s="178" t="n">
        <f aca="false">SUM(R31:R33)</f>
        <v>22</v>
      </c>
      <c r="S43" s="179" t="n">
        <f aca="false">SUM(P43:R43)</f>
        <v>113.6</v>
      </c>
      <c r="T43" s="178" t="n">
        <f aca="false">SUM(T31:T33)</f>
        <v>0</v>
      </c>
      <c r="U43" s="178" t="n">
        <f aca="false">SUM(U31:U33)</f>
        <v>0</v>
      </c>
      <c r="V43" s="178" t="n">
        <f aca="false">SUM(V31:V33)</f>
        <v>0</v>
      </c>
      <c r="W43" s="130"/>
      <c r="X43" s="130"/>
      <c r="Y43" s="130"/>
      <c r="Z43" s="130"/>
      <c r="AA43" s="64"/>
      <c r="AB43" s="193"/>
      <c r="AC43" s="130"/>
      <c r="AD43" s="193"/>
      <c r="AE43" s="130"/>
      <c r="AF43" s="64"/>
      <c r="AG43" s="130"/>
      <c r="AH43" s="130"/>
      <c r="AI43" s="184"/>
      <c r="AJ43" s="130"/>
      <c r="AK43" s="63"/>
      <c r="AL43" s="63"/>
      <c r="AM43" s="127"/>
      <c r="AN43" s="184"/>
      <c r="AO43" s="130"/>
      <c r="AP43" s="63"/>
      <c r="AQ43" s="63"/>
      <c r="AR43" s="127"/>
      <c r="AS43" s="175" t="n">
        <f aca="false">+AS42+AT$41</f>
        <v>52.75</v>
      </c>
      <c r="AT43" s="175"/>
      <c r="AU43" s="175"/>
      <c r="AV43" s="35"/>
      <c r="AW43" s="35"/>
      <c r="AX43" s="147" t="s">
        <v>124</v>
      </c>
      <c r="AY43" s="196" t="n">
        <v>-1.25</v>
      </c>
      <c r="AZ43" s="196" t="n">
        <f aca="false">+'EOL LINKS'!H45</f>
        <v>-0.75</v>
      </c>
      <c r="BA43" s="112" t="n">
        <f aca="false">+AZ43-AY43</f>
        <v>0.5</v>
      </c>
      <c r="BH43" s="199" t="n">
        <v>3.094</v>
      </c>
    </row>
    <row r="44" customFormat="false" ht="18" hidden="false" customHeight="false" outlineLevel="0" collapsed="false">
      <c r="A44" s="95" t="n">
        <f aca="false">TradeSum!A45</f>
        <v>38169</v>
      </c>
      <c r="B44" s="96" t="n">
        <f aca="false">TradeSum!B45+TradeSum!B89</f>
        <v>-14684.265625</v>
      </c>
      <c r="C44" s="97" t="n">
        <f aca="false">TradeSum!C45+TradeSum!C89</f>
        <v>-47.6510684767343</v>
      </c>
      <c r="D44" s="99" t="n">
        <f aca="false">TradeSum!D45+TradeSum!D89</f>
        <v>0</v>
      </c>
      <c r="E44" s="97" t="n">
        <f aca="false">TradeSum!E45+TradeSum!E89</f>
        <v>-14684.265625</v>
      </c>
      <c r="F44" s="99" t="n">
        <f aca="false">C44+D44</f>
        <v>-47.6510684767343</v>
      </c>
      <c r="G44" s="100" t="n">
        <f aca="false">TradeSum!CE45*NYMEX!E44</f>
        <v>0</v>
      </c>
      <c r="H44" s="101" t="n">
        <f aca="false">G44+E44</f>
        <v>-14684.265625</v>
      </c>
      <c r="I44" s="101" t="n">
        <f aca="false">H44/TradeSum!CD45</f>
        <v>-41.7166637073864</v>
      </c>
      <c r="J44" s="188" t="n">
        <f aca="false">NYMEX!J44+TradeSum!J45+TradeSum!J89</f>
        <v>7342.1328125</v>
      </c>
      <c r="K44" s="189" t="n">
        <f aca="false">TradeSum!K133+NYMEX!K44</f>
        <v>0</v>
      </c>
      <c r="L44" s="189" t="n">
        <f aca="false">J44+K44</f>
        <v>7342.1328125</v>
      </c>
      <c r="N44" s="35"/>
      <c r="O44" s="181" t="s">
        <v>142</v>
      </c>
      <c r="P44" s="182" t="n">
        <f aca="false">SUM(P34:P36)</f>
        <v>0</v>
      </c>
      <c r="Q44" s="182" t="n">
        <f aca="false">SUM(Q34:Q36)</f>
        <v>-90.9</v>
      </c>
      <c r="R44" s="182" t="n">
        <f aca="false">SUM(R34:R36)</f>
        <v>21.8</v>
      </c>
      <c r="S44" s="183" t="n">
        <f aca="false">SUM(P44:R44)</f>
        <v>-69.1</v>
      </c>
      <c r="T44" s="182" t="n">
        <f aca="false">SUM(T34:T36)</f>
        <v>0</v>
      </c>
      <c r="U44" s="182" t="n">
        <f aca="false">SUM(U34:U36)</f>
        <v>0</v>
      </c>
      <c r="V44" s="182" t="n">
        <f aca="false">SUM(V34:V36)</f>
        <v>0</v>
      </c>
      <c r="W44" s="108"/>
      <c r="X44" s="108"/>
      <c r="Y44" s="108"/>
      <c r="Z44" s="108"/>
      <c r="AA44" s="200" t="n">
        <f aca="false">SUM(AA33:AA43)+Master!I95</f>
        <v>-1091.5</v>
      </c>
      <c r="AB44" s="201"/>
      <c r="AC44" s="108"/>
      <c r="AD44" s="201"/>
      <c r="AE44" s="108"/>
      <c r="AF44" s="200" t="n">
        <f aca="false">SUM(AF33:AF43)</f>
        <v>-111700.000000002</v>
      </c>
      <c r="AG44" s="108"/>
      <c r="AH44" s="108"/>
      <c r="AI44" s="202"/>
      <c r="AJ44" s="108"/>
      <c r="AK44" s="136"/>
      <c r="AL44" s="136"/>
      <c r="AM44" s="203"/>
      <c r="AN44" s="202"/>
      <c r="AO44" s="108"/>
      <c r="AP44" s="136"/>
      <c r="AQ44" s="136"/>
      <c r="AR44" s="203"/>
      <c r="AS44" s="175" t="n">
        <f aca="false">+AS43+AT$41</f>
        <v>54</v>
      </c>
      <c r="AT44" s="175"/>
      <c r="AU44" s="175"/>
      <c r="AV44" s="35"/>
      <c r="AW44" s="35"/>
      <c r="AX44" s="147" t="s">
        <v>128</v>
      </c>
      <c r="AY44" s="196" t="n">
        <v>-1.5</v>
      </c>
      <c r="AZ44" s="196" t="n">
        <f aca="false">+'EOL LINKS'!H46</f>
        <v>-1</v>
      </c>
      <c r="BA44" s="112" t="n">
        <f aca="false">+AZ44-AY44</f>
        <v>0.5</v>
      </c>
      <c r="BH44" s="199" t="n">
        <v>3.468</v>
      </c>
    </row>
    <row r="45" customFormat="false" ht="18" hidden="false" customHeight="false" outlineLevel="0" collapsed="false">
      <c r="A45" s="95" t="n">
        <f aca="false">TradeSum!A46</f>
        <v>38200</v>
      </c>
      <c r="B45" s="96" t="n">
        <f aca="false">TradeSum!B46+TradeSum!B90</f>
        <v>-15308.9306640625</v>
      </c>
      <c r="C45" s="97" t="n">
        <f aca="false">TradeSum!C46+TradeSum!C90</f>
        <v>-49.9191818465402</v>
      </c>
      <c r="D45" s="99" t="n">
        <f aca="false">TradeSum!D46+TradeSum!D90</f>
        <v>0</v>
      </c>
      <c r="E45" s="97" t="n">
        <f aca="false">TradeSum!E46+TradeSum!E90</f>
        <v>-15308.9306640625</v>
      </c>
      <c r="F45" s="99" t="n">
        <f aca="false">C45+D45</f>
        <v>-49.9191818465402</v>
      </c>
      <c r="G45" s="100" t="n">
        <f aca="false">TradeSum!CE46*NYMEX!E45</f>
        <v>0</v>
      </c>
      <c r="H45" s="101" t="n">
        <f aca="false">G45+E45</f>
        <v>-15308.9306640625</v>
      </c>
      <c r="I45" s="101" t="n">
        <f aca="false">H45/TradeSum!CD46</f>
        <v>-43.4912802956321</v>
      </c>
      <c r="J45" s="188" t="n">
        <f aca="false">NYMEX!J45+TradeSum!J46+TradeSum!J90</f>
        <v>7654.46533203125</v>
      </c>
      <c r="K45" s="189" t="n">
        <f aca="false">TradeSum!K134+NYMEX!K45</f>
        <v>0</v>
      </c>
      <c r="L45" s="189" t="n">
        <f aca="false">J45+K45</f>
        <v>7654.46533203125</v>
      </c>
      <c r="N45" s="35"/>
      <c r="O45" s="181" t="s">
        <v>143</v>
      </c>
      <c r="P45" s="182" t="n">
        <f aca="false">SUM(P37:P39)</f>
        <v>0</v>
      </c>
      <c r="Q45" s="182" t="n">
        <f aca="false">SUM(Q37:Q39)</f>
        <v>-44.9</v>
      </c>
      <c r="R45" s="182" t="n">
        <f aca="false">SUM(R37:R39)</f>
        <v>21.5</v>
      </c>
      <c r="S45" s="183" t="n">
        <f aca="false">SUM(P45:R45)</f>
        <v>-23.4</v>
      </c>
      <c r="T45" s="182" t="n">
        <f aca="false">SUM(T37:T39)</f>
        <v>0</v>
      </c>
      <c r="U45" s="182" t="n">
        <f aca="false">SUM(U37:U39)</f>
        <v>0</v>
      </c>
      <c r="V45" s="182" t="n">
        <f aca="false">SUM(V37:V39)</f>
        <v>0</v>
      </c>
      <c r="W45" s="35"/>
      <c r="X45" s="67"/>
      <c r="Y45" s="67"/>
      <c r="Z45" s="204"/>
      <c r="AA45" s="81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175"/>
      <c r="AQ45" s="175"/>
      <c r="AR45" s="58"/>
      <c r="AS45" s="175"/>
      <c r="AT45" s="175"/>
      <c r="AU45" s="175"/>
      <c r="AV45" s="35"/>
      <c r="AW45" s="35"/>
      <c r="AX45" s="147" t="s">
        <v>130</v>
      </c>
      <c r="AY45" s="196" t="n">
        <v>-1.25</v>
      </c>
      <c r="AZ45" s="196" t="n">
        <f aca="false">+'EOL LINKS'!H47</f>
        <v>-0.75</v>
      </c>
      <c r="BA45" s="112" t="n">
        <f aca="false">+AZ45-AY45</f>
        <v>0.5</v>
      </c>
      <c r="BH45" s="199" t="n">
        <v>3.367</v>
      </c>
    </row>
    <row r="46" customFormat="false" ht="18.75" hidden="false" customHeight="false" outlineLevel="0" collapsed="false">
      <c r="A46" s="95" t="n">
        <f aca="false">TradeSum!A47</f>
        <v>38231</v>
      </c>
      <c r="B46" s="205" t="n">
        <f aca="false">TradeSum!B47+TradeSum!B91</f>
        <v>-43632.984375</v>
      </c>
      <c r="C46" s="206" t="n">
        <f aca="false">TradeSum!C47+TradeSum!C91</f>
        <v>-149.76606365085</v>
      </c>
      <c r="D46" s="142" t="n">
        <f aca="false">TradeSum!D47+TradeSum!D91</f>
        <v>0</v>
      </c>
      <c r="E46" s="206" t="n">
        <f aca="false">TradeSum!E47+TradeSum!E91</f>
        <v>-43632.984375</v>
      </c>
      <c r="F46" s="142" t="n">
        <f aca="false">C46+D46</f>
        <v>-149.76606365085</v>
      </c>
      <c r="G46" s="207" t="n">
        <f aca="false">TradeSum!CE47*NYMEX!E46</f>
        <v>0</v>
      </c>
      <c r="H46" s="143" t="n">
        <f aca="false">G46+E46</f>
        <v>-43632.984375</v>
      </c>
      <c r="I46" s="101" t="n">
        <f aca="false">H46/TradeSum!CD47</f>
        <v>-129.860072544643</v>
      </c>
      <c r="J46" s="208" t="n">
        <f aca="false">NYMEX!J46+TradeSum!J47+TradeSum!J91</f>
        <v>0</v>
      </c>
      <c r="K46" s="209" t="n">
        <f aca="false">TradeSum!K135+NYMEX!K46</f>
        <v>0</v>
      </c>
      <c r="L46" s="209" t="n">
        <f aca="false">J46+K46</f>
        <v>0</v>
      </c>
      <c r="N46" s="35"/>
      <c r="O46" s="181" t="s">
        <v>135</v>
      </c>
      <c r="P46" s="182" t="n">
        <f aca="false">SUM(P40:P42)</f>
        <v>-184.8</v>
      </c>
      <c r="Q46" s="182" t="n">
        <f aca="false">SUM(Q40:Q42)</f>
        <v>133.6</v>
      </c>
      <c r="R46" s="182" t="n">
        <f aca="false">SUM(R40:R42)</f>
        <v>21.2</v>
      </c>
      <c r="S46" s="183" t="n">
        <f aca="false">SUM(P46:R46)</f>
        <v>-30</v>
      </c>
      <c r="T46" s="182" t="n">
        <f aca="false">SUM(T40:T42)</f>
        <v>0</v>
      </c>
      <c r="U46" s="182" t="n">
        <f aca="false">SUM(U40:U42)</f>
        <v>0</v>
      </c>
      <c r="V46" s="182" t="n">
        <f aca="false">SUM(V40:V42)</f>
        <v>0</v>
      </c>
      <c r="W46" s="35"/>
      <c r="X46" s="67"/>
      <c r="Y46" s="67"/>
      <c r="Z46" s="204"/>
      <c r="AA46" s="81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175"/>
      <c r="AQ46" s="175"/>
      <c r="AR46" s="58"/>
      <c r="AS46" s="175"/>
      <c r="AT46" s="175"/>
      <c r="AU46" s="175"/>
      <c r="AV46" s="35"/>
      <c r="AW46" s="35"/>
      <c r="AX46" s="147" t="s">
        <v>133</v>
      </c>
      <c r="AY46" s="196" t="n">
        <v>-1.1</v>
      </c>
      <c r="AZ46" s="196" t="n">
        <f aca="false">+'EOL LINKS'!H48</f>
        <v>-0.75</v>
      </c>
      <c r="BA46" s="112" t="n">
        <f aca="false">+AZ46-AY46</f>
        <v>0.35</v>
      </c>
      <c r="BH46" s="199" t="n">
        <v>3.303</v>
      </c>
    </row>
    <row r="47" customFormat="false" ht="18" hidden="false" customHeight="false" outlineLevel="0" collapsed="false">
      <c r="A47" s="46" t="s">
        <v>144</v>
      </c>
      <c r="B47" s="46" t="s">
        <v>144</v>
      </c>
      <c r="C47" s="46"/>
      <c r="D47" s="46"/>
      <c r="E47" s="46"/>
      <c r="F47" s="46"/>
      <c r="G47" s="46"/>
      <c r="H47" s="46"/>
      <c r="I47" s="46"/>
      <c r="J47" s="46"/>
      <c r="K47" s="50"/>
      <c r="L47" s="46" t="s">
        <v>144</v>
      </c>
      <c r="N47" s="35"/>
      <c r="O47" s="190"/>
      <c r="P47" s="210"/>
      <c r="Q47" s="210"/>
      <c r="R47" s="210"/>
      <c r="S47" s="192"/>
      <c r="T47" s="210"/>
      <c r="U47" s="210"/>
      <c r="V47" s="210"/>
      <c r="W47" s="35"/>
      <c r="X47" s="67"/>
      <c r="Y47" s="67"/>
      <c r="Z47" s="211"/>
      <c r="AA47" s="81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175"/>
      <c r="AQ47" s="175"/>
      <c r="AR47" s="58"/>
      <c r="AS47" s="175"/>
      <c r="AT47" s="175"/>
      <c r="AU47" s="175"/>
      <c r="AV47" s="35"/>
      <c r="AW47" s="35"/>
      <c r="AX47" s="147" t="s">
        <v>135</v>
      </c>
      <c r="AY47" s="196" t="n">
        <v>-0.75</v>
      </c>
      <c r="AZ47" s="196" t="n">
        <f aca="false">+'EOL LINKS'!H49</f>
        <v>-0.55</v>
      </c>
      <c r="BA47" s="112" t="n">
        <f aca="false">+AZ47-AY47</f>
        <v>0.2</v>
      </c>
      <c r="BH47" s="199" t="n">
        <v>3.187</v>
      </c>
      <c r="BJ47" s="199" t="n">
        <f aca="false">AVERAGE(BH38:BH47)</f>
        <v>3.1605</v>
      </c>
    </row>
    <row r="48" customFormat="false" ht="18" hidden="false" customHeight="false" outlineLevel="0" collapsed="false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N48" s="35"/>
      <c r="O48" s="212" t="s">
        <v>100</v>
      </c>
      <c r="P48" s="213" t="n">
        <f aca="false">SUM(P31:P42)</f>
        <v>-184.8</v>
      </c>
      <c r="Q48" s="213" t="n">
        <f aca="false">SUM(Q31:Q42)</f>
        <v>89.4</v>
      </c>
      <c r="R48" s="213" t="n">
        <f aca="false">SUM(R31:R42)</f>
        <v>86.5</v>
      </c>
      <c r="S48" s="214" t="n">
        <f aca="false">SUM(S31:S42)</f>
        <v>-8.9</v>
      </c>
      <c r="T48" s="213" t="n">
        <f aca="false">SUM(T31:T42)</f>
        <v>0</v>
      </c>
      <c r="U48" s="213" t="n">
        <f aca="false">SUM(U31:U42)</f>
        <v>0</v>
      </c>
      <c r="V48" s="213" t="n">
        <f aca="false">SUM(V31:V42)</f>
        <v>0</v>
      </c>
      <c r="W48" s="35"/>
      <c r="X48" s="67"/>
      <c r="Y48" s="67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158" t="n">
        <f aca="false">+AK33*4*16/336</f>
        <v>171.428571428571</v>
      </c>
      <c r="AL48" s="159" t="n">
        <f aca="false">+AL33*4*16/336</f>
        <v>-133.333333333333</v>
      </c>
      <c r="AM48" s="57" t="n">
        <f aca="false">+AM33*4*16/336</f>
        <v>9.52380952380952</v>
      </c>
      <c r="AN48" s="35"/>
      <c r="AO48" s="35"/>
      <c r="AP48" s="158" t="n">
        <f aca="false">+AP33*4*16/336</f>
        <v>0</v>
      </c>
      <c r="AQ48" s="159" t="n">
        <f aca="false">+AQ33*4*16/336</f>
        <v>0</v>
      </c>
      <c r="AR48" s="57" t="n">
        <f aca="false">+AR33*4*16/336</f>
        <v>0</v>
      </c>
      <c r="AS48" s="175"/>
      <c r="AT48" s="175"/>
      <c r="AU48" s="175"/>
      <c r="AV48" s="35"/>
      <c r="AW48" s="35"/>
      <c r="AX48" s="35"/>
    </row>
    <row r="49" customFormat="false" ht="18" hidden="false" customHeight="false" outlineLevel="0" collapsed="false"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67"/>
      <c r="Y49" s="67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62" t="n">
        <f aca="false">+AK34*5*16/336</f>
        <v>238.095238095238</v>
      </c>
      <c r="AL49" s="63" t="n">
        <f aca="false">+AL34*5*16/336</f>
        <v>-154.761904761905</v>
      </c>
      <c r="AM49" s="127" t="n">
        <f aca="false">+AM34*5*16/336</f>
        <v>-11.9047619047619</v>
      </c>
      <c r="AN49" s="35"/>
      <c r="AO49" s="35"/>
      <c r="AP49" s="62" t="n">
        <f aca="false">+AP34*5*16/336</f>
        <v>0</v>
      </c>
      <c r="AQ49" s="63" t="n">
        <f aca="false">+AQ34*5*16/336</f>
        <v>0</v>
      </c>
      <c r="AR49" s="127" t="n">
        <f aca="false">+AR34*5*16/336</f>
        <v>0</v>
      </c>
      <c r="AS49" s="175"/>
      <c r="AT49" s="175"/>
      <c r="AU49" s="175"/>
      <c r="AV49" s="35"/>
      <c r="AW49" s="35"/>
      <c r="AX49" s="35"/>
    </row>
    <row r="50" customFormat="false" ht="15.95" hidden="false" customHeight="true" outlineLevel="0" collapsed="false">
      <c r="N50" s="35"/>
      <c r="O50" s="35"/>
      <c r="P50" s="35"/>
      <c r="Q50" s="35"/>
      <c r="R50" s="35"/>
      <c r="S50" s="215" t="n">
        <v>37257</v>
      </c>
      <c r="T50" s="58" t="n">
        <f aca="false">+Master!H60+Total!V50</f>
        <v>1682.45901639344</v>
      </c>
      <c r="U50" s="58"/>
      <c r="V50" s="58" t="n">
        <f aca="false">+AA$37/12.2+AA$33/12.2+AA$41/4+AA39+AA36</f>
        <v>34.7295081967213</v>
      </c>
      <c r="W50" s="58" t="n">
        <v>1613</v>
      </c>
      <c r="X50" s="67"/>
      <c r="Y50" s="67"/>
      <c r="Z50" s="35"/>
      <c r="AA50" s="216" t="n">
        <v>19.48</v>
      </c>
      <c r="AB50" s="216" t="n">
        <f aca="false">-0.23-0.25</f>
        <v>-0.48</v>
      </c>
      <c r="AC50" s="217"/>
      <c r="AE50" s="35"/>
      <c r="AF50" s="35" t="n">
        <v>368</v>
      </c>
      <c r="AG50" s="35" t="n">
        <f aca="false">31*24</f>
        <v>744</v>
      </c>
      <c r="AH50" s="35"/>
      <c r="AI50" s="35" t="n">
        <f aca="false">+AG50-AF50</f>
        <v>376</v>
      </c>
      <c r="AJ50" s="35"/>
      <c r="AK50" s="62" t="n">
        <f aca="false">+AK35*5*16/336</f>
        <v>47.6190476190476</v>
      </c>
      <c r="AL50" s="63" t="n">
        <f aca="false">+AL35*5*16/336</f>
        <v>-190.47619047619</v>
      </c>
      <c r="AM50" s="127" t="n">
        <f aca="false">+AM35*5*16/336</f>
        <v>-11.9047619047619</v>
      </c>
      <c r="AN50" s="35"/>
      <c r="AO50" s="35"/>
      <c r="AP50" s="62" t="n">
        <f aca="false">+AP35*5*16/336</f>
        <v>0</v>
      </c>
      <c r="AQ50" s="63" t="n">
        <f aca="false">+AQ35*5*16/336</f>
        <v>0</v>
      </c>
      <c r="AR50" s="127" t="n">
        <f aca="false">+AR35*5*16/336</f>
        <v>0</v>
      </c>
      <c r="AS50" s="175"/>
      <c r="AT50" s="175"/>
      <c r="AU50" s="175"/>
      <c r="AV50" s="35"/>
      <c r="AW50" s="35"/>
      <c r="AX50" s="35"/>
    </row>
    <row r="51" customFormat="false" ht="15.95" hidden="false" customHeight="true" outlineLevel="0" collapsed="false">
      <c r="K51" s="0" t="n">
        <f aca="false">+L51*N51</f>
        <v>8588.60457234014</v>
      </c>
      <c r="L51" s="218" t="n">
        <f aca="false">+[1]COMED!$G62</f>
        <v>29.8107110886347</v>
      </c>
      <c r="N51" s="219" t="n">
        <f aca="false">+TradeSum!DK40*16*Q51</f>
        <v>288.104652948535</v>
      </c>
      <c r="O51" s="220" t="n">
        <v>37987</v>
      </c>
      <c r="P51" s="221" t="n">
        <f aca="false">+[1]Cinergy!$G62</f>
        <v>30.6607095627558</v>
      </c>
      <c r="Q51" s="222" t="n">
        <f aca="false">VLOOKUP(O51,Interest!$X$8:$AC$367,6)</f>
        <v>0.900327040464172</v>
      </c>
      <c r="R51" s="35" t="n">
        <f aca="false">+N51*P51</f>
        <v>8833.49308773358</v>
      </c>
      <c r="S51" s="215" t="n">
        <v>37288</v>
      </c>
      <c r="T51" s="58" t="n">
        <f aca="false">+Master!I60+Total!V51</f>
        <v>-283.540983606557</v>
      </c>
      <c r="U51" s="58"/>
      <c r="V51" s="58" t="n">
        <f aca="false">+AA$37/12.2+AA$33/12.2+AA$41/4</f>
        <v>-73.7704918032787</v>
      </c>
      <c r="W51" s="58" t="n">
        <v>-136</v>
      </c>
      <c r="X51" s="35"/>
      <c r="Y51" s="67"/>
      <c r="Z51" s="35"/>
      <c r="AA51" s="216" t="n">
        <v>21.56</v>
      </c>
      <c r="AB51" s="216" t="n">
        <f aca="false">-2.81-0.25</f>
        <v>-3.06</v>
      </c>
      <c r="AC51" s="217"/>
      <c r="AE51" s="35"/>
      <c r="AF51" s="35" t="n">
        <v>336</v>
      </c>
      <c r="AG51" s="35" t="n">
        <f aca="false">30*24</f>
        <v>720</v>
      </c>
      <c r="AH51" s="35"/>
      <c r="AI51" s="35" t="n">
        <f aca="false">+AG51-AF51</f>
        <v>384</v>
      </c>
      <c r="AJ51" s="35"/>
      <c r="AK51" s="62" t="n">
        <f aca="false">+AK36*5*16/336</f>
        <v>154.761904761905</v>
      </c>
      <c r="AL51" s="63" t="n">
        <f aca="false">+AL36*5*16/336</f>
        <v>-190.47619047619</v>
      </c>
      <c r="AM51" s="127" t="n">
        <f aca="false">+AM36*5*16/336</f>
        <v>-11.9047619047619</v>
      </c>
      <c r="AN51" s="35"/>
      <c r="AO51" s="35"/>
      <c r="AP51" s="62" t="n">
        <f aca="false">+AP36*5*16/336</f>
        <v>0</v>
      </c>
      <c r="AQ51" s="63" t="n">
        <f aca="false">+AQ36*5*16/336</f>
        <v>0</v>
      </c>
      <c r="AR51" s="127" t="n">
        <f aca="false">+AR36*5*16/336</f>
        <v>0</v>
      </c>
      <c r="AS51" s="175"/>
      <c r="AT51" s="175"/>
      <c r="AU51" s="175"/>
      <c r="AV51" s="35"/>
      <c r="AW51" s="35"/>
      <c r="AX51" s="35"/>
    </row>
    <row r="52" customFormat="false" ht="15.95" hidden="false" customHeight="true" outlineLevel="0" collapsed="false">
      <c r="K52" s="0" t="n">
        <f aca="false">+L52*N52</f>
        <v>9490.46514212025</v>
      </c>
      <c r="L52" s="218" t="n">
        <f aca="false">+[1]COMED!$G63</f>
        <v>28.7726798390233</v>
      </c>
      <c r="N52" s="219" t="n">
        <f aca="false">+TradeSum!DK41*16*Q52</f>
        <v>329.842934172878</v>
      </c>
      <c r="O52" s="220" t="n">
        <v>38018</v>
      </c>
      <c r="P52" s="221" t="n">
        <f aca="false">+[1]Cinergy!$G63</f>
        <v>29.1226706837499</v>
      </c>
      <c r="Q52" s="222" t="n">
        <f aca="false">VLOOKUP(O52,Interest!$X$8:$AC$367,6)</f>
        <v>0.89631232112195</v>
      </c>
      <c r="R52" s="35" t="n">
        <f aca="false">+N52*P52</f>
        <v>9605.9071492785</v>
      </c>
      <c r="S52" s="223" t="n">
        <v>37316</v>
      </c>
      <c r="T52" s="224" t="n">
        <f aca="false">+Master!J60+Total!V52</f>
        <v>-303.540983606557</v>
      </c>
      <c r="U52" s="224"/>
      <c r="V52" s="58" t="n">
        <f aca="false">+AA$37/12.2+AA$33/12.2+AA$41/4</f>
        <v>-73.7704918032787</v>
      </c>
      <c r="W52" s="224" t="n">
        <v>-156</v>
      </c>
      <c r="X52" s="35"/>
      <c r="Y52" s="67"/>
      <c r="Z52" s="35"/>
      <c r="AA52" s="216" t="n">
        <v>21.34</v>
      </c>
      <c r="AB52" s="216" t="n">
        <v>-0.5</v>
      </c>
      <c r="AC52" s="217"/>
      <c r="AE52" s="35"/>
      <c r="AF52" s="35" t="n">
        <v>320</v>
      </c>
      <c r="AG52" s="35" t="n">
        <f aca="false">31*24</f>
        <v>744</v>
      </c>
      <c r="AH52" s="35"/>
      <c r="AI52" s="35" t="n">
        <f aca="false">+AG52-AF52</f>
        <v>424</v>
      </c>
      <c r="AJ52" s="35"/>
      <c r="AK52" s="225" t="n">
        <f aca="false">+AK37*2*16/336</f>
        <v>28.5714285714286</v>
      </c>
      <c r="AL52" s="136" t="n">
        <f aca="false">+AL37*2*16/336</f>
        <v>-76.1904761904762</v>
      </c>
      <c r="AM52" s="137" t="n">
        <f aca="false">+AM37*2*16/336</f>
        <v>-4.76190476190476</v>
      </c>
      <c r="AN52" s="35"/>
      <c r="AO52" s="35"/>
      <c r="AP52" s="225" t="n">
        <f aca="false">+AP37*2*16/336</f>
        <v>0</v>
      </c>
      <c r="AQ52" s="136" t="n">
        <f aca="false">+AQ37*2*16/336</f>
        <v>0</v>
      </c>
      <c r="AR52" s="137" t="n">
        <f aca="false">+AR37*2*16/336</f>
        <v>0</v>
      </c>
      <c r="AS52" s="226"/>
      <c r="AT52" s="35"/>
      <c r="AU52" s="35"/>
      <c r="AV52" s="35"/>
      <c r="AW52" s="35"/>
      <c r="AX52" s="35"/>
      <c r="BE52" s="216" t="n">
        <v>19.48</v>
      </c>
      <c r="BF52" s="216" t="n">
        <f aca="false">-0.48+0.25</f>
        <v>-0.23</v>
      </c>
      <c r="BG52" s="217"/>
      <c r="BH52" s="216" t="n">
        <f aca="false">+BF52+BE52</f>
        <v>19.25</v>
      </c>
      <c r="BI52" s="35"/>
      <c r="BJ52" s="35" t="n">
        <v>368</v>
      </c>
      <c r="BK52" s="35" t="n">
        <f aca="false">31*24</f>
        <v>744</v>
      </c>
      <c r="BL52" s="35"/>
      <c r="BM52" s="35" t="n">
        <f aca="false">+BK52-BJ52</f>
        <v>376</v>
      </c>
    </row>
    <row r="53" customFormat="false" ht="15.95" hidden="false" customHeight="true" outlineLevel="0" collapsed="false">
      <c r="K53" s="0" t="n">
        <f aca="false">+L53*N53</f>
        <v>9098.04242485911</v>
      </c>
      <c r="L53" s="218" t="n">
        <f aca="false">+[1]COMED!$G64</f>
        <v>28.9726729725682</v>
      </c>
      <c r="N53" s="219" t="n">
        <f aca="false">+TradeSum!DK42*16*Q53</f>
        <v>314.021506868671</v>
      </c>
      <c r="O53" s="220" t="n">
        <v>38047</v>
      </c>
      <c r="P53" s="221" t="n">
        <f aca="false">+[1]Cinergy!$G64</f>
        <v>29.3226714466893</v>
      </c>
      <c r="Q53" s="222" t="n">
        <f aca="false">VLOOKUP(O53,Interest!$X$8:$AC$367,6)</f>
        <v>0.89210655360418</v>
      </c>
      <c r="R53" s="35" t="n">
        <f aca="false">+N53*P53</f>
        <v>9207.94947310435</v>
      </c>
      <c r="S53" s="215" t="n">
        <v>37347</v>
      </c>
      <c r="T53" s="58" t="n">
        <f aca="false">+V53+W53</f>
        <v>-529.770491803279</v>
      </c>
      <c r="U53" s="58"/>
      <c r="V53" s="58" t="n">
        <f aca="false">+AA$37/12.2+AA$33/12.2+AA$41/4</f>
        <v>-73.7704918032787</v>
      </c>
      <c r="W53" s="58" t="n">
        <v>-456</v>
      </c>
      <c r="X53" s="35"/>
      <c r="Y53" s="67"/>
      <c r="Z53" s="35"/>
      <c r="AA53" s="216" t="n">
        <f aca="false">AVERAGE(AA50:AA52)</f>
        <v>20.7933333333333</v>
      </c>
      <c r="AB53" s="216"/>
      <c r="AC53" s="217"/>
      <c r="AE53" s="35"/>
      <c r="AF53" s="35"/>
      <c r="AG53" s="35"/>
      <c r="AH53" s="35"/>
      <c r="AI53" s="35"/>
      <c r="AJ53" s="35"/>
      <c r="AK53" s="227" t="n">
        <f aca="false">SUM(AK48:AK52)</f>
        <v>640.476190476191</v>
      </c>
      <c r="AL53" s="228" t="n">
        <f aca="false">SUM(AL48:AL52)</f>
        <v>-745.238095238095</v>
      </c>
      <c r="AM53" s="229" t="n">
        <f aca="false">SUM(AM48:AM52)</f>
        <v>-30.952380952381</v>
      </c>
      <c r="AN53" s="35"/>
      <c r="AO53" s="35"/>
      <c r="AP53" s="227" t="n">
        <f aca="false">SUM(AP48:AP52)</f>
        <v>0</v>
      </c>
      <c r="AQ53" s="228" t="n">
        <f aca="false">SUM(AQ48:AQ52)</f>
        <v>0</v>
      </c>
      <c r="AR53" s="229" t="n">
        <f aca="false">SUM(AR48:AR52)</f>
        <v>0</v>
      </c>
      <c r="AS53" s="35"/>
      <c r="AT53" s="35"/>
      <c r="AU53" s="35"/>
      <c r="AV53" s="35"/>
      <c r="AW53" s="35"/>
      <c r="AX53" s="35"/>
      <c r="BE53" s="216" t="n">
        <v>21.56</v>
      </c>
      <c r="BF53" s="216" t="n">
        <v>-2.81</v>
      </c>
      <c r="BG53" s="217"/>
      <c r="BH53" s="216" t="n">
        <f aca="false">+BF53+BE53</f>
        <v>18.75</v>
      </c>
      <c r="BI53" s="35"/>
      <c r="BJ53" s="35" t="n">
        <v>336</v>
      </c>
      <c r="BK53" s="35" t="n">
        <f aca="false">30*24</f>
        <v>720</v>
      </c>
      <c r="BL53" s="35"/>
      <c r="BM53" s="35" t="n">
        <f aca="false">+BK53-BJ53</f>
        <v>384</v>
      </c>
    </row>
    <row r="54" customFormat="false" ht="15.95" hidden="false" customHeight="true" outlineLevel="0" collapsed="false">
      <c r="K54" s="0" t="n">
        <f aca="false">+L54*N54</f>
        <v>8346.93550737916</v>
      </c>
      <c r="L54" s="218" t="n">
        <f aca="false">+[1]COMED!$G65</f>
        <v>29.375</v>
      </c>
      <c r="N54" s="219" t="n">
        <f aca="false">+TradeSum!DK43*16*Q54</f>
        <v>284.150995995886</v>
      </c>
      <c r="O54" s="220" t="n">
        <v>38078</v>
      </c>
      <c r="P54" s="221" t="n">
        <f aca="false">+[1]Cinergy!$G65</f>
        <v>30.7250061035156</v>
      </c>
      <c r="Q54" s="222" t="n">
        <f aca="false">VLOOKUP(O54,Interest!$X$8:$AC$367,6)</f>
        <v>0.887971862487145</v>
      </c>
      <c r="R54" s="35" t="n">
        <f aca="false">+N54*P54</f>
        <v>8730.54108629365</v>
      </c>
      <c r="S54" s="215" t="n">
        <v>37377</v>
      </c>
      <c r="T54" s="58" t="n">
        <f aca="false">+V54+W54</f>
        <v>-483.627634660421</v>
      </c>
      <c r="U54" s="58"/>
      <c r="V54" s="58" t="n">
        <f aca="false">+AA$37/12.2+AA$33/12.2+Master!I$95/7</f>
        <v>-116.627634660421</v>
      </c>
      <c r="W54" s="58" t="n">
        <v>-367</v>
      </c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BE54" s="216" t="n">
        <v>21.34</v>
      </c>
      <c r="BF54" s="216" t="n">
        <f aca="false">-0.34+0.25</f>
        <v>-0.09</v>
      </c>
      <c r="BG54" s="217"/>
      <c r="BH54" s="216" t="n">
        <f aca="false">+BF54+BE54</f>
        <v>21.25</v>
      </c>
      <c r="BI54" s="35"/>
      <c r="BJ54" s="35" t="n">
        <v>320</v>
      </c>
      <c r="BK54" s="35" t="n">
        <f aca="false">31*24</f>
        <v>744</v>
      </c>
      <c r="BL54" s="35"/>
      <c r="BM54" s="35" t="n">
        <f aca="false">+BK54-BJ54</f>
        <v>424</v>
      </c>
    </row>
    <row r="55" customFormat="false" ht="15.95" hidden="false" customHeight="true" outlineLevel="0" collapsed="false">
      <c r="K55" s="0" t="n">
        <f aca="false">+L55*N55</f>
        <v>11495.0182519407</v>
      </c>
      <c r="L55" s="218" t="n">
        <f aca="false">+[1]COMED!$G66</f>
        <v>36.9500045776367</v>
      </c>
      <c r="N55" s="219" t="n">
        <f aca="false">+TradeSum!DK44*16*Q55</f>
        <v>311.096531200372</v>
      </c>
      <c r="O55" s="220" t="n">
        <v>38108</v>
      </c>
      <c r="P55" s="221" t="n">
        <f aca="false">+[1]Cinergy!$G66</f>
        <v>38.5500068664551</v>
      </c>
      <c r="Q55" s="222" t="n">
        <f aca="false">VLOOKUP(O55,Interest!$X$8:$AC$367,6)</f>
        <v>0.883796963637421</v>
      </c>
      <c r="R55" s="35" t="n">
        <f aca="false">+N55*P55</f>
        <v>11992.7734139047</v>
      </c>
      <c r="S55" s="215" t="n">
        <v>37408</v>
      </c>
      <c r="T55" s="58" t="n">
        <f aca="false">+V55+W55</f>
        <v>-228.627634660421</v>
      </c>
      <c r="U55" s="58"/>
      <c r="V55" s="58" t="n">
        <f aca="false">+AA$37/12.2+AA$33/12.2+Master!I$95/7</f>
        <v>-116.627634660421</v>
      </c>
      <c r="W55" s="58" t="n">
        <v>-112</v>
      </c>
      <c r="X55" s="35"/>
      <c r="Y55" s="35"/>
      <c r="Z55" s="35"/>
      <c r="AA55" s="216"/>
      <c r="AB55" s="216"/>
      <c r="AC55" s="35"/>
      <c r="AD55" s="230" t="s">
        <v>145</v>
      </c>
      <c r="AE55" s="231"/>
      <c r="AF55" s="232" t="n">
        <v>3.02</v>
      </c>
      <c r="AG55" s="35"/>
      <c r="AH55" s="35"/>
      <c r="AI55" s="35"/>
      <c r="AJ55" s="35"/>
      <c r="AK55" s="35"/>
      <c r="AL55" s="230" t="s">
        <v>146</v>
      </c>
      <c r="AM55" s="231"/>
      <c r="AN55" s="232" t="n">
        <v>65</v>
      </c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BE55" s="216" t="n">
        <f aca="false">AVERAGE(BE52:BE54)</f>
        <v>20.7933333333333</v>
      </c>
      <c r="BF55" s="216"/>
      <c r="BG55" s="217"/>
      <c r="BH55" s="216" t="n">
        <f aca="false">((BH52*BM52)+(BH53*BM53)+(BH54*BM54))/SUM(BM52:BM54)</f>
        <v>19.8040540540541</v>
      </c>
      <c r="BI55" s="35"/>
      <c r="BJ55" s="35"/>
      <c r="BK55" s="35"/>
      <c r="BL55" s="35"/>
      <c r="BM55" s="35"/>
    </row>
    <row r="56" customFormat="false" ht="15.95" hidden="false" customHeight="true" outlineLevel="0" collapsed="false">
      <c r="C56" s="233" t="s">
        <v>107</v>
      </c>
      <c r="D56" s="234" t="n">
        <f aca="false">+Master!K11*TradeSum!CD12</f>
        <v>12512</v>
      </c>
      <c r="K56" s="0" t="n">
        <f aca="false">+L56*N56</f>
        <v>14715.7773566064</v>
      </c>
      <c r="L56" s="218" t="n">
        <f aca="false">+[1]COMED!$G67</f>
        <v>47.5249977111816</v>
      </c>
      <c r="N56" s="219" t="n">
        <f aca="false">+TradeSum!DK45*16*Q56</f>
        <v>309.64288406781</v>
      </c>
      <c r="O56" s="220" t="n">
        <v>38139</v>
      </c>
      <c r="P56" s="221" t="n">
        <f aca="false">+[1]Cinergy!$G67</f>
        <v>49.375</v>
      </c>
      <c r="Q56" s="222" t="n">
        <f aca="false">VLOOKUP(O56,Interest!$X$8:$AC$367,6)</f>
        <v>0.879667284283552</v>
      </c>
      <c r="R56" s="35" t="n">
        <f aca="false">+N56*P56</f>
        <v>15288.6174008481</v>
      </c>
      <c r="S56" s="215" t="n">
        <v>37438</v>
      </c>
      <c r="T56" s="58" t="n">
        <f aca="false">+V56+W56</f>
        <v>-238.627634660421</v>
      </c>
      <c r="U56" s="58"/>
      <c r="V56" s="58" t="n">
        <f aca="false">+AA$37/12.2+AA$33/12.2+Master!I$95/7</f>
        <v>-116.627634660421</v>
      </c>
      <c r="W56" s="58" t="n">
        <v>-122</v>
      </c>
      <c r="X56" s="35"/>
      <c r="Y56" s="35"/>
      <c r="Z56" s="35"/>
      <c r="AA56" s="35"/>
      <c r="AB56" s="35"/>
      <c r="AC56" s="35"/>
      <c r="AD56" s="216"/>
      <c r="AE56" s="35"/>
      <c r="AF56" s="35"/>
      <c r="AG56" s="35"/>
      <c r="AH56" s="35"/>
      <c r="AI56" s="35"/>
      <c r="AJ56" s="35"/>
      <c r="AK56" s="35"/>
      <c r="AL56" s="216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</row>
    <row r="57" customFormat="false" ht="15.95" hidden="false" customHeight="true" outlineLevel="0" collapsed="false">
      <c r="C57" s="233" t="s">
        <v>110</v>
      </c>
      <c r="D57" s="234" t="n">
        <f aca="false">+Master!K12*TradeSum!CD13</f>
        <v>0</v>
      </c>
      <c r="K57" s="0" t="n">
        <f aca="false">+L57*N57</f>
        <v>14645.4153606072</v>
      </c>
      <c r="L57" s="218" t="n">
        <f aca="false">+[1]COMED!$G68</f>
        <v>47.5249977111816</v>
      </c>
      <c r="N57" s="219" t="n">
        <f aca="false">+TradeSum!DK46*16*Q57</f>
        <v>308.162358041764</v>
      </c>
      <c r="O57" s="220" t="n">
        <v>38169</v>
      </c>
      <c r="P57" s="221" t="n">
        <f aca="false">+[1]Cinergy!$G68</f>
        <v>49.375</v>
      </c>
      <c r="Q57" s="222" t="n">
        <f aca="false">VLOOKUP(O57,Interest!$X$8:$AC$367,6)</f>
        <v>0.875461244436829</v>
      </c>
      <c r="R57" s="35" t="n">
        <f aca="false">+N57*P57</f>
        <v>15215.5164283121</v>
      </c>
      <c r="S57" s="215" t="n">
        <v>37469</v>
      </c>
      <c r="T57" s="58" t="n">
        <f aca="false">+V57+W57</f>
        <v>-238.627634660421</v>
      </c>
      <c r="U57" s="58"/>
      <c r="V57" s="58" t="n">
        <f aca="false">+AA$37/12.2+AA$33/12.2+Master!I$95/7</f>
        <v>-116.627634660421</v>
      </c>
      <c r="W57" s="58" t="n">
        <v>-122</v>
      </c>
      <c r="X57" s="35"/>
      <c r="Y57" s="35"/>
      <c r="Z57" s="35"/>
      <c r="AA57" s="35"/>
      <c r="AB57" s="35"/>
      <c r="AC57" s="35"/>
      <c r="AD57" s="158" t="n">
        <v>-1</v>
      </c>
      <c r="AE57" s="235"/>
      <c r="AF57" s="236" t="n">
        <v>2.99</v>
      </c>
      <c r="AG57" s="237" t="s">
        <v>147</v>
      </c>
      <c r="AH57" s="35"/>
      <c r="AI57" s="238" t="n">
        <f aca="false">+(AF$55-AF57)*AD57*1000</f>
        <v>-29.9999999999998</v>
      </c>
      <c r="AJ57" s="35"/>
      <c r="AK57" s="35"/>
      <c r="AL57" s="158" t="n">
        <v>2</v>
      </c>
      <c r="AM57" s="235" t="n">
        <v>75</v>
      </c>
      <c r="AN57" s="236" t="s">
        <v>148</v>
      </c>
      <c r="AO57" s="239" t="n">
        <f aca="false">+(AN$55-AM57)*AL57</f>
        <v>-20</v>
      </c>
      <c r="AP57" s="35"/>
      <c r="AQ57" s="240" t="n">
        <v>37001</v>
      </c>
      <c r="AR57" s="58" t="n">
        <v>748</v>
      </c>
      <c r="AS57" s="58"/>
      <c r="AT57" s="35"/>
      <c r="AU57" s="35"/>
      <c r="AV57" s="35"/>
      <c r="AW57" s="35"/>
      <c r="AX57" s="35"/>
      <c r="BE57" s="0" t="s">
        <v>149</v>
      </c>
      <c r="BF57" s="0" t="s">
        <v>150</v>
      </c>
      <c r="BG57" s="0" t="s">
        <v>151</v>
      </c>
    </row>
    <row r="58" customFormat="false" ht="15.95" hidden="false" customHeight="true" outlineLevel="0" collapsed="false">
      <c r="C58" s="233" t="s">
        <v>115</v>
      </c>
      <c r="D58" s="234" t="n">
        <f aca="false">+Master!K14*TradeSum!CD14</f>
        <v>16630.4</v>
      </c>
      <c r="K58" s="0" t="n">
        <f aca="false">+L58*N58</f>
        <v>8145.33904555116</v>
      </c>
      <c r="L58" s="218" t="n">
        <f aca="false">+[1]COMED!$G69</f>
        <v>27.8249988555908</v>
      </c>
      <c r="N58" s="219" t="n">
        <f aca="false">+TradeSum!DK47*16*Q58</f>
        <v>292.734568932948</v>
      </c>
      <c r="O58" s="220" t="n">
        <v>38200</v>
      </c>
      <c r="P58" s="221" t="n">
        <f aca="false">+[1]Cinergy!$G69</f>
        <v>28.6750011444092</v>
      </c>
      <c r="Q58" s="222" t="n">
        <f aca="false">VLOOKUP(O58,Interest!$X$8:$AC$367,6)</f>
        <v>0.871233836109965</v>
      </c>
      <c r="R58" s="35" t="n">
        <f aca="false">+N58*P58</f>
        <v>8394.16409916042</v>
      </c>
      <c r="S58" s="215" t="n">
        <v>37500</v>
      </c>
      <c r="T58" s="58" t="n">
        <f aca="false">+V58+W58</f>
        <v>-227.627634660421</v>
      </c>
      <c r="U58" s="58"/>
      <c r="V58" s="58" t="n">
        <f aca="false">+AA$37/12.2+AA$33/12.2+Master!I$95/7</f>
        <v>-116.627634660421</v>
      </c>
      <c r="W58" s="58" t="n">
        <v>-111</v>
      </c>
      <c r="X58" s="35"/>
      <c r="Y58" s="35"/>
      <c r="Z58" s="35"/>
      <c r="AA58" s="35"/>
      <c r="AB58" s="35"/>
      <c r="AC58" s="35"/>
      <c r="AD58" s="62" t="n">
        <v>-5</v>
      </c>
      <c r="AE58" s="241"/>
      <c r="AF58" s="193" t="n">
        <v>2.995</v>
      </c>
      <c r="AG58" s="242" t="s">
        <v>152</v>
      </c>
      <c r="AH58" s="35"/>
      <c r="AI58" s="243" t="n">
        <f aca="false">+(AF$55-AF58)*AD58*1000</f>
        <v>-125</v>
      </c>
      <c r="AJ58" s="35"/>
      <c r="AK58" s="35"/>
      <c r="AL58" s="62" t="n">
        <v>1</v>
      </c>
      <c r="AM58" s="241" t="n">
        <v>65</v>
      </c>
      <c r="AN58" s="193" t="s">
        <v>147</v>
      </c>
      <c r="AO58" s="244" t="n">
        <f aca="false">+(AN$55-AM58)*AL58</f>
        <v>0</v>
      </c>
      <c r="AP58" s="35"/>
      <c r="AQ58" s="240" t="n">
        <v>37013</v>
      </c>
      <c r="AR58" s="58" t="n">
        <f aca="false">+AR57+AS58</f>
        <v>840</v>
      </c>
      <c r="AS58" s="58" t="n">
        <v>92</v>
      </c>
      <c r="AT58" s="35"/>
      <c r="AU58" s="35"/>
      <c r="AV58" s="58" t="n">
        <v>84</v>
      </c>
      <c r="AW58" s="35"/>
      <c r="AX58" s="35"/>
      <c r="BD58" s="0" t="s">
        <v>134</v>
      </c>
      <c r="BE58" s="0" t="n">
        <v>15.5</v>
      </c>
      <c r="BG58" s="245" t="n">
        <f aca="false">+Master!B65</f>
        <v>17.5</v>
      </c>
    </row>
    <row r="59" customFormat="false" ht="15.95" hidden="false" customHeight="true" outlineLevel="0" collapsed="false">
      <c r="C59" s="233" t="s">
        <v>153</v>
      </c>
      <c r="D59" s="234" t="n">
        <f aca="false">+Master!K15*TradeSum!CD15</f>
        <v>10436.8</v>
      </c>
      <c r="K59" s="0" t="n">
        <f aca="false">+L59*N59</f>
        <v>8326.98065820619</v>
      </c>
      <c r="L59" s="218" t="n">
        <f aca="false">+[1]COMED!$G70</f>
        <v>28.5815681219101</v>
      </c>
      <c r="N59" s="219" t="n">
        <f aca="false">+TradeSum!DK48*16*Q59</f>
        <v>291.340930724612</v>
      </c>
      <c r="O59" s="220" t="n">
        <v>38231</v>
      </c>
      <c r="P59" s="221" t="n">
        <f aca="false">+[1]Cinergy!$G70</f>
        <v>29.6315635442734</v>
      </c>
      <c r="Q59" s="222" t="n">
        <f aca="false">VLOOKUP(O59,Interest!$X$8:$AC$367,6)</f>
        <v>0.867086103347059</v>
      </c>
      <c r="R59" s="35" t="n">
        <f aca="false">+N59*P59</f>
        <v>8632.88730181409</v>
      </c>
      <c r="S59" s="215" t="n">
        <v>37530</v>
      </c>
      <c r="T59" s="58" t="n">
        <f aca="false">+V59+W59</f>
        <v>-237.627634660421</v>
      </c>
      <c r="U59" s="58"/>
      <c r="V59" s="58" t="n">
        <f aca="false">+AA$37/12.2+AA$33/12.2+Master!I$95/7</f>
        <v>-116.627634660421</v>
      </c>
      <c r="W59" s="58" t="n">
        <v>-121</v>
      </c>
      <c r="X59" s="35"/>
      <c r="Y59" s="35"/>
      <c r="Z59" s="35"/>
      <c r="AA59" s="35"/>
      <c r="AB59" s="35"/>
      <c r="AC59" s="35"/>
      <c r="AD59" s="62" t="n">
        <v>5</v>
      </c>
      <c r="AE59" s="241"/>
      <c r="AF59" s="193" t="n">
        <v>2.992</v>
      </c>
      <c r="AG59" s="242" t="s">
        <v>152</v>
      </c>
      <c r="AH59" s="35"/>
      <c r="AI59" s="243" t="n">
        <f aca="false">+(AF$55-AF59)*AD59*1000</f>
        <v>140</v>
      </c>
      <c r="AJ59" s="35"/>
      <c r="AK59" s="35"/>
      <c r="AL59" s="62"/>
      <c r="AM59" s="241"/>
      <c r="AN59" s="193"/>
      <c r="AO59" s="244" t="n">
        <f aca="false">+(AN$55-AM59)*AL59</f>
        <v>0</v>
      </c>
      <c r="AP59" s="35"/>
      <c r="AQ59" s="240" t="n">
        <f aca="false">+AQ58+7</f>
        <v>37020</v>
      </c>
      <c r="AR59" s="58" t="n">
        <f aca="false">+AR58+AS59</f>
        <v>936</v>
      </c>
      <c r="AS59" s="58" t="n">
        <v>96</v>
      </c>
      <c r="AT59" s="35"/>
      <c r="AU59" s="35"/>
      <c r="AV59" s="58" t="n">
        <v>98</v>
      </c>
      <c r="AW59" s="35"/>
      <c r="AX59" s="35"/>
      <c r="BD59" s="0" t="s">
        <v>136</v>
      </c>
      <c r="BE59" s="0" t="n">
        <v>14.5</v>
      </c>
      <c r="BG59" s="245" t="n">
        <f aca="false">+Master!B66</f>
        <v>15.05</v>
      </c>
    </row>
    <row r="60" customFormat="false" ht="15.95" hidden="false" customHeight="true" outlineLevel="0" collapsed="false">
      <c r="C60" s="233" t="s">
        <v>125</v>
      </c>
      <c r="D60" s="234" t="n">
        <f aca="false">+Master!K16*TradeSum!CD16</f>
        <v>8304</v>
      </c>
      <c r="K60" s="0" t="n">
        <f aca="false">+L60*N60</f>
        <v>8344.46619923155</v>
      </c>
      <c r="L60" s="218" t="n">
        <f aca="false">+[1]COMED!$G71</f>
        <v>28.7815631628037</v>
      </c>
      <c r="N60" s="219" t="n">
        <f aca="false">+TradeSum!DK49*16*Q60</f>
        <v>289.924009756901</v>
      </c>
      <c r="O60" s="220" t="n">
        <v>38261</v>
      </c>
      <c r="P60" s="221" t="n">
        <f aca="false">+[1]Cinergy!$G71</f>
        <v>29.7315620183945</v>
      </c>
      <c r="Q60" s="222" t="n">
        <f aca="false">VLOOKUP(O60,Interest!$X$8:$AC$367,6)</f>
        <v>0.862869076657444</v>
      </c>
      <c r="R60" s="35" t="n">
        <f aca="false">+N60*P60</f>
        <v>8619.89367670891</v>
      </c>
      <c r="S60" s="215" t="n">
        <v>37561</v>
      </c>
      <c r="T60" s="58" t="n">
        <f aca="false">+V60+W60</f>
        <v>61.2295081967213</v>
      </c>
      <c r="U60" s="58"/>
      <c r="V60" s="58" t="n">
        <f aca="false">+AA$37/12.2+AA$33/12.2</f>
        <v>-73.7704918032787</v>
      </c>
      <c r="W60" s="58" t="n">
        <v>135</v>
      </c>
      <c r="X60" s="35"/>
      <c r="Y60" s="35"/>
      <c r="Z60" s="35"/>
      <c r="AA60" s="35"/>
      <c r="AB60" s="35"/>
      <c r="AC60" s="35"/>
      <c r="AD60" s="62" t="n">
        <v>1</v>
      </c>
      <c r="AE60" s="241"/>
      <c r="AF60" s="193" t="n">
        <v>3</v>
      </c>
      <c r="AG60" s="242" t="s">
        <v>154</v>
      </c>
      <c r="AH60" s="35"/>
      <c r="AI60" s="243" t="n">
        <f aca="false">+(AF$55-AF60)*AD60*1000</f>
        <v>20</v>
      </c>
      <c r="AJ60" s="35"/>
      <c r="AK60" s="35"/>
      <c r="AL60" s="62"/>
      <c r="AM60" s="241"/>
      <c r="AN60" s="193"/>
      <c r="AO60" s="244" t="n">
        <f aca="false">+(AN$55-AM60)*AL60</f>
        <v>0</v>
      </c>
      <c r="AP60" s="35"/>
      <c r="AQ60" s="240" t="n">
        <f aca="false">+AQ59+7</f>
        <v>37027</v>
      </c>
      <c r="AR60" s="58" t="n">
        <f aca="false">+AR59+AS60</f>
        <v>1034</v>
      </c>
      <c r="AS60" s="58" t="n">
        <f aca="false">+AS59+2</f>
        <v>98</v>
      </c>
      <c r="AT60" s="35"/>
      <c r="AU60" s="35"/>
      <c r="AV60" s="58" t="n">
        <v>100</v>
      </c>
      <c r="AW60" s="35"/>
      <c r="AX60" s="35"/>
      <c r="BD60" s="0" t="s">
        <v>139</v>
      </c>
      <c r="BE60" s="0" t="n">
        <v>17.5</v>
      </c>
      <c r="BG60" s="245" t="n">
        <f aca="false">+Master!B67</f>
        <v>18.625</v>
      </c>
    </row>
    <row r="61" customFormat="false" ht="15.95" hidden="false" customHeight="true" outlineLevel="0" collapsed="false">
      <c r="C61" s="233" t="s">
        <v>129</v>
      </c>
      <c r="D61" s="234" t="n">
        <f aca="false">+Master!K16*TradeSum!CD16</f>
        <v>8304</v>
      </c>
      <c r="K61" s="0" t="n">
        <f aca="false">+L61*N61</f>
        <v>9364.09523175965</v>
      </c>
      <c r="L61" s="218" t="n">
        <f aca="false">+[1]COMED!$G72</f>
        <v>29.6315635442734</v>
      </c>
      <c r="N61" s="219" t="n">
        <f aca="false">+TradeSum!DK50*16*Q61</f>
        <v>316.017587724269</v>
      </c>
      <c r="O61" s="220" t="n">
        <v>38292</v>
      </c>
      <c r="P61" s="221" t="n">
        <f aca="false">+[1]Cinergy!$G72</f>
        <v>29.8315604925156</v>
      </c>
      <c r="Q61" s="222" t="n">
        <f aca="false">VLOOKUP(O61,Interest!$X$8:$AC$367,6)</f>
        <v>0.858743444902904</v>
      </c>
      <c r="R61" s="35" t="n">
        <f aca="false">+N61*P61</f>
        <v>9427.29778489536</v>
      </c>
      <c r="S61" s="215" t="n">
        <v>37591</v>
      </c>
      <c r="T61" s="58" t="n">
        <f aca="false">+V61+W61</f>
        <v>62.2295081967213</v>
      </c>
      <c r="U61" s="58" t="n">
        <f aca="false">SUM(T50:T61)</f>
        <v>-965.700234192035</v>
      </c>
      <c r="V61" s="58" t="n">
        <f aca="false">+AA$37/12.2+AA$33/12.2</f>
        <v>-73.7704918032787</v>
      </c>
      <c r="W61" s="58" t="n">
        <v>136</v>
      </c>
      <c r="X61" s="35"/>
      <c r="Y61" s="58" t="n">
        <f aca="false">SUM(W50:W61)</f>
        <v>181</v>
      </c>
      <c r="Z61" s="35"/>
      <c r="AA61" s="35"/>
      <c r="AB61" s="35"/>
      <c r="AC61" s="35"/>
      <c r="AD61" s="62"/>
      <c r="AE61" s="241"/>
      <c r="AF61" s="193"/>
      <c r="AG61" s="242"/>
      <c r="AH61" s="35"/>
      <c r="AI61" s="243" t="n">
        <f aca="false">+(AF$55-AF61)*AD61*1000</f>
        <v>0</v>
      </c>
      <c r="AJ61" s="35"/>
      <c r="AK61" s="35"/>
      <c r="AL61" s="62"/>
      <c r="AM61" s="241"/>
      <c r="AN61" s="193"/>
      <c r="AO61" s="244" t="n">
        <f aca="false">+(AN$55-AM61)*AL61</f>
        <v>0</v>
      </c>
      <c r="AP61" s="35"/>
      <c r="AQ61" s="240" t="n">
        <f aca="false">+AQ60+7</f>
        <v>37034</v>
      </c>
      <c r="AR61" s="58" t="n">
        <f aca="false">+AR60+AS61</f>
        <v>1122</v>
      </c>
      <c r="AS61" s="58" t="n">
        <f aca="false">+AS60-10</f>
        <v>88</v>
      </c>
      <c r="AT61" s="35"/>
      <c r="AU61" s="35"/>
      <c r="AV61" s="58" t="n">
        <v>90</v>
      </c>
      <c r="AW61" s="35"/>
      <c r="AX61" s="35"/>
    </row>
    <row r="62" customFormat="false" ht="15.95" hidden="false" customHeight="true" outlineLevel="0" collapsed="false">
      <c r="C62" s="233" t="s">
        <v>131</v>
      </c>
      <c r="D62" s="234" t="n">
        <f aca="false">+Master!K17*TradeSum!CD18</f>
        <v>9134.4</v>
      </c>
      <c r="J62" s="218" t="n">
        <f aca="false">SUM(K51:K62)/SUM(N51:N62)</f>
        <v>32.9585495009244</v>
      </c>
      <c r="K62" s="0" t="n">
        <f aca="false">+L62*N62</f>
        <v>8819.85668752107</v>
      </c>
      <c r="L62" s="218" t="n">
        <f aca="false">+[1]COMED!$G73</f>
        <v>30.7187177567255</v>
      </c>
      <c r="M62" s="218" t="n">
        <f aca="false">SUM(R51:R62)/SUM(N51:N62)</f>
        <v>33.9487295570546</v>
      </c>
      <c r="N62" s="219" t="n">
        <f aca="false">+TradeSum!DK51*16*Q62</f>
        <v>287.116694042025</v>
      </c>
      <c r="O62" s="220" t="n">
        <v>38322</v>
      </c>
      <c r="P62" s="221" t="n">
        <f aca="false">+[1]Cinergy!$G73</f>
        <v>31.4107190994989</v>
      </c>
      <c r="Q62" s="222" t="n">
        <f aca="false">VLOOKUP(O62,Interest!$X$8:$AC$367,6)</f>
        <v>0.854513970363169</v>
      </c>
      <c r="R62" s="35" t="n">
        <f aca="false">+N62*P62</f>
        <v>9018.54182533082</v>
      </c>
      <c r="S62" s="215" t="n">
        <v>37622</v>
      </c>
      <c r="T62" s="58" t="n">
        <f aca="false">+V62+W62</f>
        <v>60</v>
      </c>
      <c r="U62" s="58"/>
      <c r="V62" s="58" t="n">
        <f aca="false">+AA$38/12</f>
        <v>0</v>
      </c>
      <c r="W62" s="58" t="n">
        <v>60</v>
      </c>
      <c r="X62" s="35"/>
      <c r="Y62" s="58"/>
      <c r="Z62" s="35"/>
      <c r="AA62" s="35"/>
      <c r="AB62" s="35"/>
      <c r="AC62" s="35"/>
      <c r="AD62" s="62"/>
      <c r="AE62" s="241"/>
      <c r="AF62" s="193"/>
      <c r="AG62" s="242"/>
      <c r="AH62" s="35"/>
      <c r="AI62" s="243" t="n">
        <f aca="false">+(AF$55-AF62)*AD62*1000</f>
        <v>0</v>
      </c>
      <c r="AJ62" s="35"/>
      <c r="AK62" s="35"/>
      <c r="AL62" s="62"/>
      <c r="AM62" s="241"/>
      <c r="AN62" s="193"/>
      <c r="AO62" s="244" t="n">
        <f aca="false">+(AN$55-AM62)*AL62</f>
        <v>0</v>
      </c>
      <c r="AP62" s="35"/>
      <c r="AQ62" s="240" t="n">
        <f aca="false">+AQ61+7</f>
        <v>37041</v>
      </c>
      <c r="AR62" s="58" t="n">
        <f aca="false">+AR61+AS62</f>
        <v>1213</v>
      </c>
      <c r="AS62" s="58" t="n">
        <f aca="false">+AS61+3</f>
        <v>91</v>
      </c>
      <c r="AT62" s="35"/>
      <c r="AU62" s="35"/>
      <c r="AV62" s="58" t="n">
        <v>93</v>
      </c>
      <c r="AW62" s="35"/>
      <c r="AX62" s="35"/>
    </row>
    <row r="63" customFormat="false" ht="15.95" hidden="false" customHeight="true" outlineLevel="0" collapsed="false">
      <c r="C63" s="233" t="s">
        <v>134</v>
      </c>
      <c r="D63" s="234" t="n">
        <f aca="false">+TradeSum!I19*TradeSum!CD19</f>
        <v>11000</v>
      </c>
      <c r="K63" s="0" t="n">
        <f aca="false">+L63*N63</f>
        <v>8336.71827389945</v>
      </c>
      <c r="L63" s="218" t="n">
        <f aca="false">+[1]COMED!$G74</f>
        <v>30.6407129196894</v>
      </c>
      <c r="N63" s="219" t="n">
        <f aca="false">+TradeSum!DK52*16*Q63</f>
        <v>272.079774897874</v>
      </c>
      <c r="O63" s="220" t="n">
        <v>38353</v>
      </c>
      <c r="P63" s="221" t="n">
        <f aca="false">+[1]Cinergy!$G74</f>
        <v>31.3307096390497</v>
      </c>
      <c r="Q63" s="222" t="n">
        <f aca="false">VLOOKUP(O63,Interest!$X$8:$AC$367,6)</f>
        <v>0.850249296555855</v>
      </c>
      <c r="R63" s="35" t="n">
        <f aca="false">+N63*P63</f>
        <v>8524.45242598329</v>
      </c>
      <c r="S63" s="215" t="n">
        <v>37653</v>
      </c>
      <c r="T63" s="58" t="n">
        <f aca="false">+V63+W63</f>
        <v>57</v>
      </c>
      <c r="U63" s="58"/>
      <c r="V63" s="58" t="n">
        <f aca="false">+AA$38/12</f>
        <v>0</v>
      </c>
      <c r="W63" s="58" t="n">
        <v>57</v>
      </c>
      <c r="X63" s="35"/>
      <c r="Y63" s="58"/>
      <c r="Z63" s="35"/>
      <c r="AA63" s="35"/>
      <c r="AB63" s="35"/>
      <c r="AC63" s="35"/>
      <c r="AD63" s="62"/>
      <c r="AE63" s="241"/>
      <c r="AF63" s="193"/>
      <c r="AG63" s="242"/>
      <c r="AH63" s="35"/>
      <c r="AI63" s="243" t="n">
        <f aca="false">+(AF$55-AF63)*AD63*1000</f>
        <v>0</v>
      </c>
      <c r="AJ63" s="35"/>
      <c r="AK63" s="35"/>
      <c r="AL63" s="62"/>
      <c r="AM63" s="241"/>
      <c r="AN63" s="193"/>
      <c r="AO63" s="244" t="n">
        <f aca="false">+(AN$55-AM63)*AL63</f>
        <v>0</v>
      </c>
      <c r="AP63" s="35"/>
      <c r="AQ63" s="240" t="n">
        <f aca="false">+AQ62+7</f>
        <v>37048</v>
      </c>
      <c r="AR63" s="58" t="n">
        <f aca="false">+AR62+AS63</f>
        <v>1304</v>
      </c>
      <c r="AS63" s="58" t="n">
        <f aca="false">+AS62</f>
        <v>91</v>
      </c>
      <c r="AT63" s="35"/>
      <c r="AU63" s="35"/>
      <c r="AV63" s="58" t="n">
        <v>93</v>
      </c>
      <c r="AW63" s="35"/>
      <c r="AX63" s="35"/>
    </row>
    <row r="64" customFormat="false" ht="15.95" hidden="false" customHeight="true" outlineLevel="0" collapsed="false">
      <c r="C64" s="233" t="s">
        <v>136</v>
      </c>
      <c r="D64" s="234" t="n">
        <f aca="false">+TradeSum!I20*TradeSum!CD20</f>
        <v>13120</v>
      </c>
      <c r="K64" s="0" t="n">
        <f aca="false">+L64*N64</f>
        <v>9219.45674216689</v>
      </c>
      <c r="L64" s="218" t="n">
        <f aca="false">+[1]COMED!$G75</f>
        <v>29.6026778553807</v>
      </c>
      <c r="N64" s="219" t="n">
        <f aca="false">+TradeSum!DK53*16*Q64</f>
        <v>311.439957804058</v>
      </c>
      <c r="O64" s="220" t="n">
        <v>38384</v>
      </c>
      <c r="P64" s="221" t="n">
        <f aca="false">+[1]Cinergy!$G75</f>
        <v>29.7926726673925</v>
      </c>
      <c r="Q64" s="222" t="n">
        <f aca="false">VLOOKUP(O64,Interest!$X$8:$AC$367,6)</f>
        <v>0.8463042331632</v>
      </c>
      <c r="R64" s="35" t="n">
        <f aca="false">+N64*P64</f>
        <v>9278.62871840281</v>
      </c>
      <c r="S64" s="215" t="n">
        <v>37681</v>
      </c>
      <c r="T64" s="58" t="n">
        <f aca="false">+V64+W64</f>
        <v>60</v>
      </c>
      <c r="U64" s="58"/>
      <c r="V64" s="58" t="n">
        <f aca="false">+AA$38/12</f>
        <v>0</v>
      </c>
      <c r="W64" s="58" t="n">
        <v>60</v>
      </c>
      <c r="X64" s="35"/>
      <c r="Y64" s="58"/>
      <c r="Z64" s="35"/>
      <c r="AA64" s="35"/>
      <c r="AB64" s="35"/>
      <c r="AC64" s="35"/>
      <c r="AD64" s="62"/>
      <c r="AE64" s="241"/>
      <c r="AF64" s="193"/>
      <c r="AG64" s="242"/>
      <c r="AH64" s="35"/>
      <c r="AI64" s="243" t="n">
        <f aca="false">+(AF$55-AF64)*AD64*1000</f>
        <v>0</v>
      </c>
      <c r="AJ64" s="35"/>
      <c r="AK64" s="35"/>
      <c r="AL64" s="62"/>
      <c r="AM64" s="241"/>
      <c r="AN64" s="193"/>
      <c r="AO64" s="244" t="n">
        <f aca="false">+(AN$55-AM64)*AL64</f>
        <v>0</v>
      </c>
      <c r="AP64" s="35"/>
      <c r="AQ64" s="240" t="n">
        <f aca="false">+AQ63+7</f>
        <v>37055</v>
      </c>
      <c r="AR64" s="58" t="n">
        <f aca="false">+AR63+AS64</f>
        <v>1394</v>
      </c>
      <c r="AS64" s="58" t="n">
        <f aca="false">+AS63-1</f>
        <v>90</v>
      </c>
      <c r="AT64" s="35"/>
      <c r="AU64" s="35"/>
      <c r="AV64" s="58" t="n">
        <v>92</v>
      </c>
      <c r="AW64" s="35"/>
      <c r="AX64" s="35"/>
    </row>
    <row r="65" customFormat="false" ht="15.95" hidden="false" customHeight="true" outlineLevel="0" collapsed="false">
      <c r="C65" s="233" t="s">
        <v>139</v>
      </c>
      <c r="D65" s="234" t="n">
        <f aca="false">+TradeSum!I21*TradeSum!CD21</f>
        <v>19316</v>
      </c>
      <c r="K65" s="0" t="n">
        <f aca="false">+L65*N65</f>
        <v>8432.52072734517</v>
      </c>
      <c r="L65" s="218" t="n">
        <f aca="false">+[1]COMED!$G76</f>
        <v>29.8026786183202</v>
      </c>
      <c r="N65" s="219" t="n">
        <f aca="false">+TradeSum!DK54*16*Q65</f>
        <v>282.945061259076</v>
      </c>
      <c r="O65" s="220" t="n">
        <v>38412</v>
      </c>
      <c r="P65" s="221" t="n">
        <f aca="false">+[1]Cinergy!$G76</f>
        <v>29.9926734303319</v>
      </c>
      <c r="Q65" s="222" t="n">
        <f aca="false">VLOOKUP(O65,Interest!$X$8:$AC$367,6)</f>
        <v>0.842098396604393</v>
      </c>
      <c r="R65" s="35" t="n">
        <f aca="false">+N65*P65</f>
        <v>8486.27882106873</v>
      </c>
      <c r="S65" s="215" t="n">
        <v>37712</v>
      </c>
      <c r="T65" s="58" t="n">
        <f aca="false">+V65+W65</f>
        <v>59</v>
      </c>
      <c r="U65" s="58"/>
      <c r="V65" s="58" t="n">
        <f aca="false">+AA$38/12</f>
        <v>0</v>
      </c>
      <c r="W65" s="58" t="n">
        <v>59</v>
      </c>
      <c r="X65" s="35"/>
      <c r="Y65" s="58"/>
      <c r="Z65" s="35"/>
      <c r="AA65" s="35"/>
      <c r="AB65" s="35"/>
      <c r="AC65" s="35"/>
      <c r="AD65" s="62"/>
      <c r="AE65" s="241"/>
      <c r="AF65" s="193"/>
      <c r="AG65" s="242"/>
      <c r="AH65" s="35"/>
      <c r="AI65" s="243" t="n">
        <f aca="false">+(AF$55-AF65)*AD65*1000</f>
        <v>0</v>
      </c>
      <c r="AJ65" s="35"/>
      <c r="AK65" s="35"/>
      <c r="AL65" s="62"/>
      <c r="AM65" s="241"/>
      <c r="AN65" s="193"/>
      <c r="AO65" s="244" t="n">
        <f aca="false">+(AN$55-AM65)*AL65</f>
        <v>0</v>
      </c>
      <c r="AP65" s="35"/>
      <c r="AQ65" s="240" t="n">
        <f aca="false">+AQ64+7</f>
        <v>37062</v>
      </c>
      <c r="AR65" s="58" t="n">
        <f aca="false">+AR64+AS65</f>
        <v>1482</v>
      </c>
      <c r="AS65" s="58" t="n">
        <f aca="false">+AS64-2</f>
        <v>88</v>
      </c>
      <c r="AT65" s="35"/>
      <c r="AU65" s="35"/>
      <c r="AV65" s="58" t="n">
        <v>88</v>
      </c>
      <c r="AW65" s="35"/>
      <c r="AX65" s="35"/>
    </row>
    <row r="66" customFormat="false" ht="15.95" hidden="false" customHeight="true" outlineLevel="0" collapsed="false">
      <c r="K66" s="0" t="n">
        <f aca="false">+L66*N66</f>
        <v>8504.3530619473</v>
      </c>
      <c r="L66" s="218" t="n">
        <f aca="false">+[1]COMED!$G77</f>
        <v>30.2050018310547</v>
      </c>
      <c r="N66" s="219" t="n">
        <f aca="false">+TradeSum!DK55*16*Q66</f>
        <v>281.554462718281</v>
      </c>
      <c r="O66" s="220" t="n">
        <v>38443</v>
      </c>
      <c r="P66" s="221" t="n">
        <f aca="false">+[1]Cinergy!$G77</f>
        <v>31.394998550415</v>
      </c>
      <c r="Q66" s="222" t="n">
        <f aca="false">VLOOKUP(O66,Interest!$X$8:$AC$367,6)</f>
        <v>0.837959710471074</v>
      </c>
      <c r="R66" s="35" t="n">
        <f aca="false">+N66*P66</f>
        <v>8839.40194890332</v>
      </c>
      <c r="S66" s="215" t="n">
        <v>37742</v>
      </c>
      <c r="T66" s="58" t="n">
        <f aca="false">+V66+W66</f>
        <v>60</v>
      </c>
      <c r="U66" s="58"/>
      <c r="V66" s="58" t="n">
        <f aca="false">+AA$38/12</f>
        <v>0</v>
      </c>
      <c r="W66" s="58" t="n">
        <v>60</v>
      </c>
      <c r="X66" s="35"/>
      <c r="Y66" s="58"/>
      <c r="Z66" s="35"/>
      <c r="AA66" s="35"/>
      <c r="AB66" s="35"/>
      <c r="AC66" s="35"/>
      <c r="AD66" s="62"/>
      <c r="AE66" s="241"/>
      <c r="AF66" s="193"/>
      <c r="AG66" s="242"/>
      <c r="AH66" s="35"/>
      <c r="AI66" s="243" t="n">
        <f aca="false">+(AF$55-AF66)*AD66*1000</f>
        <v>0</v>
      </c>
      <c r="AJ66" s="35"/>
      <c r="AK66" s="35"/>
      <c r="AL66" s="62"/>
      <c r="AM66" s="241"/>
      <c r="AN66" s="193"/>
      <c r="AO66" s="244" t="n">
        <f aca="false">+(AN$55-AM66)*AL66</f>
        <v>0</v>
      </c>
      <c r="AP66" s="35"/>
      <c r="AQ66" s="240" t="n">
        <f aca="false">+AQ65+7</f>
        <v>37069</v>
      </c>
      <c r="AR66" s="58" t="n">
        <f aca="false">+AR65+AS66</f>
        <v>1567</v>
      </c>
      <c r="AS66" s="58" t="n">
        <f aca="false">+AS65-3</f>
        <v>85</v>
      </c>
      <c r="AT66" s="35"/>
      <c r="AU66" s="35"/>
      <c r="AV66" s="58" t="n">
        <v>85</v>
      </c>
      <c r="AW66" s="35"/>
      <c r="AX66" s="35"/>
    </row>
    <row r="67" customFormat="false" ht="15.95" hidden="false" customHeight="true" outlineLevel="0" collapsed="false">
      <c r="D67" s="246" t="n">
        <f aca="false">SUM(D56:D66)</f>
        <v>108757.6</v>
      </c>
      <c r="K67" s="0" t="n">
        <f aca="false">+L67*N67</f>
        <v>10985.3451405872</v>
      </c>
      <c r="L67" s="218" t="n">
        <f aca="false">+[1]COMED!$G78</f>
        <v>37.4300003051758</v>
      </c>
      <c r="N67" s="219" t="n">
        <f aca="false">+TradeSum!DK56*16*Q67</f>
        <v>293.490383409592</v>
      </c>
      <c r="O67" s="220" t="n">
        <v>38473</v>
      </c>
      <c r="P67" s="221" t="n">
        <f aca="false">+[1]Cinergy!$G78</f>
        <v>38.8699989318848</v>
      </c>
      <c r="Q67" s="222" t="n">
        <f aca="false">VLOOKUP(O67,Interest!$X$8:$AC$367,6)</f>
        <v>0.833779498322704</v>
      </c>
      <c r="R67" s="35" t="n">
        <f aca="false">+N67*P67</f>
        <v>11407.9708896493</v>
      </c>
      <c r="S67" s="215" t="n">
        <v>37773</v>
      </c>
      <c r="T67" s="58" t="n">
        <f aca="false">+V67+W67</f>
        <v>77</v>
      </c>
      <c r="U67" s="58"/>
      <c r="V67" s="58" t="n">
        <f aca="false">+AA$38/12</f>
        <v>0</v>
      </c>
      <c r="W67" s="58" t="n">
        <v>77</v>
      </c>
      <c r="X67" s="35"/>
      <c r="Y67" s="58"/>
      <c r="Z67" s="35"/>
      <c r="AA67" s="35"/>
      <c r="AB67" s="35"/>
      <c r="AC67" s="35"/>
      <c r="AD67" s="62"/>
      <c r="AE67" s="241"/>
      <c r="AF67" s="193"/>
      <c r="AG67" s="242"/>
      <c r="AH67" s="35"/>
      <c r="AI67" s="243" t="n">
        <f aca="false">+(AF$55-AF67)*AD67*1000</f>
        <v>0</v>
      </c>
      <c r="AJ67" s="35"/>
      <c r="AK67" s="35"/>
      <c r="AL67" s="62"/>
      <c r="AM67" s="241"/>
      <c r="AN67" s="193"/>
      <c r="AO67" s="244" t="n">
        <f aca="false">+(AN$55-AM67)*AL67</f>
        <v>0</v>
      </c>
      <c r="AP67" s="35"/>
      <c r="AQ67" s="240" t="n">
        <f aca="false">+AQ66+7</f>
        <v>37076</v>
      </c>
      <c r="AR67" s="58" t="n">
        <f aca="false">+AR66+AS67</f>
        <v>1648</v>
      </c>
      <c r="AS67" s="58" t="n">
        <f aca="false">+AS66-4</f>
        <v>81</v>
      </c>
      <c r="AT67" s="35"/>
      <c r="AU67" s="35"/>
      <c r="AV67" s="58" t="n">
        <v>81</v>
      </c>
      <c r="AW67" s="35"/>
      <c r="AX67" s="35"/>
    </row>
    <row r="68" customFormat="false" ht="15.95" hidden="false" customHeight="true" outlineLevel="0" collapsed="false">
      <c r="D68" s="247" t="n">
        <f aca="false">+D67/SUM(TradeSum!CD12:CD21)</f>
        <v>31.912441314554</v>
      </c>
      <c r="K68" s="0" t="n">
        <f aca="false">+L68*N68</f>
        <v>12593.6946015181</v>
      </c>
      <c r="L68" s="218" t="n">
        <f aca="false">+[1]COMED!$G79</f>
        <v>47.435001373291</v>
      </c>
      <c r="N68" s="219" t="n">
        <f aca="false">+TradeSum!DK57*16*Q68</f>
        <v>265.493712172826</v>
      </c>
      <c r="O68" s="220" t="n">
        <v>38504</v>
      </c>
      <c r="P68" s="221" t="n">
        <f aca="false">+[1]Cinergy!$G79</f>
        <v>49.125</v>
      </c>
      <c r="Q68" s="222" t="n">
        <f aca="false">VLOOKUP(O68,Interest!$X$8:$AC$367,6)</f>
        <v>0.829667850540082</v>
      </c>
      <c r="R68" s="35" t="n">
        <f aca="false">+N68*P68</f>
        <v>13042.3786104901</v>
      </c>
      <c r="S68" s="215" t="n">
        <v>37803</v>
      </c>
      <c r="T68" s="58" t="n">
        <f aca="false">+V68+W68</f>
        <v>59</v>
      </c>
      <c r="U68" s="58"/>
      <c r="V68" s="58" t="n">
        <f aca="false">+AA$38/12</f>
        <v>0</v>
      </c>
      <c r="W68" s="58" t="n">
        <v>59</v>
      </c>
      <c r="X68" s="35"/>
      <c r="Y68" s="58"/>
      <c r="Z68" s="35"/>
      <c r="AA68" s="35"/>
      <c r="AB68" s="35"/>
      <c r="AC68" s="35"/>
      <c r="AD68" s="62"/>
      <c r="AE68" s="241"/>
      <c r="AF68" s="193"/>
      <c r="AG68" s="242"/>
      <c r="AH68" s="35"/>
      <c r="AI68" s="243" t="n">
        <f aca="false">+(AF$55-AF68)*AD68*1000</f>
        <v>0</v>
      </c>
      <c r="AJ68" s="35"/>
      <c r="AK68" s="35"/>
      <c r="AL68" s="62"/>
      <c r="AM68" s="241"/>
      <c r="AN68" s="193"/>
      <c r="AO68" s="244" t="n">
        <f aca="false">+(AN$55-AM68)*AL68</f>
        <v>0</v>
      </c>
      <c r="AP68" s="35"/>
      <c r="AQ68" s="240" t="n">
        <f aca="false">+AQ67+7</f>
        <v>37083</v>
      </c>
      <c r="AR68" s="58" t="n">
        <f aca="false">+AR67+AS68</f>
        <v>1725</v>
      </c>
      <c r="AS68" s="58" t="n">
        <f aca="false">+AS67-4</f>
        <v>77</v>
      </c>
      <c r="AT68" s="35"/>
      <c r="AU68" s="35"/>
      <c r="AV68" s="58" t="n">
        <v>77</v>
      </c>
      <c r="AW68" s="35"/>
      <c r="AX68" s="35"/>
    </row>
    <row r="69" customFormat="false" ht="15.95" hidden="false" customHeight="true" outlineLevel="0" collapsed="false">
      <c r="K69" s="0" t="n">
        <f aca="false">+L69*N69</f>
        <v>14409.7689834127</v>
      </c>
      <c r="L69" s="218" t="n">
        <f aca="false">+[1]COMED!$G80</f>
        <v>47.435001373291</v>
      </c>
      <c r="N69" s="219" t="n">
        <f aca="false">+TradeSum!DK58*16*Q69</f>
        <v>303.779246679358</v>
      </c>
      <c r="O69" s="220" t="n">
        <v>38534</v>
      </c>
      <c r="P69" s="221" t="n">
        <f aca="false">+[1]Cinergy!$G80</f>
        <v>49.125</v>
      </c>
      <c r="Q69" s="222" t="n">
        <f aca="false">VLOOKUP(O69,Interest!$X$8:$AC$367,6)</f>
        <v>0.825487083367821</v>
      </c>
      <c r="R69" s="35" t="n">
        <f aca="false">+N69*P69</f>
        <v>14923.1554931235</v>
      </c>
      <c r="S69" s="215" t="n">
        <v>37834</v>
      </c>
      <c r="T69" s="58" t="n">
        <f aca="false">+V69+W69</f>
        <v>59</v>
      </c>
      <c r="U69" s="58"/>
      <c r="V69" s="58" t="n">
        <f aca="false">+AA$38/12</f>
        <v>0</v>
      </c>
      <c r="W69" s="58" t="n">
        <v>59</v>
      </c>
      <c r="X69" s="35"/>
      <c r="Y69" s="58"/>
      <c r="Z69" s="35"/>
      <c r="AA69" s="35"/>
      <c r="AB69" s="35"/>
      <c r="AC69" s="35"/>
      <c r="AD69" s="62"/>
      <c r="AE69" s="241"/>
      <c r="AF69" s="193"/>
      <c r="AG69" s="242"/>
      <c r="AH69" s="35"/>
      <c r="AI69" s="243" t="n">
        <f aca="false">+(AF$55-AF69)*AD69*1000</f>
        <v>0</v>
      </c>
      <c r="AJ69" s="35"/>
      <c r="AK69" s="35"/>
      <c r="AL69" s="62"/>
      <c r="AM69" s="241"/>
      <c r="AN69" s="193"/>
      <c r="AO69" s="244" t="n">
        <f aca="false">+(AN$55-AM69)*AL69</f>
        <v>0</v>
      </c>
      <c r="AP69" s="35"/>
      <c r="AQ69" s="240" t="n">
        <f aca="false">+AQ68+7</f>
        <v>37090</v>
      </c>
      <c r="AR69" s="58" t="n">
        <f aca="false">+AR68+AS69</f>
        <v>1800</v>
      </c>
      <c r="AS69" s="58" t="n">
        <f aca="false">+AS68-2</f>
        <v>75</v>
      </c>
      <c r="AT69" s="35"/>
      <c r="AU69" s="35"/>
      <c r="AV69" s="58" t="n">
        <v>75</v>
      </c>
      <c r="AW69" s="35"/>
      <c r="AX69" s="35"/>
    </row>
    <row r="70" customFormat="false" ht="15.95" hidden="false" customHeight="true" outlineLevel="0" collapsed="false">
      <c r="K70" s="0" t="n">
        <f aca="false">+L70*N70</f>
        <v>7819.18222624946</v>
      </c>
      <c r="L70" s="218" t="n">
        <f aca="false">+[1]COMED!$G81</f>
        <v>28.3349952697754</v>
      </c>
      <c r="N70" s="219" t="n">
        <f aca="false">+TradeSum!DK59*16*Q70</f>
        <v>275.954950823306</v>
      </c>
      <c r="O70" s="220" t="n">
        <v>38565</v>
      </c>
      <c r="P70" s="221" t="n">
        <f aca="false">+[1]Cinergy!$G81</f>
        <v>29.0249996185303</v>
      </c>
      <c r="Q70" s="222" t="n">
        <f aca="false">VLOOKUP(O70,Interest!$X$8:$AC$367,6)</f>
        <v>0.821294496497933</v>
      </c>
      <c r="R70" s="35" t="n">
        <f aca="false">+N70*P70</f>
        <v>8009.59234237799</v>
      </c>
      <c r="S70" s="215" t="n">
        <v>37865</v>
      </c>
      <c r="T70" s="58" t="n">
        <f aca="false">+V70+W70</f>
        <v>58</v>
      </c>
      <c r="U70" s="58"/>
      <c r="V70" s="58" t="n">
        <f aca="false">+AA$38/12</f>
        <v>0</v>
      </c>
      <c r="W70" s="58" t="n">
        <v>58</v>
      </c>
      <c r="X70" s="35"/>
      <c r="Y70" s="58"/>
      <c r="Z70" s="35"/>
      <c r="AA70" s="35"/>
      <c r="AB70" s="35"/>
      <c r="AC70" s="35"/>
      <c r="AD70" s="62"/>
      <c r="AE70" s="241"/>
      <c r="AF70" s="193"/>
      <c r="AG70" s="242"/>
      <c r="AH70" s="35"/>
      <c r="AI70" s="243" t="n">
        <f aca="false">+(AF$55-AF70)*AD70*1000</f>
        <v>0</v>
      </c>
      <c r="AJ70" s="35"/>
      <c r="AK70" s="35"/>
      <c r="AL70" s="62"/>
      <c r="AM70" s="241"/>
      <c r="AN70" s="193"/>
      <c r="AO70" s="244" t="n">
        <f aca="false">+(AN$55-AM70)*AL70</f>
        <v>0</v>
      </c>
      <c r="AP70" s="35"/>
      <c r="AQ70" s="240" t="n">
        <f aca="false">+AQ69+7</f>
        <v>37097</v>
      </c>
      <c r="AR70" s="58" t="n">
        <f aca="false">+AR69+AS70</f>
        <v>1873</v>
      </c>
      <c r="AS70" s="58" t="n">
        <f aca="false">+AS69-2</f>
        <v>73</v>
      </c>
      <c r="AT70" s="35"/>
      <c r="AU70" s="35"/>
      <c r="AV70" s="58" t="n">
        <v>73</v>
      </c>
      <c r="AW70" s="35"/>
      <c r="AX70" s="35"/>
    </row>
    <row r="71" customFormat="false" ht="15.95" hidden="false" customHeight="true" outlineLevel="0" collapsed="false">
      <c r="K71" s="0" t="n">
        <f aca="false">+L71*N71</f>
        <v>8144.44501569799</v>
      </c>
      <c r="L71" s="218" t="n">
        <f aca="false">+[1]COMED!$G82</f>
        <v>29.6615718603134</v>
      </c>
      <c r="N71" s="219" t="n">
        <f aca="false">+TradeSum!DK60*16*Q71</f>
        <v>274.579009300417</v>
      </c>
      <c r="O71" s="220" t="n">
        <v>38596</v>
      </c>
      <c r="P71" s="221" t="n">
        <f aca="false">+[1]Cinergy!$G82</f>
        <v>30.5515617132187</v>
      </c>
      <c r="Q71" s="222" t="n">
        <f aca="false">VLOOKUP(O71,Interest!$X$8:$AC$367,6)</f>
        <v>0.817199432441718</v>
      </c>
      <c r="R71" s="35" t="n">
        <f aca="false">+N71*P71</f>
        <v>8388.81754779615</v>
      </c>
      <c r="S71" s="215" t="n">
        <v>37895</v>
      </c>
      <c r="T71" s="58" t="n">
        <f aca="false">+V71+W71</f>
        <v>59</v>
      </c>
      <c r="U71" s="58"/>
      <c r="V71" s="58" t="n">
        <f aca="false">+AA$38/12</f>
        <v>0</v>
      </c>
      <c r="W71" s="58" t="n">
        <v>59</v>
      </c>
      <c r="X71" s="35"/>
      <c r="Y71" s="58"/>
      <c r="Z71" s="35"/>
      <c r="AA71" s="35"/>
      <c r="AB71" s="35"/>
      <c r="AC71" s="35"/>
      <c r="AD71" s="62"/>
      <c r="AE71" s="241"/>
      <c r="AF71" s="193"/>
      <c r="AG71" s="242"/>
      <c r="AH71" s="35"/>
      <c r="AI71" s="243" t="n">
        <f aca="false">+(AF$55-AF71)*AD71*1000</f>
        <v>0</v>
      </c>
      <c r="AJ71" s="35"/>
      <c r="AK71" s="35"/>
      <c r="AL71" s="62"/>
      <c r="AM71" s="241"/>
      <c r="AN71" s="193"/>
      <c r="AO71" s="244" t="n">
        <f aca="false">+(AN$55-AM71)*AL71</f>
        <v>0</v>
      </c>
      <c r="AP71" s="35"/>
      <c r="AQ71" s="240" t="n">
        <f aca="false">+AQ70+7</f>
        <v>37104</v>
      </c>
      <c r="AR71" s="58" t="n">
        <f aca="false">+AR70+AS71</f>
        <v>1946</v>
      </c>
      <c r="AS71" s="58" t="n">
        <f aca="false">+AS70</f>
        <v>73</v>
      </c>
      <c r="AT71" s="35"/>
      <c r="AU71" s="35"/>
      <c r="AV71" s="58" t="n">
        <v>73</v>
      </c>
      <c r="AW71" s="35"/>
      <c r="AX71" s="35"/>
    </row>
    <row r="72" customFormat="false" ht="15.95" hidden="false" customHeight="true" outlineLevel="0" collapsed="false">
      <c r="K72" s="0" t="n">
        <f aca="false">+L72*N72</f>
        <v>8158.28293644288</v>
      </c>
      <c r="L72" s="218" t="n">
        <f aca="false">+[1]COMED!$G83</f>
        <v>29.8615649938583</v>
      </c>
      <c r="N72" s="219" t="n">
        <f aca="false">+TradeSum!DK61*16*Q72</f>
        <v>273.203461979331</v>
      </c>
      <c r="O72" s="220" t="n">
        <v>38626</v>
      </c>
      <c r="P72" s="221" t="n">
        <f aca="false">+[1]Cinergy!$G83</f>
        <v>30.6515640020371</v>
      </c>
      <c r="Q72" s="222" t="n">
        <f aca="false">VLOOKUP(O72,Interest!$X$8:$AC$367,6)</f>
        <v>0.813105541605151</v>
      </c>
      <c r="R72" s="35" t="n">
        <f aca="false">+N72*P72</f>
        <v>8374.11340043755</v>
      </c>
      <c r="S72" s="215" t="n">
        <v>37926</v>
      </c>
      <c r="T72" s="58" t="n">
        <f aca="false">+V72+W72</f>
        <v>57</v>
      </c>
      <c r="U72" s="58"/>
      <c r="V72" s="58" t="n">
        <f aca="false">+AA$38/12</f>
        <v>0</v>
      </c>
      <c r="W72" s="58" t="n">
        <v>57</v>
      </c>
      <c r="X72" s="35"/>
      <c r="Y72" s="58"/>
      <c r="Z72" s="35"/>
      <c r="AA72" s="35"/>
      <c r="AB72" s="35"/>
      <c r="AC72" s="35"/>
      <c r="AD72" s="62"/>
      <c r="AE72" s="241"/>
      <c r="AF72" s="193"/>
      <c r="AG72" s="242"/>
      <c r="AH72" s="35"/>
      <c r="AI72" s="243" t="n">
        <f aca="false">+(AF$55-AF72)*AD72*1000</f>
        <v>0</v>
      </c>
      <c r="AJ72" s="35"/>
      <c r="AK72" s="35"/>
      <c r="AL72" s="62"/>
      <c r="AM72" s="241"/>
      <c r="AN72" s="193"/>
      <c r="AO72" s="244" t="n">
        <f aca="false">+(AN$55-AM72)*AL72</f>
        <v>0</v>
      </c>
      <c r="AP72" s="35"/>
      <c r="AQ72" s="240" t="n">
        <f aca="false">+AQ71+7</f>
        <v>37111</v>
      </c>
      <c r="AR72" s="58" t="n">
        <f aca="false">+AR71+AS72</f>
        <v>2019</v>
      </c>
      <c r="AS72" s="58" t="n">
        <f aca="false">+AS71</f>
        <v>73</v>
      </c>
      <c r="AT72" s="35"/>
      <c r="AU72" s="35"/>
      <c r="AV72" s="58" t="n">
        <v>73</v>
      </c>
      <c r="AW72" s="35"/>
      <c r="AX72" s="35"/>
    </row>
    <row r="73" customFormat="false" ht="15.95" hidden="false" customHeight="true" outlineLevel="0" collapsed="false">
      <c r="K73" s="0" t="n">
        <f aca="false">+L73*N73</f>
        <v>8747.59245565058</v>
      </c>
      <c r="L73" s="218" t="n">
        <f aca="false">+[1]COMED!$G84</f>
        <v>30.7115691900253</v>
      </c>
      <c r="N73" s="219" t="n">
        <f aca="false">+TradeSum!DK62*16*Q73</f>
        <v>284.830527594522</v>
      </c>
      <c r="O73" s="220" t="n">
        <v>38657</v>
      </c>
      <c r="P73" s="221" t="n">
        <f aca="false">+[1]Cinergy!$G84</f>
        <v>30.7515624761581</v>
      </c>
      <c r="Q73" s="222" t="n">
        <f aca="false">VLOOKUP(O73,Interest!$X$8:$AC$367,6)</f>
        <v>0.80917763521171</v>
      </c>
      <c r="R73" s="35" t="n">
        <f aca="false">+N73*P73</f>
        <v>8758.98376444003</v>
      </c>
      <c r="S73" s="215" t="n">
        <v>37956</v>
      </c>
      <c r="T73" s="58" t="n">
        <f aca="false">+V73+W73</f>
        <v>58</v>
      </c>
      <c r="U73" s="58" t="n">
        <f aca="false">SUM(T62:T73)</f>
        <v>723</v>
      </c>
      <c r="V73" s="58" t="n">
        <f aca="false">+AA$38/12</f>
        <v>0</v>
      </c>
      <c r="W73" s="58" t="n">
        <v>58</v>
      </c>
      <c r="X73" s="35"/>
      <c r="Y73" s="58" t="n">
        <f aca="false">SUM(W62:W73)</f>
        <v>723</v>
      </c>
      <c r="Z73" s="35"/>
      <c r="AA73" s="35"/>
      <c r="AB73" s="35"/>
      <c r="AC73" s="35"/>
      <c r="AD73" s="62"/>
      <c r="AE73" s="241"/>
      <c r="AF73" s="193"/>
      <c r="AG73" s="242"/>
      <c r="AH73" s="35"/>
      <c r="AI73" s="243" t="n">
        <f aca="false">+(AF$55-AF73)*AD73*1000</f>
        <v>0</v>
      </c>
      <c r="AJ73" s="35"/>
      <c r="AK73" s="35"/>
      <c r="AL73" s="62"/>
      <c r="AM73" s="241"/>
      <c r="AN73" s="193"/>
      <c r="AO73" s="244" t="n">
        <f aca="false">+(AN$55-AM73)*AL73</f>
        <v>0</v>
      </c>
      <c r="AP73" s="35"/>
      <c r="AQ73" s="240" t="n">
        <f aca="false">+AQ72+7</f>
        <v>37118</v>
      </c>
      <c r="AR73" s="58" t="n">
        <f aca="false">+AR72+AS73</f>
        <v>2093</v>
      </c>
      <c r="AS73" s="58" t="n">
        <f aca="false">+AS72+1</f>
        <v>74</v>
      </c>
      <c r="AT73" s="35"/>
      <c r="AU73" s="35"/>
      <c r="AV73" s="58" t="n">
        <v>74</v>
      </c>
      <c r="AW73" s="35"/>
      <c r="AX73" s="35"/>
    </row>
    <row r="74" customFormat="false" ht="15.95" hidden="false" customHeight="true" outlineLevel="0" collapsed="false">
      <c r="J74" s="218" t="n">
        <f aca="false">SUM(K63:K74)/SUM(N63:N74)</f>
        <v>33.545713113325</v>
      </c>
      <c r="K74" s="0" t="n">
        <f aca="false">+L74*N74</f>
        <v>8796.83355300932</v>
      </c>
      <c r="L74" s="218" t="n">
        <f aca="false">+[1]COMED!$G85</f>
        <v>31.0387117295038</v>
      </c>
      <c r="M74" s="218" t="n">
        <f aca="false">SUM(R63:R74)/SUM(N63:N74)</f>
        <v>34.3783273470888</v>
      </c>
      <c r="N74" s="219" t="n">
        <f aca="false">+TradeSum!DK63*16*Q74</f>
        <v>283.414905543502</v>
      </c>
      <c r="O74" s="220" t="n">
        <v>38687</v>
      </c>
      <c r="P74" s="221" t="n">
        <f aca="false">+[1]Cinergy!$G85</f>
        <v>31.5707132248651</v>
      </c>
      <c r="Q74" s="222" t="n">
        <f aca="false">VLOOKUP(O74,Interest!$X$8:$AC$367,6)</f>
        <v>0.805155981657677</v>
      </c>
      <c r="R74" s="35" t="n">
        <f aca="false">+N74*P74</f>
        <v>8947.61070656615</v>
      </c>
      <c r="S74" s="215" t="n">
        <v>37987</v>
      </c>
      <c r="T74" s="58" t="n">
        <f aca="false">+V74+W74</f>
        <v>0</v>
      </c>
      <c r="U74" s="58"/>
      <c r="V74" s="58" t="n">
        <f aca="false">+AA$40/12.2</f>
        <v>0</v>
      </c>
      <c r="W74" s="58" t="n">
        <v>0</v>
      </c>
      <c r="X74" s="35"/>
      <c r="Y74" s="58"/>
      <c r="Z74" s="35"/>
      <c r="AA74" s="35"/>
      <c r="AB74" s="35"/>
      <c r="AC74" s="35"/>
      <c r="AD74" s="62"/>
      <c r="AE74" s="241"/>
      <c r="AF74" s="193"/>
      <c r="AG74" s="242"/>
      <c r="AH74" s="35"/>
      <c r="AI74" s="243" t="n">
        <f aca="false">+(AF$55-AF74)*AD74*1000</f>
        <v>0</v>
      </c>
      <c r="AJ74" s="35"/>
      <c r="AK74" s="35"/>
      <c r="AL74" s="62"/>
      <c r="AM74" s="241"/>
      <c r="AN74" s="193"/>
      <c r="AO74" s="244" t="n">
        <f aca="false">+(AN$55-AM74)*AL74</f>
        <v>0</v>
      </c>
      <c r="AP74" s="35"/>
      <c r="AQ74" s="240" t="n">
        <f aca="false">+AQ73+7</f>
        <v>37125</v>
      </c>
      <c r="AR74" s="58" t="n">
        <f aca="false">+AR73+AS74</f>
        <v>2170</v>
      </c>
      <c r="AS74" s="58" t="n">
        <f aca="false">+AS73+3</f>
        <v>77</v>
      </c>
      <c r="AT74" s="35"/>
      <c r="AU74" s="35"/>
      <c r="AV74" s="58" t="n">
        <v>77</v>
      </c>
      <c r="AW74" s="35"/>
      <c r="AX74" s="35"/>
    </row>
    <row r="75" customFormat="false" ht="15.95" hidden="false" customHeight="true" outlineLevel="0" collapsed="false">
      <c r="K75" s="0" t="n">
        <f aca="false">+L75*N75</f>
        <v>7813.87118880018</v>
      </c>
      <c r="L75" s="218" t="n">
        <f aca="false">+[1]COMED!$G86</f>
        <v>30.48070925758</v>
      </c>
      <c r="N75" s="219" t="n">
        <f aca="false">+TradeSum!DK64*16*Q75</f>
        <v>256.354638035761</v>
      </c>
      <c r="O75" s="220" t="n">
        <v>38718</v>
      </c>
      <c r="P75" s="221" t="n">
        <f aca="false">+[1]Cinergy!$G86</f>
        <v>31.0107156662714</v>
      </c>
      <c r="Q75" s="222" t="n">
        <f aca="false">VLOOKUP(O75,Interest!$X$8:$AC$367,6)</f>
        <v>0.801108243861752</v>
      </c>
      <c r="R75" s="35" t="n">
        <f aca="false">+N75*P75</f>
        <v>7949.7407898569</v>
      </c>
      <c r="S75" s="215" t="n">
        <v>38018</v>
      </c>
      <c r="T75" s="58" t="n">
        <f aca="false">+V75+W75</f>
        <v>0</v>
      </c>
      <c r="U75" s="58"/>
      <c r="V75" s="58" t="n">
        <f aca="false">+AA$40/12.2</f>
        <v>0</v>
      </c>
      <c r="W75" s="58" t="n">
        <v>0</v>
      </c>
      <c r="X75" s="35"/>
      <c r="Y75" s="58"/>
      <c r="Z75" s="35"/>
      <c r="AA75" s="35"/>
      <c r="AB75" s="35"/>
      <c r="AC75" s="35"/>
      <c r="AD75" s="62"/>
      <c r="AE75" s="241"/>
      <c r="AF75" s="193"/>
      <c r="AG75" s="242"/>
      <c r="AH75" s="35"/>
      <c r="AI75" s="243" t="n">
        <f aca="false">+(AF$55-AF75)*AD75*1000</f>
        <v>0</v>
      </c>
      <c r="AJ75" s="35"/>
      <c r="AK75" s="35"/>
      <c r="AL75" s="62"/>
      <c r="AM75" s="241"/>
      <c r="AN75" s="193"/>
      <c r="AO75" s="244" t="n">
        <f aca="false">+(AN$55-AM75)*AL75</f>
        <v>0</v>
      </c>
      <c r="AP75" s="35"/>
      <c r="AQ75" s="240" t="n">
        <f aca="false">+AQ74+7</f>
        <v>37132</v>
      </c>
      <c r="AR75" s="58" t="n">
        <f aca="false">+AR74+AS75</f>
        <v>2250</v>
      </c>
      <c r="AS75" s="58" t="n">
        <f aca="false">+AS74+3</f>
        <v>80</v>
      </c>
      <c r="AT75" s="35"/>
      <c r="AU75" s="35"/>
      <c r="AV75" s="58" t="n">
        <v>80</v>
      </c>
      <c r="AW75" s="35"/>
      <c r="AX75" s="35"/>
    </row>
    <row r="76" customFormat="false" ht="15.95" hidden="false" customHeight="true" outlineLevel="0" collapsed="false">
      <c r="K76" s="0" t="n">
        <f aca="false">+L76*N76</f>
        <v>8639.56604940999</v>
      </c>
      <c r="L76" s="218" t="n">
        <f aca="false">+[1]COMED!$G87</f>
        <v>29.4426799153173</v>
      </c>
      <c r="N76" s="219" t="n">
        <f aca="false">+TradeSum!DK65*16*Q76</f>
        <v>293.436809225893</v>
      </c>
      <c r="O76" s="220" t="n">
        <v>38749</v>
      </c>
      <c r="P76" s="221" t="n">
        <f aca="false">+[1]Cinergy!$G87</f>
        <v>29.4726748799169</v>
      </c>
      <c r="Q76" s="222" t="n">
        <f aca="false">VLOOKUP(O76,Interest!$X$8:$AC$367,6)</f>
        <v>0.797382633766014</v>
      </c>
      <c r="R76" s="35" t="n">
        <f aca="false">+N76*P76</f>
        <v>8648.36767611494</v>
      </c>
      <c r="S76" s="215" t="n">
        <v>38047</v>
      </c>
      <c r="T76" s="58" t="n">
        <f aca="false">+V76+W76</f>
        <v>0</v>
      </c>
      <c r="U76" s="58"/>
      <c r="V76" s="58" t="n">
        <f aca="false">+AA$40/12.2</f>
        <v>0</v>
      </c>
      <c r="W76" s="58" t="n">
        <v>0</v>
      </c>
      <c r="X76" s="35"/>
      <c r="Y76" s="58"/>
      <c r="Z76" s="35"/>
      <c r="AA76" s="35"/>
      <c r="AB76" s="35"/>
      <c r="AC76" s="35"/>
      <c r="AD76" s="62"/>
      <c r="AE76" s="241"/>
      <c r="AF76" s="193"/>
      <c r="AG76" s="242"/>
      <c r="AH76" s="35"/>
      <c r="AI76" s="243" t="n">
        <f aca="false">+(AF$55-AF76)*AD76*1000</f>
        <v>0</v>
      </c>
      <c r="AJ76" s="35"/>
      <c r="AK76" s="35"/>
      <c r="AL76" s="62"/>
      <c r="AM76" s="241"/>
      <c r="AN76" s="193"/>
      <c r="AO76" s="244" t="n">
        <f aca="false">+(AN$55-AM76)*AL76</f>
        <v>0</v>
      </c>
      <c r="AP76" s="35"/>
      <c r="AQ76" s="240" t="n">
        <f aca="false">+AQ75+7</f>
        <v>37139</v>
      </c>
      <c r="AR76" s="58" t="n">
        <f aca="false">+AR75+AS76</f>
        <v>2334</v>
      </c>
      <c r="AS76" s="58" t="n">
        <f aca="false">+AS75+4</f>
        <v>84</v>
      </c>
      <c r="AT76" s="35"/>
      <c r="AU76" s="35"/>
      <c r="AV76" s="58" t="n">
        <v>84</v>
      </c>
      <c r="AW76" s="35"/>
      <c r="AX76" s="35"/>
    </row>
    <row r="77" customFormat="false" ht="15.95" hidden="false" customHeight="true" outlineLevel="0" collapsed="false">
      <c r="K77" s="0" t="n">
        <f aca="false">+L77*N77</f>
        <v>7525.83787396984</v>
      </c>
      <c r="L77" s="218" t="n">
        <f aca="false">+[1]COMED!$G88</f>
        <v>29.6426806782567</v>
      </c>
      <c r="N77" s="219" t="n">
        <f aca="false">+TradeSum!DK66*16*Q77</f>
        <v>253.885198698987</v>
      </c>
      <c r="O77" s="220" t="n">
        <v>38777</v>
      </c>
      <c r="P77" s="221" t="n">
        <f aca="false">+[1]Cinergy!$G88</f>
        <v>29.6726756428563</v>
      </c>
      <c r="Q77" s="222" t="n">
        <f aca="false">VLOOKUP(O77,Interest!$X$8:$AC$367,6)</f>
        <v>0.793391245934336</v>
      </c>
      <c r="R77" s="35" t="n">
        <f aca="false">+N77*P77</f>
        <v>7533.45315151719</v>
      </c>
      <c r="S77" s="215" t="n">
        <v>38078</v>
      </c>
      <c r="T77" s="58" t="n">
        <f aca="false">+V77+W77</f>
        <v>0</v>
      </c>
      <c r="U77" s="58"/>
      <c r="V77" s="58" t="n">
        <f aca="false">+AA$40/12.2</f>
        <v>0</v>
      </c>
      <c r="W77" s="58" t="n">
        <v>0</v>
      </c>
      <c r="X77" s="35"/>
      <c r="Y77" s="58"/>
      <c r="Z77" s="35"/>
      <c r="AA77" s="35"/>
      <c r="AB77" s="35"/>
      <c r="AC77" s="35"/>
      <c r="AD77" s="62"/>
      <c r="AE77" s="241"/>
      <c r="AF77" s="193"/>
      <c r="AG77" s="242"/>
      <c r="AH77" s="35"/>
      <c r="AI77" s="243" t="n">
        <f aca="false">+(AF$55-AF77)*AD77*1000</f>
        <v>0</v>
      </c>
      <c r="AJ77" s="35"/>
      <c r="AK77" s="35"/>
      <c r="AL77" s="62"/>
      <c r="AM77" s="241"/>
      <c r="AN77" s="193"/>
      <c r="AO77" s="244" t="n">
        <f aca="false">+(AN$55-AM77)*AL77</f>
        <v>0</v>
      </c>
      <c r="AP77" s="35"/>
      <c r="AQ77" s="240" t="n">
        <f aca="false">+AQ76+7</f>
        <v>37146</v>
      </c>
      <c r="AR77" s="58" t="n">
        <f aca="false">+AR76+AS77</f>
        <v>2422</v>
      </c>
      <c r="AS77" s="58" t="n">
        <f aca="false">+AS76+4</f>
        <v>88</v>
      </c>
      <c r="AT77" s="35"/>
      <c r="AU77" s="35"/>
      <c r="AV77" s="58" t="n">
        <v>88</v>
      </c>
      <c r="AW77" s="35"/>
      <c r="AX77" s="35"/>
    </row>
    <row r="78" customFormat="false" ht="15.95" hidden="false" customHeight="true" outlineLevel="0" collapsed="false">
      <c r="K78" s="0" t="n">
        <f aca="false">+L78*N78</f>
        <v>8487.91737003147</v>
      </c>
      <c r="L78" s="218" t="n">
        <f aca="false">+[1]COMED!$G89</f>
        <v>30.5449905395508</v>
      </c>
      <c r="N78" s="219" t="n">
        <f aca="false">+TradeSum!DK67*16*Q78</f>
        <v>277.882468453902</v>
      </c>
      <c r="O78" s="220" t="n">
        <v>38808</v>
      </c>
      <c r="P78" s="221" t="n">
        <f aca="false">+[1]Cinergy!$G89</f>
        <v>31.5750026702881</v>
      </c>
      <c r="Q78" s="222" t="n">
        <f aca="false">VLOOKUP(O78,Interest!$X$8:$AC$367,6)</f>
        <v>0.78943883083495</v>
      </c>
      <c r="R78" s="35" t="n">
        <f aca="false">+N78*P78</f>
        <v>8774.13968345821</v>
      </c>
      <c r="S78" s="215" t="n">
        <v>38108</v>
      </c>
      <c r="T78" s="58" t="n">
        <f aca="false">+V78+W78</f>
        <v>0</v>
      </c>
      <c r="U78" s="58"/>
      <c r="V78" s="58" t="n">
        <f aca="false">+AA$40/12.2</f>
        <v>0</v>
      </c>
      <c r="W78" s="58" t="n">
        <v>0</v>
      </c>
      <c r="X78" s="35"/>
      <c r="Y78" s="58"/>
      <c r="Z78" s="35"/>
      <c r="AA78" s="35"/>
      <c r="AB78" s="35"/>
      <c r="AC78" s="35"/>
      <c r="AD78" s="62"/>
      <c r="AE78" s="241"/>
      <c r="AF78" s="193"/>
      <c r="AG78" s="242"/>
      <c r="AH78" s="35"/>
      <c r="AI78" s="243" t="n">
        <f aca="false">+(AF$55-AF78)*AD78*1000</f>
        <v>0</v>
      </c>
      <c r="AJ78" s="35"/>
      <c r="AK78" s="35"/>
      <c r="AL78" s="62"/>
      <c r="AM78" s="241"/>
      <c r="AN78" s="193"/>
      <c r="AO78" s="244" t="n">
        <f aca="false">+(AN$55-AM78)*AL78</f>
        <v>0</v>
      </c>
      <c r="AP78" s="35"/>
      <c r="AQ78" s="240" t="n">
        <f aca="false">+AQ77+7</f>
        <v>37153</v>
      </c>
      <c r="AR78" s="58" t="n">
        <f aca="false">+AR77+AS78</f>
        <v>2514</v>
      </c>
      <c r="AS78" s="58" t="n">
        <f aca="false">+AS77+4</f>
        <v>92</v>
      </c>
      <c r="AT78" s="35"/>
      <c r="AU78" s="35"/>
      <c r="AV78" s="58" t="n">
        <v>92</v>
      </c>
      <c r="AW78" s="35"/>
      <c r="AX78" s="35"/>
    </row>
    <row r="79" customFormat="false" ht="15.95" hidden="false" customHeight="true" outlineLevel="0" collapsed="false">
      <c r="K79" s="0" t="n">
        <f aca="false">+L79*N79</f>
        <v>10416.9941610841</v>
      </c>
      <c r="L79" s="218" t="n">
        <f aca="false">+[1]COMED!$G90</f>
        <v>37.6800079345703</v>
      </c>
      <c r="N79" s="219" t="n">
        <f aca="false">+TradeSum!DK68*16*Q79</f>
        <v>276.459447120414</v>
      </c>
      <c r="O79" s="220" t="n">
        <v>38838</v>
      </c>
      <c r="P79" s="221" t="n">
        <f aca="false">+[1]Cinergy!$G90</f>
        <v>38.9600105285645</v>
      </c>
      <c r="Q79" s="222" t="n">
        <f aca="false">VLOOKUP(O79,Interest!$X$8:$AC$367,6)</f>
        <v>0.785396156592086</v>
      </c>
      <c r="R79" s="35" t="n">
        <f aca="false">+N79*P79</f>
        <v>10770.8629705325</v>
      </c>
      <c r="S79" s="215" t="n">
        <v>38139</v>
      </c>
      <c r="T79" s="58" t="n">
        <f aca="false">+V79+W79</f>
        <v>0</v>
      </c>
      <c r="U79" s="58"/>
      <c r="V79" s="58" t="n">
        <f aca="false">+AA$40/12.2</f>
        <v>0</v>
      </c>
      <c r="W79" s="58" t="n">
        <v>0</v>
      </c>
      <c r="X79" s="35"/>
      <c r="Y79" s="58"/>
      <c r="Z79" s="35"/>
      <c r="AA79" s="35"/>
      <c r="AB79" s="35"/>
      <c r="AC79" s="35"/>
      <c r="AD79" s="62"/>
      <c r="AE79" s="241"/>
      <c r="AF79" s="193"/>
      <c r="AG79" s="242"/>
      <c r="AH79" s="35"/>
      <c r="AI79" s="243" t="n">
        <f aca="false">+(AF$55-AF79)*AD79*1000</f>
        <v>0</v>
      </c>
      <c r="AJ79" s="35"/>
      <c r="AK79" s="35"/>
      <c r="AL79" s="62"/>
      <c r="AM79" s="241"/>
      <c r="AN79" s="193"/>
      <c r="AO79" s="244" t="n">
        <f aca="false">+(AN$55-AM79)*AL79</f>
        <v>0</v>
      </c>
      <c r="AP79" s="35"/>
      <c r="AQ79" s="240" t="n">
        <f aca="false">+AQ78+7</f>
        <v>37160</v>
      </c>
      <c r="AR79" s="58" t="n">
        <f aca="false">+AR78+AS79</f>
        <v>2608</v>
      </c>
      <c r="AS79" s="58" t="n">
        <f aca="false">+AS78+2</f>
        <v>94</v>
      </c>
      <c r="AT79" s="35"/>
      <c r="AU79" s="35"/>
      <c r="AV79" s="58" t="n">
        <v>94</v>
      </c>
      <c r="AW79" s="35"/>
      <c r="AX79" s="35"/>
    </row>
    <row r="80" customFormat="false" ht="15.95" hidden="false" customHeight="true" outlineLevel="0" collapsed="false">
      <c r="K80" s="0" t="n">
        <f aca="false">+L80*N80</f>
        <v>12339.1818309414</v>
      </c>
      <c r="L80" s="218" t="n">
        <f aca="false">+[1]COMED!$G91</f>
        <v>49.3449974060059</v>
      </c>
      <c r="N80" s="219" t="n">
        <f aca="false">+TradeSum!DK69*16*Q80</f>
        <v>250.059428099992</v>
      </c>
      <c r="O80" s="220" t="n">
        <v>38869</v>
      </c>
      <c r="P80" s="221" t="n">
        <f aca="false">+[1]Cinergy!$G91</f>
        <v>50.875</v>
      </c>
      <c r="Q80" s="222" t="n">
        <f aca="false">VLOOKUP(O80,Interest!$X$8:$AC$367,6)</f>
        <v>0.781435712812474</v>
      </c>
      <c r="R80" s="35" t="n">
        <f aca="false">+N80*P80</f>
        <v>12721.7734045871</v>
      </c>
      <c r="S80" s="215" t="n">
        <v>38169</v>
      </c>
      <c r="T80" s="58" t="n">
        <f aca="false">+V80+W80</f>
        <v>0</v>
      </c>
      <c r="U80" s="58"/>
      <c r="V80" s="58" t="n">
        <f aca="false">+AA$40/12.2</f>
        <v>0</v>
      </c>
      <c r="W80" s="58" t="n">
        <v>0</v>
      </c>
      <c r="X80" s="35"/>
      <c r="Y80" s="58"/>
      <c r="Z80" s="35"/>
      <c r="AA80" s="35"/>
      <c r="AB80" s="35"/>
      <c r="AC80" s="35"/>
      <c r="AD80" s="62"/>
      <c r="AE80" s="241"/>
      <c r="AF80" s="193"/>
      <c r="AG80" s="242"/>
      <c r="AH80" s="35"/>
      <c r="AI80" s="243" t="n">
        <f aca="false">+(AF$55-AF80)*AD80*1000</f>
        <v>0</v>
      </c>
      <c r="AJ80" s="35"/>
      <c r="AK80" s="35"/>
      <c r="AL80" s="62"/>
      <c r="AM80" s="241"/>
      <c r="AN80" s="193"/>
      <c r="AO80" s="244" t="n">
        <f aca="false">+(AN$55-AM80)*AL80</f>
        <v>0</v>
      </c>
      <c r="AP80" s="35"/>
      <c r="AQ80" s="240" t="n">
        <f aca="false">+AQ79+7</f>
        <v>37167</v>
      </c>
      <c r="AR80" s="58" t="n">
        <f aca="false">+AR79+AS80</f>
        <v>2701</v>
      </c>
      <c r="AS80" s="58" t="n">
        <f aca="false">+AS79-1</f>
        <v>93</v>
      </c>
      <c r="AT80" s="35"/>
      <c r="AU80" s="35"/>
      <c r="AV80" s="58" t="n">
        <v>93</v>
      </c>
      <c r="AW80" s="35"/>
      <c r="AX80" s="35"/>
    </row>
    <row r="81" customFormat="false" ht="15.95" hidden="false" customHeight="true" outlineLevel="0" collapsed="false">
      <c r="K81" s="0" t="n">
        <f aca="false">+L81*N81</f>
        <v>14116.528071416</v>
      </c>
      <c r="L81" s="218" t="n">
        <f aca="false">+[1]COMED!$G92</f>
        <v>49.3449974060059</v>
      </c>
      <c r="N81" s="219" t="n">
        <f aca="false">+TradeSum!DK70*16*Q81</f>
        <v>286.078200699183</v>
      </c>
      <c r="O81" s="220" t="n">
        <v>38899</v>
      </c>
      <c r="P81" s="221" t="n">
        <f aca="false">+[1]Cinergy!$G92</f>
        <v>50.875</v>
      </c>
      <c r="Q81" s="222" t="n">
        <f aca="false">VLOOKUP(O81,Interest!$X$8:$AC$367,6)</f>
        <v>0.777386414943433</v>
      </c>
      <c r="R81" s="35" t="n">
        <f aca="false">+N81*P81</f>
        <v>14554.228460571</v>
      </c>
      <c r="S81" s="215" t="n">
        <v>38200</v>
      </c>
      <c r="T81" s="58" t="n">
        <f aca="false">+V81+W81</f>
        <v>0</v>
      </c>
      <c r="U81" s="58"/>
      <c r="V81" s="58" t="n">
        <f aca="false">+AA$40/12.2</f>
        <v>0</v>
      </c>
      <c r="W81" s="58" t="n">
        <v>0</v>
      </c>
      <c r="X81" s="35"/>
      <c r="Y81" s="58"/>
      <c r="Z81" s="35"/>
      <c r="AA81" s="35"/>
      <c r="AB81" s="35"/>
      <c r="AC81" s="35"/>
      <c r="AD81" s="62"/>
      <c r="AE81" s="241"/>
      <c r="AF81" s="193"/>
      <c r="AG81" s="242"/>
      <c r="AH81" s="35"/>
      <c r="AI81" s="243" t="n">
        <f aca="false">+(AF$55-AF81)*AD81*1000</f>
        <v>0</v>
      </c>
      <c r="AJ81" s="35"/>
      <c r="AK81" s="35"/>
      <c r="AL81" s="62"/>
      <c r="AM81" s="241"/>
      <c r="AN81" s="193"/>
      <c r="AO81" s="248" t="n">
        <f aca="false">+(AN$55-AM81)*AL81</f>
        <v>0</v>
      </c>
      <c r="AP81" s="35"/>
      <c r="AQ81" s="240" t="n">
        <f aca="false">+AQ80+7</f>
        <v>37174</v>
      </c>
      <c r="AR81" s="58" t="n">
        <f aca="false">+AR80+AS81</f>
        <v>2789</v>
      </c>
      <c r="AS81" s="58" t="n">
        <f aca="false">+AS80-5</f>
        <v>88</v>
      </c>
      <c r="AT81" s="35"/>
      <c r="AU81" s="35"/>
      <c r="AV81" s="58" t="n">
        <v>88</v>
      </c>
      <c r="AW81" s="35"/>
      <c r="AX81" s="35"/>
    </row>
    <row r="82" customFormat="false" ht="15.95" hidden="false" customHeight="true" outlineLevel="0" collapsed="false">
      <c r="K82" s="0" t="n">
        <f aca="false">+L82*N82</f>
        <v>6949.89906752497</v>
      </c>
      <c r="L82" s="218" t="n">
        <f aca="false">+[1]COMED!$G93</f>
        <v>28.0849952697754</v>
      </c>
      <c r="N82" s="219" t="n">
        <f aca="false">+TradeSum!DK71*16*Q82</f>
        <v>247.459506429198</v>
      </c>
      <c r="O82" s="220" t="n">
        <v>38930</v>
      </c>
      <c r="P82" s="221" t="n">
        <f aca="false">+[1]Cinergy!$G93</f>
        <v>28.6149997711182</v>
      </c>
      <c r="Q82" s="222" t="n">
        <f aca="false">VLOOKUP(O82,Interest!$X$8:$AC$367,6)</f>
        <v>0.773310957591243</v>
      </c>
      <c r="R82" s="35" t="n">
        <f aca="false">+N82*P82</f>
        <v>7081.05371983251</v>
      </c>
      <c r="S82" s="215" t="n">
        <v>38231</v>
      </c>
      <c r="T82" s="58" t="n">
        <f aca="false">+V82+W82</f>
        <v>0</v>
      </c>
      <c r="U82" s="58"/>
      <c r="V82" s="58" t="n">
        <f aca="false">+AA$40/12.2</f>
        <v>0</v>
      </c>
      <c r="W82" s="58" t="n">
        <v>0</v>
      </c>
      <c r="X82" s="35"/>
      <c r="Y82" s="58"/>
      <c r="Z82" s="35"/>
      <c r="AA82" s="35"/>
      <c r="AB82" s="35"/>
      <c r="AC82" s="35"/>
      <c r="AD82" s="249" t="n">
        <f aca="false">SUM(AD57:AD81)</f>
        <v>0</v>
      </c>
      <c r="AE82" s="250"/>
      <c r="AF82" s="251"/>
      <c r="AG82" s="252"/>
      <c r="AH82" s="35"/>
      <c r="AI82" s="253" t="n">
        <f aca="false">SUM(AI57:AI81)</f>
        <v>5.00000000000077</v>
      </c>
      <c r="AJ82" s="35"/>
      <c r="AK82" s="35"/>
      <c r="AL82" s="249" t="n">
        <f aca="false">SUM(AL57:AL81)</f>
        <v>3</v>
      </c>
      <c r="AM82" s="250"/>
      <c r="AN82" s="251"/>
      <c r="AO82" s="253" t="n">
        <f aca="false">SUM(AO57:AO81)</f>
        <v>-20</v>
      </c>
      <c r="AP82" s="35"/>
      <c r="AQ82" s="240" t="n">
        <f aca="false">+AQ81+7</f>
        <v>37181</v>
      </c>
      <c r="AR82" s="58" t="n">
        <f aca="false">+AR81+AS82</f>
        <v>2869</v>
      </c>
      <c r="AS82" s="133" t="n">
        <f aca="false">+AS81-8</f>
        <v>80</v>
      </c>
      <c r="AV82" s="133" t="n">
        <v>80</v>
      </c>
    </row>
    <row r="83" customFormat="false" ht="15.95" hidden="false" customHeight="true" outlineLevel="0" collapsed="false">
      <c r="K83" s="0" t="n">
        <f aca="false">+L83*N83</f>
        <v>7989.2560850174</v>
      </c>
      <c r="L83" s="218" t="n">
        <f aca="false">+[1]COMED!$G94</f>
        <v>29.5015701055527</v>
      </c>
      <c r="N83" s="219" t="n">
        <f aca="false">+TradeSum!DK72*16*Q83</f>
        <v>270.807826716779</v>
      </c>
      <c r="O83" s="220" t="n">
        <v>38961</v>
      </c>
      <c r="P83" s="221" t="n">
        <f aca="false">+[1]Cinergy!$G94</f>
        <v>30.2315639257431</v>
      </c>
      <c r="Q83" s="222" t="n">
        <f aca="false">VLOOKUP(O83,Interest!$X$8:$AC$367,6)</f>
        <v>0.76934041680903</v>
      </c>
      <c r="R83" s="35" t="n">
        <f aca="false">+N83*P83</f>
        <v>8186.94412497985</v>
      </c>
      <c r="S83" s="215" t="n">
        <v>38261</v>
      </c>
      <c r="T83" s="58" t="n">
        <f aca="false">+V83+W83</f>
        <v>0</v>
      </c>
      <c r="U83" s="133"/>
      <c r="V83" s="58" t="n">
        <f aca="false">+AA$40/12.2</f>
        <v>0</v>
      </c>
      <c r="W83" s="58" t="n">
        <v>0</v>
      </c>
      <c r="Y83" s="133"/>
      <c r="AD83" s="254"/>
      <c r="AE83" s="254"/>
      <c r="AF83" s="254"/>
      <c r="AG83" s="254"/>
      <c r="AQ83" s="240" t="n">
        <f aca="false">+AQ82+7</f>
        <v>37188</v>
      </c>
      <c r="AR83" s="58" t="n">
        <f aca="false">+AR82+AS83</f>
        <v>2937</v>
      </c>
      <c r="AS83" s="133" t="n">
        <f aca="false">+AS82-12</f>
        <v>68</v>
      </c>
      <c r="AV83" s="133" t="n">
        <v>68</v>
      </c>
    </row>
    <row r="84" customFormat="false" ht="15.95" hidden="false" customHeight="true" outlineLevel="0" collapsed="false">
      <c r="K84" s="0" t="n">
        <f aca="false">+L84*N84</f>
        <v>7638.75861415461</v>
      </c>
      <c r="L84" s="218" t="n">
        <f aca="false">+[1]COMED!$G95</f>
        <v>29.7015575170517</v>
      </c>
      <c r="N84" s="219" t="n">
        <f aca="false">+TradeSum!DK73*16*Q84</f>
        <v>257.183772594053</v>
      </c>
      <c r="O84" s="220" t="n">
        <v>38991</v>
      </c>
      <c r="P84" s="221" t="n">
        <f aca="false">+[1]Cinergy!$G95</f>
        <v>30.3315623998642</v>
      </c>
      <c r="Q84" s="222" t="n">
        <f aca="false">VLOOKUP(O84,Interest!$X$8:$AC$367,6)</f>
        <v>0.765427894625158</v>
      </c>
      <c r="R84" s="35" t="n">
        <f aca="false">+N84*P84</f>
        <v>7800.785646669</v>
      </c>
      <c r="S84" s="215" t="n">
        <v>38292</v>
      </c>
      <c r="T84" s="58" t="n">
        <f aca="false">+V84+W84</f>
        <v>0</v>
      </c>
      <c r="U84" s="133"/>
      <c r="V84" s="58" t="n">
        <f aca="false">+AA$40/12.2</f>
        <v>0</v>
      </c>
      <c r="W84" s="58" t="n">
        <v>0</v>
      </c>
      <c r="Y84" s="133"/>
      <c r="AD84" s="254"/>
      <c r="AE84" s="254"/>
      <c r="AF84" s="254"/>
      <c r="AG84" s="254"/>
      <c r="AQ84" s="240" t="n">
        <f aca="false">+AQ83+7</f>
        <v>37195</v>
      </c>
      <c r="AR84" s="58" t="n">
        <f aca="false">+AR83+AS84</f>
        <v>2991</v>
      </c>
      <c r="AS84" s="133" t="n">
        <f aca="false">+AS83-14</f>
        <v>54</v>
      </c>
      <c r="AV84" s="133" t="n">
        <v>54</v>
      </c>
    </row>
    <row r="85" customFormat="false" ht="15.95" hidden="false" customHeight="true" outlineLevel="0" collapsed="false">
      <c r="K85" s="0" t="n">
        <f aca="false">+L85*N85</f>
        <v>7446.56734321755</v>
      </c>
      <c r="L85" s="218" t="n">
        <f aca="false">+[1]COMED!$G96</f>
        <v>30.5515636205673</v>
      </c>
      <c r="N85" s="219" t="n">
        <f aca="false">+TradeSum!DK74*16*Q85</f>
        <v>243.737683468499</v>
      </c>
      <c r="O85" s="220" t="n">
        <v>39022</v>
      </c>
      <c r="P85" s="221" t="n">
        <f aca="false">+[1]Cinergy!$G96</f>
        <v>30.4315608739853</v>
      </c>
      <c r="Q85" s="222" t="n">
        <f aca="false">VLOOKUP(O85,Interest!$X$8:$AC$367,6)</f>
        <v>0.761680260839059</v>
      </c>
      <c r="R85" s="35" t="n">
        <f aca="false">+N85*P85</f>
        <v>7417.31815175579</v>
      </c>
      <c r="S85" s="215" t="n">
        <v>38322</v>
      </c>
      <c r="T85" s="58" t="n">
        <f aca="false">+V85+W85</f>
        <v>0</v>
      </c>
      <c r="U85" s="58" t="n">
        <f aca="false">SUM(T74:T85)</f>
        <v>0</v>
      </c>
      <c r="V85" s="58" t="n">
        <f aca="false">+AA$40/12.2</f>
        <v>0</v>
      </c>
      <c r="W85" s="58" t="n">
        <v>0</v>
      </c>
      <c r="Y85" s="58" t="n">
        <f aca="false">SUM(W74:W85)</f>
        <v>0</v>
      </c>
      <c r="AD85" s="254"/>
      <c r="AE85" s="254"/>
      <c r="AF85" s="254"/>
      <c r="AG85" s="254"/>
      <c r="AQ85" s="240" t="n">
        <f aca="false">+AQ84+7</f>
        <v>37202</v>
      </c>
      <c r="AR85" s="58" t="n">
        <f aca="false">+AR84+AS85</f>
        <v>3029</v>
      </c>
      <c r="AS85" s="133" t="n">
        <f aca="false">+AS84-16</f>
        <v>38</v>
      </c>
      <c r="AV85" s="133" t="n">
        <v>38</v>
      </c>
    </row>
    <row r="86" customFormat="false" ht="15.95" hidden="false" customHeight="true" outlineLevel="0" collapsed="false">
      <c r="J86" s="218" t="n">
        <f aca="false">SUM(K75:K86)/SUM(N75:N86)</f>
        <v>33.8551508405335</v>
      </c>
      <c r="K86" s="0" t="n">
        <f aca="false">+L86*N86</f>
        <v>8298.60226725124</v>
      </c>
      <c r="L86" s="218" t="n">
        <f aca="false">+[1]COMED!$G97</f>
        <v>31.108711424328</v>
      </c>
      <c r="M86" s="218" t="n">
        <f aca="false">SUM(R75:R86)/SUM(N75:N86)</f>
        <v>34.5352707273364</v>
      </c>
      <c r="N86" s="219" t="n">
        <f aca="false">+TradeSum!DK75*16*Q86</f>
        <v>266.76136320971</v>
      </c>
      <c r="O86" s="220" t="n">
        <v>39052</v>
      </c>
      <c r="P86" s="221" t="n">
        <f aca="false">+[1]Cinergy!$G97</f>
        <v>31.440706434704</v>
      </c>
      <c r="Q86" s="222" t="n">
        <f aca="false">VLOOKUP(O86,Interest!$X$8:$AC$367,6)</f>
        <v>0.757844781845768</v>
      </c>
      <c r="R86" s="35" t="n">
        <f aca="false">+N86*P86</f>
        <v>8387.16570879795</v>
      </c>
      <c r="S86" s="215" t="n">
        <v>38353</v>
      </c>
      <c r="T86" s="58" t="n">
        <f aca="false">+V86+W86</f>
        <v>0</v>
      </c>
      <c r="U86" s="133"/>
      <c r="V86" s="58" t="n">
        <f aca="false">+AA$40/12.7</f>
        <v>0</v>
      </c>
      <c r="W86" s="58" t="n">
        <v>0</v>
      </c>
      <c r="Y86" s="133"/>
      <c r="AD86" s="254"/>
      <c r="AE86" s="254"/>
      <c r="AF86" s="254"/>
      <c r="AG86" s="254"/>
      <c r="AQ86" s="133"/>
      <c r="AR86" s="133"/>
      <c r="AS86" s="133"/>
    </row>
    <row r="87" customFormat="false" ht="15.95" hidden="false" customHeight="true" outlineLevel="0" collapsed="false">
      <c r="K87" s="0" t="n">
        <f aca="false">+L87*N87</f>
        <v>7371.22893867901</v>
      </c>
      <c r="L87" s="218" t="n">
        <f aca="false">+[1]COMED!$G98</f>
        <v>30.5507127671015</v>
      </c>
      <c r="N87" s="219" t="n">
        <f aca="false">+TradeSum!DK76*16*Q87</f>
        <v>241.27846033814</v>
      </c>
      <c r="O87" s="220" t="n">
        <v>39083</v>
      </c>
      <c r="P87" s="221" t="n">
        <f aca="false">+[1]Cinergy!$G98</f>
        <v>30.8807107834589</v>
      </c>
      <c r="Q87" s="222" t="n">
        <f aca="false">VLOOKUP(O87,Interest!$X$8:$AC$367,6)</f>
        <v>0.753995188556688</v>
      </c>
      <c r="R87" s="35" t="n">
        <f aca="false">+N87*P87</f>
        <v>7450.85035198037</v>
      </c>
      <c r="S87" s="215" t="n">
        <v>38384</v>
      </c>
      <c r="T87" s="58" t="n">
        <f aca="false">+V87+W87</f>
        <v>0</v>
      </c>
      <c r="U87" s="133"/>
      <c r="V87" s="58" t="n">
        <f aca="false">+AA$40/12.7</f>
        <v>0</v>
      </c>
      <c r="W87" s="58" t="n">
        <v>0</v>
      </c>
      <c r="Y87" s="133"/>
      <c r="AD87" s="254"/>
      <c r="AE87" s="254"/>
      <c r="AF87" s="254"/>
      <c r="AG87" s="254"/>
      <c r="AQ87" s="133"/>
      <c r="AR87" s="133"/>
      <c r="AS87" s="133"/>
    </row>
    <row r="88" customFormat="false" ht="15.95" hidden="false" customHeight="true" outlineLevel="0" collapsed="false">
      <c r="K88" s="0" t="n">
        <f aca="false">+L88*N88</f>
        <v>7796.21178248338</v>
      </c>
      <c r="L88" s="218" t="n">
        <f aca="false">+[1]COMED!$G99</f>
        <v>29.5126777027929</v>
      </c>
      <c r="N88" s="219" t="n">
        <f aca="false">+TradeSum!DK77*16*Q88</f>
        <v>264.164839971319</v>
      </c>
      <c r="O88" s="220" t="n">
        <v>39114</v>
      </c>
      <c r="P88" s="221" t="n">
        <f aca="false">+[1]Cinergy!$G99</f>
        <v>29.3426757191503</v>
      </c>
      <c r="Q88" s="222" t="n">
        <f aca="false">VLOOKUP(O88,Interest!$X$8:$AC$367,6)</f>
        <v>0.750468295373065</v>
      </c>
      <c r="R88" s="35" t="n">
        <f aca="false">+N88*P88</f>
        <v>7751.30323567964</v>
      </c>
      <c r="S88" s="215" t="n">
        <v>38412</v>
      </c>
      <c r="T88" s="58" t="n">
        <f aca="false">+V88+W88</f>
        <v>0</v>
      </c>
      <c r="U88" s="133"/>
      <c r="V88" s="58" t="n">
        <f aca="false">+AA$40/12.7</f>
        <v>0</v>
      </c>
      <c r="W88" s="58" t="n">
        <v>0</v>
      </c>
      <c r="Y88" s="133"/>
      <c r="AD88" s="254"/>
      <c r="AE88" s="254"/>
      <c r="AF88" s="254"/>
      <c r="AG88" s="254"/>
      <c r="AQ88" s="133"/>
      <c r="AR88" s="133"/>
      <c r="AS88" s="133"/>
    </row>
    <row r="89" customFormat="false" ht="15.95" hidden="false" customHeight="true" outlineLevel="0" collapsed="false">
      <c r="K89" s="0" t="n">
        <f aca="false">+L89*N89</f>
        <v>7454.41815593042</v>
      </c>
      <c r="L89" s="218" t="n">
        <f aca="false">+[1]COMED!$G100</f>
        <v>29.712674651035</v>
      </c>
      <c r="N89" s="219" t="n">
        <f aca="false">+TradeSum!DK78*16*Q89</f>
        <v>250.883444303818</v>
      </c>
      <c r="O89" s="220" t="n">
        <v>39142</v>
      </c>
      <c r="P89" s="221" t="n">
        <f aca="false">+[1]Cinergy!$G100</f>
        <v>29.5426764820897</v>
      </c>
      <c r="Q89" s="222" t="n">
        <f aca="false">VLOOKUP(O89,Interest!$X$8:$AC$367,6)</f>
        <v>0.746676917570887</v>
      </c>
      <c r="R89" s="35" t="n">
        <f aca="false">+N89*P89</f>
        <v>7411.76842978007</v>
      </c>
      <c r="S89" s="215" t="n">
        <v>38443</v>
      </c>
      <c r="T89" s="58" t="n">
        <f aca="false">+V89+W89</f>
        <v>0</v>
      </c>
      <c r="U89" s="133"/>
      <c r="V89" s="58" t="n">
        <f aca="false">+AA$40/12.7</f>
        <v>0</v>
      </c>
      <c r="W89" s="58" t="n">
        <v>0</v>
      </c>
      <c r="Y89" s="133"/>
      <c r="AD89" s="254"/>
      <c r="AE89" s="254"/>
      <c r="AF89" s="254"/>
      <c r="AG89" s="254"/>
    </row>
    <row r="90" customFormat="false" ht="15.95" hidden="false" customHeight="true" outlineLevel="0" collapsed="false">
      <c r="K90" s="0" t="n">
        <f aca="false">+L90*N90</f>
        <v>8137.06266361535</v>
      </c>
      <c r="L90" s="218" t="n">
        <f aca="false">+[1]COMED!$G101</f>
        <v>31.1150016784668</v>
      </c>
      <c r="N90" s="219" t="n">
        <f aca="false">+TradeSum!DK79*16*Q90</f>
        <v>261.515739182705</v>
      </c>
      <c r="O90" s="220" t="n">
        <v>39173</v>
      </c>
      <c r="P90" s="221" t="n">
        <f aca="false">+[1]Cinergy!$G101</f>
        <v>31.9450035095215</v>
      </c>
      <c r="Q90" s="222" t="n">
        <f aca="false">VLOOKUP(O90,Interest!$X$8:$AC$367,6)</f>
        <v>0.742942440859957</v>
      </c>
      <c r="R90" s="35" t="n">
        <f aca="false">+N90*P90</f>
        <v>8354.12120598662</v>
      </c>
      <c r="S90" s="215" t="n">
        <v>38473</v>
      </c>
      <c r="T90" s="58" t="n">
        <f aca="false">+V90+W90</f>
        <v>0</v>
      </c>
      <c r="U90" s="133"/>
      <c r="V90" s="58" t="n">
        <f aca="false">+AA$40/12.7</f>
        <v>0</v>
      </c>
      <c r="W90" s="58" t="n">
        <v>0</v>
      </c>
      <c r="Y90" s="133"/>
      <c r="AD90" s="254"/>
      <c r="AE90" s="254"/>
      <c r="AF90" s="254"/>
      <c r="AG90" s="254"/>
    </row>
    <row r="91" customFormat="false" ht="15.95" hidden="false" customHeight="true" outlineLevel="0" collapsed="false">
      <c r="K91" s="0" t="n">
        <f aca="false">+L91*N91</f>
        <v>9491.76062918028</v>
      </c>
      <c r="L91" s="218" t="n">
        <f aca="false">+[1]COMED!$G102</f>
        <v>38.2200050354004</v>
      </c>
      <c r="N91" s="219" t="n">
        <f aca="false">+TradeSum!DK80*16*Q91</f>
        <v>248.345352659916</v>
      </c>
      <c r="O91" s="220" t="n">
        <v>39203</v>
      </c>
      <c r="P91" s="221" t="n">
        <f aca="false">+[1]Cinergy!$G102</f>
        <v>39.3000030517578</v>
      </c>
      <c r="Q91" s="222" t="n">
        <f aca="false">VLOOKUP(O91,Interest!$X$8:$AC$367,6)</f>
        <v>0.739123073392607</v>
      </c>
      <c r="R91" s="35" t="n">
        <f aca="false">+N91*P91</f>
        <v>9759.97311742457</v>
      </c>
      <c r="S91" s="215" t="n">
        <v>38504</v>
      </c>
      <c r="T91" s="58" t="n">
        <f aca="false">+V91+W91</f>
        <v>0</v>
      </c>
      <c r="U91" s="133"/>
      <c r="V91" s="58" t="n">
        <f aca="false">+AA$40/12.7</f>
        <v>0</v>
      </c>
      <c r="W91" s="58" t="n">
        <v>0</v>
      </c>
      <c r="Y91" s="133"/>
      <c r="AD91" s="254"/>
      <c r="AE91" s="254"/>
      <c r="AF91" s="254"/>
      <c r="AG91" s="254"/>
    </row>
    <row r="92" customFormat="false" ht="15.95" hidden="false" customHeight="true" outlineLevel="0" collapsed="false">
      <c r="K92" s="0" t="n">
        <f aca="false">+L92*N92</f>
        <v>12427.5278067555</v>
      </c>
      <c r="L92" s="218" t="n">
        <f aca="false">+[1]COMED!$G103</f>
        <v>50.2950019836426</v>
      </c>
      <c r="N92" s="219" t="n">
        <f aca="false">+TradeSum!DK81*16*Q92</f>
        <v>247.092699405745</v>
      </c>
      <c r="O92" s="220" t="n">
        <v>39234</v>
      </c>
      <c r="P92" s="221" t="n">
        <f aca="false">+[1]Cinergy!$G103</f>
        <v>51.625</v>
      </c>
      <c r="Q92" s="222" t="n">
        <f aca="false">VLOOKUP(O92,Interest!$X$8:$AC$367,6)</f>
        <v>0.735394938707574</v>
      </c>
      <c r="R92" s="35" t="n">
        <f aca="false">+N92*P92</f>
        <v>12756.1606068216</v>
      </c>
      <c r="S92" s="215" t="n">
        <v>38534</v>
      </c>
      <c r="T92" s="58" t="n">
        <f aca="false">+V92+W92</f>
        <v>0</v>
      </c>
      <c r="U92" s="133"/>
      <c r="V92" s="58" t="n">
        <f aca="false">+AA$40/12.7</f>
        <v>0</v>
      </c>
      <c r="W92" s="58" t="n">
        <v>0</v>
      </c>
      <c r="Y92" s="133"/>
      <c r="AD92" s="254"/>
      <c r="AE92" s="254"/>
      <c r="AF92" s="254"/>
      <c r="AG92" s="254"/>
    </row>
    <row r="93" customFormat="false" ht="15.95" hidden="false" customHeight="true" outlineLevel="0" collapsed="false">
      <c r="K93" s="0" t="n">
        <f aca="false">+L93*N93</f>
        <v>13540.5501867575</v>
      </c>
      <c r="L93" s="218" t="n">
        <f aca="false">+[1]COMED!$G104</f>
        <v>50.2950019836426</v>
      </c>
      <c r="N93" s="219" t="n">
        <f aca="false">+TradeSum!DK82*16*Q93</f>
        <v>269.222579833307</v>
      </c>
      <c r="O93" s="220" t="n">
        <v>39264</v>
      </c>
      <c r="P93" s="221" t="n">
        <f aca="false">+[1]Cinergy!$G104</f>
        <v>51.625</v>
      </c>
      <c r="Q93" s="222" t="n">
        <f aca="false">VLOOKUP(O93,Interest!$X$8:$AC$367,6)</f>
        <v>0.731583097373116</v>
      </c>
      <c r="R93" s="35" t="n">
        <f aca="false">+N93*P93</f>
        <v>13898.6156838945</v>
      </c>
      <c r="S93" s="215" t="n">
        <v>38565</v>
      </c>
      <c r="T93" s="58" t="n">
        <f aca="false">+V93+W93</f>
        <v>0</v>
      </c>
      <c r="U93" s="133"/>
      <c r="V93" s="58" t="n">
        <f aca="false">+AA$40/12.7</f>
        <v>0</v>
      </c>
      <c r="W93" s="58" t="n">
        <v>0</v>
      </c>
      <c r="Y93" s="133"/>
      <c r="AD93" s="254"/>
      <c r="AE93" s="254"/>
      <c r="AF93" s="254"/>
      <c r="AG93" s="254"/>
    </row>
    <row r="94" customFormat="false" ht="15.95" hidden="false" customHeight="true" outlineLevel="0" collapsed="false">
      <c r="K94" s="0" t="n">
        <f aca="false">+L94*N94</f>
        <v>6209.04683829725</v>
      </c>
      <c r="L94" s="218" t="n">
        <f aca="false">+[1]COMED!$G105</f>
        <v>28.0649948120117</v>
      </c>
      <c r="N94" s="219" t="n">
        <f aca="false">+TradeSum!DK83*16*Q94</f>
        <v>221.23812528338</v>
      </c>
      <c r="O94" s="220" t="n">
        <v>39295</v>
      </c>
      <c r="P94" s="221" t="n">
        <f aca="false">+[1]Cinergy!$G105</f>
        <v>28.3949966430664</v>
      </c>
      <c r="Q94" s="222" t="n">
        <f aca="false">VLOOKUP(O94,Interest!$X$8:$AC$367,6)</f>
        <v>0.72775699106375</v>
      </c>
      <c r="R94" s="35" t="n">
        <f aca="false">+N94*P94</f>
        <v>6282.05582473988</v>
      </c>
      <c r="S94" s="215" t="n">
        <v>38596</v>
      </c>
      <c r="T94" s="58" t="n">
        <f aca="false">+V94+W94</f>
        <v>0</v>
      </c>
      <c r="U94" s="133"/>
      <c r="V94" s="58" t="n">
        <f aca="false">+AA$40/12.7</f>
        <v>0</v>
      </c>
      <c r="W94" s="58" t="n">
        <v>0</v>
      </c>
      <c r="Y94" s="133"/>
      <c r="AD94" s="254"/>
      <c r="AE94" s="254"/>
      <c r="AF94" s="254"/>
      <c r="AG94" s="254"/>
    </row>
    <row r="95" customFormat="false" ht="15.95" hidden="false" customHeight="true" outlineLevel="0" collapsed="false">
      <c r="K95" s="0" t="n">
        <f aca="false">+L95*N95</f>
        <v>7879.24249800348</v>
      </c>
      <c r="L95" s="218" t="n">
        <f aca="false">+[1]COMED!$G106</f>
        <v>29.5715698003769</v>
      </c>
      <c r="N95" s="219" t="n">
        <f aca="false">+TradeSum!DK84*16*Q95</f>
        <v>266.446541431259</v>
      </c>
      <c r="O95" s="220" t="n">
        <v>39326</v>
      </c>
      <c r="P95" s="221" t="n">
        <f aca="false">+[1]Cinergy!$G106</f>
        <v>30.1015685796738</v>
      </c>
      <c r="Q95" s="222" t="n">
        <f aca="false">VLOOKUP(O95,Interest!$X$8:$AC$367,6)</f>
        <v>0.724039514758855</v>
      </c>
      <c r="R95" s="35" t="n">
        <f aca="false">+N95*P95</f>
        <v>8020.45883970992</v>
      </c>
      <c r="S95" s="215" t="n">
        <v>38626</v>
      </c>
      <c r="T95" s="58" t="n">
        <f aca="false">+V95+W95</f>
        <v>0</v>
      </c>
      <c r="U95" s="133"/>
      <c r="V95" s="58" t="n">
        <f aca="false">+AA$40/12.7</f>
        <v>0</v>
      </c>
      <c r="W95" s="58" t="n">
        <v>0</v>
      </c>
      <c r="Y95" s="133"/>
      <c r="AD95" s="254"/>
      <c r="AE95" s="254"/>
      <c r="AF95" s="254"/>
      <c r="AG95" s="254"/>
    </row>
    <row r="96" customFormat="false" ht="15.95" hidden="false" customHeight="true" outlineLevel="0" collapsed="false">
      <c r="K96" s="0" t="n">
        <f aca="false">+L96*N96</f>
        <v>7204.73835226563</v>
      </c>
      <c r="L96" s="218" t="n">
        <f aca="false">+[1]COMED!$G107</f>
        <v>29.7715629339218</v>
      </c>
      <c r="N96" s="219" t="n">
        <f aca="false">+TradeSum!DK85*16*Q96</f>
        <v>242.000675888484</v>
      </c>
      <c r="O96" s="220" t="n">
        <v>39356</v>
      </c>
      <c r="P96" s="221" t="n">
        <f aca="false">+[1]Cinergy!$G107</f>
        <v>30.2015670537949</v>
      </c>
      <c r="Q96" s="222" t="n">
        <f aca="false">VLOOKUP(O96,Interest!$X$8:$AC$367,6)</f>
        <v>0.720240106810965</v>
      </c>
      <c r="R96" s="35" t="n">
        <f aca="false">+N96*P96</f>
        <v>7308.79963990974</v>
      </c>
      <c r="S96" s="215" t="n">
        <v>38657</v>
      </c>
      <c r="T96" s="58" t="n">
        <f aca="false">+V96+W96</f>
        <v>0</v>
      </c>
      <c r="U96" s="133"/>
      <c r="V96" s="58" t="n">
        <f aca="false">+AA$40/12.7</f>
        <v>0</v>
      </c>
      <c r="W96" s="58" t="n">
        <v>0</v>
      </c>
      <c r="Y96" s="133"/>
      <c r="AD96" s="254"/>
      <c r="AE96" s="254"/>
      <c r="AF96" s="254"/>
      <c r="AG96" s="254"/>
    </row>
    <row r="97" customFormat="false" ht="15.95" hidden="false" customHeight="true" outlineLevel="0" collapsed="false">
      <c r="K97" s="0" t="n">
        <f aca="false">+L97*N97</f>
        <v>7021.21134107977</v>
      </c>
      <c r="L97" s="218" t="n">
        <f aca="false">+[1]COMED!$G108</f>
        <v>30.6215690374374</v>
      </c>
      <c r="N97" s="219" t="n">
        <f aca="false">+TradeSum!DK86*16*Q97</f>
        <v>229.289731446999</v>
      </c>
      <c r="O97" s="220" t="n">
        <v>39387</v>
      </c>
      <c r="P97" s="221" t="n">
        <f aca="false">+[1]Cinergy!$G108</f>
        <v>30.301565527916</v>
      </c>
      <c r="Q97" s="222" t="n">
        <f aca="false">VLOOKUP(O97,Interest!$X$8:$AC$367,6)</f>
        <v>0.716530410771871</v>
      </c>
      <c r="R97" s="35" t="n">
        <f aca="false">+N97*P97</f>
        <v>6947.83782231949</v>
      </c>
      <c r="S97" s="215" t="n">
        <v>38687</v>
      </c>
      <c r="T97" s="58" t="n">
        <f aca="false">+V97+W97</f>
        <v>0</v>
      </c>
      <c r="U97" s="58" t="n">
        <f aca="false">SUM(T86:T97)</f>
        <v>0</v>
      </c>
      <c r="V97" s="58" t="n">
        <f aca="false">+AA$40/12.7</f>
        <v>0</v>
      </c>
      <c r="W97" s="58" t="n">
        <v>0</v>
      </c>
      <c r="Y97" s="58" t="n">
        <f aca="false">SUM(W86:W97)</f>
        <v>0</v>
      </c>
      <c r="AD97" s="254"/>
      <c r="AE97" s="254"/>
      <c r="AF97" s="254"/>
      <c r="AG97" s="254"/>
    </row>
    <row r="98" customFormat="false" ht="15.95" hidden="false" customHeight="true" outlineLevel="0" collapsed="false">
      <c r="J98" s="218" t="n">
        <f aca="false">SUM(K87:K98)/SUM(N87:N98)</f>
        <v>34.2088517707672</v>
      </c>
      <c r="K98" s="0" t="n">
        <f aca="false">+L98*N98</f>
        <v>7832.29124888518</v>
      </c>
      <c r="L98" s="218" t="n">
        <f aca="false">+[1]COMED!$G109</f>
        <v>31.2187177567255</v>
      </c>
      <c r="M98" s="218" t="n">
        <f aca="false">SUM(R87:R98)/SUM(N87:N98)</f>
        <v>34.695796666151</v>
      </c>
      <c r="N98" s="219" t="n">
        <f aca="false">+TradeSum!DK87*16*Q98</f>
        <v>250.884463286384</v>
      </c>
      <c r="O98" s="220" t="n">
        <v>39417</v>
      </c>
      <c r="P98" s="221" t="n">
        <f aca="false">+[1]Cinergy!$G109</f>
        <v>31.4107190994989</v>
      </c>
      <c r="Q98" s="222" t="n">
        <f aca="false">VLOOKUP(O98,Interest!$X$8:$AC$367,6)</f>
        <v>0.712739952518136</v>
      </c>
      <c r="R98" s="35" t="n">
        <f aca="false">+N98*P98</f>
        <v>7880.46140271715</v>
      </c>
      <c r="S98" s="215" t="n">
        <v>38718</v>
      </c>
      <c r="T98" s="58" t="n">
        <f aca="false">+V98+W98</f>
        <v>0</v>
      </c>
      <c r="U98" s="133"/>
      <c r="V98" s="58"/>
      <c r="W98" s="58" t="n">
        <v>0</v>
      </c>
      <c r="Y98" s="133"/>
    </row>
    <row r="99" customFormat="false" ht="15.95" hidden="false" customHeight="true" outlineLevel="0" collapsed="false">
      <c r="K99" s="0" t="n">
        <f aca="false">+L99*N99</f>
        <v>7332.03388792461</v>
      </c>
      <c r="L99" s="218" t="n">
        <f aca="false">+[1]COMED!$G110</f>
        <v>30.7807123093378</v>
      </c>
      <c r="N99" s="219" t="n">
        <f aca="false">+TradeSum!DK88*16*Q99</f>
        <v>238.202216187841</v>
      </c>
      <c r="O99" s="220" t="n">
        <v>39448</v>
      </c>
      <c r="P99" s="221" t="n">
        <f aca="false">+[1]Cinergy!$G110</f>
        <v>30.9707109360468</v>
      </c>
      <c r="Q99" s="222" t="n">
        <f aca="false">VLOOKUP(O99,Interest!$X$8:$AC$367,6)</f>
        <v>0.708935167225717</v>
      </c>
      <c r="R99" s="35" t="n">
        <f aca="false">+N99*P99</f>
        <v>7377.29198187934</v>
      </c>
      <c r="S99" s="215" t="n">
        <v>38749</v>
      </c>
      <c r="T99" s="58" t="n">
        <f aca="false">+V99+W99</f>
        <v>0</v>
      </c>
      <c r="U99" s="133"/>
      <c r="V99" s="58"/>
      <c r="W99" s="58" t="n">
        <v>0</v>
      </c>
      <c r="Y99" s="133"/>
    </row>
    <row r="100" customFormat="false" ht="15.95" hidden="false" customHeight="true" outlineLevel="0" collapsed="false">
      <c r="K100" s="0" t="n">
        <f aca="false">+L100*N100</f>
        <v>7048.85719835714</v>
      </c>
      <c r="L100" s="218" t="n">
        <f aca="false">+[1]COMED!$G111</f>
        <v>29.7426772450292</v>
      </c>
      <c r="N100" s="219" t="n">
        <f aca="false">+TradeSum!DK89*16*Q100</f>
        <v>236.99471101026</v>
      </c>
      <c r="O100" s="220" t="n">
        <v>39479</v>
      </c>
      <c r="P100" s="221" t="n">
        <f aca="false">+[1]Cinergy!$G111</f>
        <v>29.4326758717382</v>
      </c>
      <c r="Q100" s="222" t="n">
        <f aca="false">VLOOKUP(O100,Interest!$X$8:$AC$367,6)</f>
        <v>0.705341401816251</v>
      </c>
      <c r="R100" s="35" t="n">
        <f aca="false">+N100*P100</f>
        <v>6975.38851248125</v>
      </c>
      <c r="S100" s="215" t="n">
        <v>38777</v>
      </c>
      <c r="T100" s="58" t="n">
        <f aca="false">+V100+W100</f>
        <v>0</v>
      </c>
      <c r="U100" s="133"/>
      <c r="V100" s="58"/>
      <c r="W100" s="58" t="n">
        <v>0</v>
      </c>
      <c r="Y100" s="133"/>
    </row>
    <row r="101" customFormat="false" ht="15.95" hidden="false" customHeight="true" outlineLevel="0" collapsed="false">
      <c r="K101" s="0" t="n">
        <f aca="false">+L101*N101</f>
        <v>7394.57826585601</v>
      </c>
      <c r="L101" s="218" t="n">
        <f aca="false">+[1]COMED!$G112</f>
        <v>29.9426780079686</v>
      </c>
      <c r="N101" s="219" t="n">
        <f aca="false">+TradeSum!DK90*16*Q101</f>
        <v>246.957812654168</v>
      </c>
      <c r="O101" s="220" t="n">
        <v>39508</v>
      </c>
      <c r="P101" s="221" t="n">
        <f aca="false">+[1]Cinergy!$G112</f>
        <v>29.6326766346776</v>
      </c>
      <c r="Q101" s="222" t="n">
        <f aca="false">VLOOKUP(O101,Interest!$X$8:$AC$367,6)</f>
        <v>0.701584695040251</v>
      </c>
      <c r="R101" s="35" t="n">
        <f aca="false">+N101*P101</f>
        <v>7318.02100478827</v>
      </c>
      <c r="S101" s="215" t="n">
        <v>38808</v>
      </c>
      <c r="T101" s="58" t="n">
        <f aca="false">+V101+W101</f>
        <v>0</v>
      </c>
      <c r="U101" s="133"/>
      <c r="V101" s="58"/>
      <c r="W101" s="58" t="n">
        <v>0</v>
      </c>
      <c r="Y101" s="133"/>
    </row>
    <row r="102" customFormat="false" ht="15.95" hidden="false" customHeight="true" outlineLevel="0" collapsed="false">
      <c r="K102" s="0" t="n">
        <f aca="false">+L102*N102</f>
        <v>7467.43844182395</v>
      </c>
      <c r="L102" s="218" t="n">
        <f aca="false">+[1]COMED!$G113</f>
        <v>31.8449935913086</v>
      </c>
      <c r="N102" s="219" t="n">
        <f aca="false">+TradeSum!DK91*16*Q102</f>
        <v>234.493325313842</v>
      </c>
      <c r="O102" s="220" t="n">
        <v>39539</v>
      </c>
      <c r="P102" s="221" t="n">
        <f aca="false">+[1]Cinergy!$G113</f>
        <v>32.5349960327148</v>
      </c>
      <c r="Q102" s="222" t="n">
        <f aca="false">VLOOKUP(O102,Interest!$X$8:$AC$367,6)</f>
        <v>0.697896801529293</v>
      </c>
      <c r="R102" s="35" t="n">
        <f aca="false">+N102*P102</f>
        <v>7629.23940878397</v>
      </c>
      <c r="S102" s="215" t="n">
        <v>38838</v>
      </c>
      <c r="T102" s="58" t="n">
        <f aca="false">+V102+W102</f>
        <v>0</v>
      </c>
      <c r="U102" s="133"/>
      <c r="V102" s="58"/>
      <c r="W102" s="58" t="n">
        <v>0</v>
      </c>
      <c r="Y102" s="133"/>
    </row>
    <row r="103" customFormat="false" ht="15.95" hidden="false" customHeight="true" outlineLevel="0" collapsed="false">
      <c r="K103" s="0" t="n">
        <f aca="false">+L103*N103</f>
        <v>8995.6049274113</v>
      </c>
      <c r="L103" s="218" t="n">
        <f aca="false">+[1]COMED!$G114</f>
        <v>38.5699996948242</v>
      </c>
      <c r="N103" s="219" t="n">
        <f aca="false">+TradeSum!DK92*16*Q103</f>
        <v>233.228026927323</v>
      </c>
      <c r="O103" s="220" t="n">
        <v>39569</v>
      </c>
      <c r="P103" s="221" t="n">
        <f aca="false">+[1]Cinergy!$G114</f>
        <v>39.5099983215332</v>
      </c>
      <c r="Q103" s="222" t="n">
        <f aca="false">VLOOKUP(O103,Interest!$X$8:$AC$367,6)</f>
        <v>0.694131032521794</v>
      </c>
      <c r="R103" s="35" t="n">
        <f aca="false">+N103*P103</f>
        <v>9214.83895243303</v>
      </c>
      <c r="S103" s="215" t="n">
        <v>38869</v>
      </c>
      <c r="T103" s="58" t="n">
        <f aca="false">+V103+W103</f>
        <v>0</v>
      </c>
      <c r="U103" s="133"/>
      <c r="V103" s="58"/>
      <c r="W103" s="58" t="n">
        <v>0</v>
      </c>
      <c r="Y103" s="133"/>
    </row>
    <row r="104" customFormat="false" ht="15.95" hidden="false" customHeight="true" outlineLevel="0" collapsed="false">
      <c r="K104" s="0" t="n">
        <f aca="false">+L104*N104</f>
        <v>12561.4916434418</v>
      </c>
      <c r="L104" s="218" t="n">
        <f aca="false">+[1]COMED!$G115</f>
        <v>51.685001373291</v>
      </c>
      <c r="N104" s="219" t="n">
        <f aca="false">+TradeSum!DK93*16*Q104</f>
        <v>243.039398465279</v>
      </c>
      <c r="O104" s="220" t="n">
        <v>39600</v>
      </c>
      <c r="P104" s="221" t="n">
        <f aca="false">+[1]Cinergy!$G115</f>
        <v>52.875</v>
      </c>
      <c r="Q104" s="222" t="n">
        <f aca="false">VLOOKUP(O104,Interest!$X$8:$AC$367,6)</f>
        <v>0.690452836549088</v>
      </c>
      <c r="R104" s="35" t="n">
        <f aca="false">+N104*P104</f>
        <v>12850.7081938516</v>
      </c>
      <c r="S104" s="215" t="n">
        <v>38899</v>
      </c>
      <c r="T104" s="58" t="n">
        <f aca="false">+V104+W104</f>
        <v>0</v>
      </c>
      <c r="U104" s="133"/>
      <c r="V104" s="58"/>
      <c r="W104" s="58" t="n">
        <v>0</v>
      </c>
      <c r="Y104" s="133"/>
    </row>
    <row r="105" customFormat="false" ht="15.95" hidden="false" customHeight="true" outlineLevel="0" collapsed="false">
      <c r="K105" s="0" t="n">
        <f aca="false">+L105*N105</f>
        <v>11925.3061311201</v>
      </c>
      <c r="L105" s="218" t="n">
        <f aca="false">+[1]COMED!$G116</f>
        <v>51.685001373291</v>
      </c>
      <c r="N105" s="219" t="n">
        <f aca="false">+TradeSum!DK94*16*Q105</f>
        <v>230.730498486213</v>
      </c>
      <c r="O105" s="220" t="n">
        <v>39630</v>
      </c>
      <c r="P105" s="221" t="n">
        <f aca="false">+[1]Cinergy!$G116</f>
        <v>52.875</v>
      </c>
      <c r="Q105" s="222" t="n">
        <f aca="false">VLOOKUP(O105,Interest!$X$8:$AC$367,6)</f>
        <v>0.686697912161349</v>
      </c>
      <c r="R105" s="35" t="n">
        <f aca="false">+N105*P105</f>
        <v>12199.8751074585</v>
      </c>
      <c r="S105" s="215" t="n">
        <v>38930</v>
      </c>
      <c r="T105" s="58" t="n">
        <f aca="false">+V105+W105</f>
        <v>0</v>
      </c>
      <c r="U105" s="133"/>
      <c r="V105" s="58"/>
      <c r="W105" s="58" t="n">
        <v>0</v>
      </c>
      <c r="Y105" s="133"/>
    </row>
    <row r="106" customFormat="false" ht="15.95" hidden="false" customHeight="true" outlineLevel="0" collapsed="false">
      <c r="K106" s="0" t="n">
        <f aca="false">+L106*N106</f>
        <v>6444.49595904305</v>
      </c>
      <c r="L106" s="218" t="n">
        <f aca="false">+[1]COMED!$G117</f>
        <v>28.0849952697754</v>
      </c>
      <c r="N106" s="219" t="n">
        <f aca="false">+TradeSum!DK95*16*Q106</f>
        <v>229.4640215225</v>
      </c>
      <c r="O106" s="220" t="n">
        <v>39661</v>
      </c>
      <c r="P106" s="221" t="n">
        <f aca="false">+[1]Cinergy!$G117</f>
        <v>28.2750015258789</v>
      </c>
      <c r="Q106" s="222" t="n">
        <f aca="false">VLOOKUP(O106,Interest!$X$8:$AC$367,6)</f>
        <v>0.682928635483631</v>
      </c>
      <c r="R106" s="35" t="n">
        <f aca="false">+N106*P106</f>
        <v>6488.095558683</v>
      </c>
      <c r="S106" s="215" t="n">
        <v>38961</v>
      </c>
      <c r="T106" s="58" t="n">
        <f aca="false">+V106+W106</f>
        <v>0</v>
      </c>
      <c r="U106" s="133"/>
      <c r="V106" s="58"/>
      <c r="W106" s="58" t="n">
        <v>0</v>
      </c>
      <c r="Y106" s="133"/>
    </row>
    <row r="107" customFormat="false" ht="15.95" hidden="false" customHeight="true" outlineLevel="0" collapsed="false">
      <c r="K107" s="0" t="n">
        <f aca="false">+L107*N107</f>
        <v>7449.49662441695</v>
      </c>
      <c r="L107" s="218" t="n">
        <f aca="false">+[1]COMED!$G118</f>
        <v>29.8015731573105</v>
      </c>
      <c r="N107" s="219" t="n">
        <f aca="false">+TradeSum!DK96*16*Q107</f>
        <v>249.96991216182</v>
      </c>
      <c r="O107" s="220" t="n">
        <v>39692</v>
      </c>
      <c r="P107" s="221" t="n">
        <f aca="false">+[1]Cinergy!$G118</f>
        <v>30.1915687322617</v>
      </c>
      <c r="Q107" s="222" t="n">
        <f aca="false">VLOOKUP(O107,Interest!$X$8:$AC$367,6)</f>
        <v>0.679266065657119</v>
      </c>
      <c r="R107" s="35" t="n">
        <f aca="false">+N107*P107</f>
        <v>7546.98378403099</v>
      </c>
      <c r="S107" s="215" t="n">
        <v>38991</v>
      </c>
      <c r="T107" s="58" t="n">
        <f aca="false">+V107+W107</f>
        <v>0</v>
      </c>
      <c r="U107" s="133"/>
      <c r="V107" s="58"/>
      <c r="W107" s="58" t="n">
        <v>0</v>
      </c>
      <c r="Y107" s="133"/>
    </row>
    <row r="108" customFormat="false" ht="15.95" hidden="false" customHeight="true" outlineLevel="0" collapsed="false">
      <c r="K108" s="0" t="n">
        <f aca="false">+L108*N108</f>
        <v>6162.84357915498</v>
      </c>
      <c r="L108" s="218" t="n">
        <f aca="false">+[1]COMED!$G119</f>
        <v>30.0015662908554</v>
      </c>
      <c r="N108" s="219" t="n">
        <f aca="false">+TradeSum!DK97*16*Q108</f>
        <v>205.417394525613</v>
      </c>
      <c r="O108" s="220" t="n">
        <v>39722</v>
      </c>
      <c r="P108" s="221" t="n">
        <f aca="false">+[1]Cinergy!$G119</f>
        <v>30.2915672063828</v>
      </c>
      <c r="Q108" s="222" t="n">
        <f aca="false">VLOOKUP(O108,Interest!$X$8:$AC$367,6)</f>
        <v>0.675715113571096</v>
      </c>
      <c r="R108" s="35" t="n">
        <f aca="false">+N108*P108</f>
        <v>6222.41481163265</v>
      </c>
      <c r="S108" s="215" t="n">
        <v>39022</v>
      </c>
      <c r="T108" s="58" t="n">
        <f aca="false">+V108+W108</f>
        <v>0</v>
      </c>
      <c r="U108" s="133"/>
      <c r="V108" s="58"/>
      <c r="W108" s="58" t="n">
        <v>0</v>
      </c>
      <c r="Y108" s="133"/>
    </row>
    <row r="109" customFormat="false" ht="15.95" hidden="false" customHeight="true" outlineLevel="0" collapsed="false">
      <c r="K109" s="0" t="n">
        <f aca="false">+L109*N109</f>
        <v>7301.46514946027</v>
      </c>
      <c r="L109" s="218" t="n">
        <f aca="false">+[1]COMED!$G120</f>
        <v>30.8515647649765</v>
      </c>
      <c r="N109" s="219" t="n">
        <f aca="false">+TradeSum!DK98*16*Q109</f>
        <v>236.664337938187</v>
      </c>
      <c r="O109" s="220" t="n">
        <v>39753</v>
      </c>
      <c r="P109" s="221" t="n">
        <f aca="false">+[1]Cinergy!$G120</f>
        <v>30.3915656805038</v>
      </c>
      <c r="Q109" s="222" t="n">
        <f aca="false">VLOOKUP(O109,Interest!$X$8:$AC$367,6)</f>
        <v>0.672341869142578</v>
      </c>
      <c r="R109" s="35" t="n">
        <f aca="false">+N109*P109</f>
        <v>7192.59977068138</v>
      </c>
      <c r="S109" s="215" t="n">
        <v>39052</v>
      </c>
      <c r="T109" s="58" t="n">
        <f aca="false">+V109+W109</f>
        <v>0</v>
      </c>
      <c r="U109" s="58" t="n">
        <f aca="false">SUM(T98:T109)</f>
        <v>0</v>
      </c>
      <c r="V109" s="58"/>
      <c r="W109" s="58" t="n">
        <v>0</v>
      </c>
      <c r="Y109" s="58" t="n">
        <f aca="false">SUM(W98:W109)</f>
        <v>0</v>
      </c>
    </row>
    <row r="110" customFormat="false" ht="15.95" hidden="false" customHeight="true" outlineLevel="0" collapsed="false">
      <c r="J110" s="218" t="n">
        <f aca="false">SUM(K99:K110)/SUM(N99:N110)</f>
        <v>34.5810519248298</v>
      </c>
      <c r="K110" s="0" t="n">
        <f aca="false">+L110*N110</f>
        <v>7085.97746578055</v>
      </c>
      <c r="L110" s="218" t="n">
        <f aca="false">+[1]COMED!$G121</f>
        <v>31.5287172226679</v>
      </c>
      <c r="M110" s="218" t="n">
        <f aca="false">SUM(R99:R110)/SUM(N99:N110)</f>
        <v>34.9280369346279</v>
      </c>
      <c r="N110" s="219" t="n">
        <f aca="false">+TradeSum!DK99*16*Q110</f>
        <v>224.746773417284</v>
      </c>
      <c r="O110" s="220" t="n">
        <v>39783</v>
      </c>
      <c r="P110" s="221" t="n">
        <f aca="false">+[1]Cinergy!$G121</f>
        <v>31.720714750744</v>
      </c>
      <c r="Q110" s="222" t="n">
        <f aca="false">VLOOKUP(O110,Interest!$X$8:$AC$367,6)</f>
        <v>0.668889206599058</v>
      </c>
      <c r="R110" s="35" t="n">
        <f aca="false">+N110*P110</f>
        <v>7129.12829071976</v>
      </c>
      <c r="S110" s="215" t="n">
        <v>39083</v>
      </c>
      <c r="T110" s="58" t="n">
        <f aca="false">+V110+W110</f>
        <v>0</v>
      </c>
      <c r="U110" s="58"/>
      <c r="W110" s="58" t="n">
        <v>0</v>
      </c>
      <c r="Y110" s="58"/>
    </row>
    <row r="111" customFormat="false" ht="15.95" hidden="false" customHeight="true" outlineLevel="0" collapsed="false">
      <c r="K111" s="0" t="n">
        <f aca="false">+L111*N111</f>
        <v>6611.90846095742</v>
      </c>
      <c r="L111" s="218" t="n">
        <f aca="false">+[1]COMED!$G122</f>
        <v>31.0507127671015</v>
      </c>
      <c r="N111" s="219" t="n">
        <f aca="false">+TradeSum!DK100*16*Q111</f>
        <v>212.939023672358</v>
      </c>
      <c r="O111" s="220" t="n">
        <v>39814</v>
      </c>
      <c r="P111" s="221" t="n">
        <f aca="false">+[1]Cinergy!$G122</f>
        <v>31.2407094864618</v>
      </c>
      <c r="Q111" s="222" t="n">
        <f aca="false">VLOOKUP(O111,Interest!$X$8:$AC$367,6)</f>
        <v>0.66543444897612</v>
      </c>
      <c r="R111" s="35" t="n">
        <f aca="false">+N111*P111</f>
        <v>6652.36617687896</v>
      </c>
      <c r="S111" s="215" t="n">
        <v>39114</v>
      </c>
      <c r="T111" s="58" t="n">
        <f aca="false">+V111+W111</f>
        <v>0</v>
      </c>
      <c r="W111" s="58" t="n">
        <v>0</v>
      </c>
    </row>
    <row r="112" customFormat="false" ht="15.95" hidden="false" customHeight="true" outlineLevel="0" collapsed="false">
      <c r="K112" s="0" t="n">
        <f aca="false">+L112*N112</f>
        <v>6996.70347870167</v>
      </c>
      <c r="L112" s="218" t="n">
        <f aca="false">+[1]COMED!$G123</f>
        <v>30.0126796101415</v>
      </c>
      <c r="N112" s="219" t="n">
        <f aca="false">+TradeSum!DK101*16*Q112</f>
        <v>233.124918187493</v>
      </c>
      <c r="O112" s="220" t="n">
        <v>39845</v>
      </c>
      <c r="P112" s="221" t="n">
        <f aca="false">+[1]Cinergy!$G123</f>
        <v>29.7026782368505</v>
      </c>
      <c r="Q112" s="222" t="n">
        <f aca="false">VLOOKUP(O112,Interest!$X$8:$AC$367,6)</f>
        <v>0.662286699396286</v>
      </c>
      <c r="R112" s="35" t="n">
        <f aca="false">+N112*P112</f>
        <v>6924.43443391519</v>
      </c>
      <c r="S112" s="215" t="n">
        <v>39142</v>
      </c>
      <c r="T112" s="58" t="n">
        <f aca="false">+V112+W112</f>
        <v>0</v>
      </c>
      <c r="W112" s="58" t="n">
        <v>0</v>
      </c>
    </row>
    <row r="113" customFormat="false" ht="15.95" hidden="false" customHeight="true" outlineLevel="0" collapsed="false">
      <c r="K113" s="0" t="n">
        <f aca="false">+L113*N113</f>
        <v>7007.16021448552</v>
      </c>
      <c r="L113" s="218" t="n">
        <f aca="false">+[1]COMED!$G124</f>
        <v>30.2126803730809</v>
      </c>
      <c r="N113" s="219" t="n">
        <f aca="false">+TradeSum!DK102*16*Q113</f>
        <v>231.92779084668</v>
      </c>
      <c r="O113" s="220" t="n">
        <v>39873</v>
      </c>
      <c r="P113" s="221" t="n">
        <f aca="false">+[1]Cinergy!$G124</f>
        <v>29.9026789997899</v>
      </c>
      <c r="Q113" s="222" t="n">
        <f aca="false">VLOOKUP(O113,Interest!$X$8:$AC$367,6)</f>
        <v>0.658885769450797</v>
      </c>
      <c r="R113" s="35" t="n">
        <f aca="false">+N113*P113</f>
        <v>6935.2622808187</v>
      </c>
      <c r="S113" s="215" t="n">
        <v>39173</v>
      </c>
      <c r="T113" s="58" t="n">
        <f aca="false">+V113+W113</f>
        <v>0</v>
      </c>
      <c r="W113" s="58" t="n">
        <v>0</v>
      </c>
    </row>
    <row r="114" customFormat="false" ht="15.95" hidden="false" customHeight="true" outlineLevel="0" collapsed="false">
      <c r="K114" s="0" t="n">
        <f aca="false">+L114*N114</f>
        <v>6841.91872629303</v>
      </c>
      <c r="L114" s="218" t="n">
        <f aca="false">+[1]COMED!$G125</f>
        <v>32.614990234375</v>
      </c>
      <c r="N114" s="219" t="n">
        <f aca="false">+TradeSum!DK103*16*Q114</f>
        <v>209.778346616885</v>
      </c>
      <c r="O114" s="220" t="n">
        <v>39904</v>
      </c>
      <c r="P114" s="221" t="n">
        <f aca="false">+[1]Cinergy!$G125</f>
        <v>33.3049926757813</v>
      </c>
      <c r="Q114" s="222" t="n">
        <f aca="false">VLOOKUP(O114,Interest!$X$8:$AC$367,6)</f>
        <v>0.655557333177765</v>
      </c>
      <c r="R114" s="35" t="n">
        <f aca="false">+N114*P114</f>
        <v>6986.66629761285</v>
      </c>
      <c r="S114" s="215" t="n">
        <v>39203</v>
      </c>
      <c r="T114" s="58" t="n">
        <f aca="false">+V114+W114</f>
        <v>0</v>
      </c>
      <c r="W114" s="58" t="n">
        <v>0</v>
      </c>
    </row>
    <row r="115" customFormat="false" ht="15.95" hidden="false" customHeight="true" outlineLevel="0" collapsed="false">
      <c r="K115" s="0" t="n">
        <f aca="false">+L115*N115</f>
        <v>9180.00127363512</v>
      </c>
      <c r="L115" s="218" t="n">
        <f aca="false">+[1]COMED!$G126</f>
        <v>39.9899940490723</v>
      </c>
      <c r="N115" s="219" t="n">
        <f aca="false">+TradeSum!DK104*16*Q115</f>
        <v>229.557455356713</v>
      </c>
      <c r="O115" s="220" t="n">
        <v>39934</v>
      </c>
      <c r="P115" s="221" t="n">
        <f aca="false">+[1]Cinergy!$G126</f>
        <v>40.9299926757813</v>
      </c>
      <c r="Q115" s="222" t="n">
        <f aca="false">VLOOKUP(O115,Interest!$X$8:$AC$367,6)</f>
        <v>0.652151861808843</v>
      </c>
      <c r="R115" s="35" t="n">
        <f aca="false">+N115*P115</f>
        <v>9395.78496642123</v>
      </c>
      <c r="S115" s="215" t="n">
        <v>39234</v>
      </c>
      <c r="T115" s="58" t="n">
        <f aca="false">+V115+W115</f>
        <v>0</v>
      </c>
      <c r="W115" s="58" t="n">
        <v>0</v>
      </c>
    </row>
    <row r="116" customFormat="false" ht="15.75" hidden="false" customHeight="false" outlineLevel="0" collapsed="false">
      <c r="K116" s="0" t="n">
        <f aca="false">+L116*N116</f>
        <v>12699.182447485</v>
      </c>
      <c r="L116" s="218" t="n">
        <f aca="false">+[1]COMED!$G127</f>
        <v>53.1849975585938</v>
      </c>
      <c r="N116" s="219" t="n">
        <f aca="false">+TradeSum!DK105*16*Q116</f>
        <v>238.773771372169</v>
      </c>
      <c r="O116" s="220" t="n">
        <v>39965</v>
      </c>
      <c r="P116" s="221" t="n">
        <f aca="false">+[1]Cinergy!$G127</f>
        <v>54.3749961853027</v>
      </c>
      <c r="Q116" s="222" t="n">
        <f aca="false">VLOOKUP(O116,Interest!$X$8:$AC$367,6)</f>
        <v>0.648841770033069</v>
      </c>
      <c r="R116" s="35" t="n">
        <f aca="false">+N116*P116</f>
        <v>12983.3229075121</v>
      </c>
      <c r="S116" s="215" t="n">
        <v>39264</v>
      </c>
      <c r="T116" s="58" t="n">
        <f aca="false">+V116+W116</f>
        <v>0</v>
      </c>
      <c r="W116" s="58" t="n">
        <v>0</v>
      </c>
    </row>
    <row r="117" customFormat="false" ht="15.75" hidden="false" customHeight="false" outlineLevel="0" collapsed="false">
      <c r="K117" s="0" t="n">
        <f aca="false">+L117*N117</f>
        <v>11534.3942021417</v>
      </c>
      <c r="L117" s="218" t="n">
        <f aca="false">+[1]COMED!$G128</f>
        <v>53.1849975585938</v>
      </c>
      <c r="N117" s="219" t="n">
        <f aca="false">+TradeSum!DK106*16*Q117</f>
        <v>216.873079470094</v>
      </c>
      <c r="O117" s="220" t="n">
        <v>39995</v>
      </c>
      <c r="P117" s="221" t="n">
        <f aca="false">+[1]Cinergy!$G128</f>
        <v>54.3749961853027</v>
      </c>
      <c r="Q117" s="222" t="n">
        <f aca="false">VLOOKUP(O117,Interest!$X$8:$AC$367,6)</f>
        <v>0.645455593660995</v>
      </c>
      <c r="R117" s="35" t="n">
        <f aca="false">+N117*P117</f>
        <v>11792.4728688812</v>
      </c>
      <c r="S117" s="215" t="n">
        <v>39295</v>
      </c>
      <c r="T117" s="58" t="n">
        <f aca="false">+V117+W117</f>
        <v>0</v>
      </c>
      <c r="W117" s="58" t="n">
        <v>0</v>
      </c>
    </row>
    <row r="118" customFormat="false" ht="15.75" hidden="false" customHeight="false" outlineLevel="0" collapsed="false">
      <c r="K118" s="0" t="n">
        <f aca="false">+L118*N118</f>
        <v>6080.47704519983</v>
      </c>
      <c r="L118" s="218" t="n">
        <f aca="false">+[1]COMED!$G129</f>
        <v>28.1849956512451</v>
      </c>
      <c r="N118" s="219" t="n">
        <f aca="false">+TradeSum!DK107*16*Q118</f>
        <v>215.734539058948</v>
      </c>
      <c r="O118" s="220" t="n">
        <v>40026</v>
      </c>
      <c r="P118" s="221" t="n">
        <f aca="false">+[1]Cinergy!$G129</f>
        <v>28.3749980926514</v>
      </c>
      <c r="Q118" s="222" t="n">
        <f aca="false">VLOOKUP(O118,Interest!$X$8:$AC$367,6)</f>
        <v>0.642067080532584</v>
      </c>
      <c r="R118" s="35" t="n">
        <f aca="false">+N118*P118</f>
        <v>6121.46713431668</v>
      </c>
      <c r="S118" s="215" t="n">
        <v>39326</v>
      </c>
      <c r="T118" s="58" t="n">
        <f aca="false">+V118+W118</f>
        <v>0</v>
      </c>
      <c r="W118" s="58" t="n">
        <v>0</v>
      </c>
    </row>
    <row r="119" customFormat="false" ht="15.75" hidden="false" customHeight="false" outlineLevel="0" collapsed="false">
      <c r="K119" s="0" t="n">
        <f aca="false">+L119*N119</f>
        <v>6761.66125737756</v>
      </c>
      <c r="L119" s="218" t="n">
        <f aca="false">+[1]COMED!$G130</f>
        <v>30.0715698003769</v>
      </c>
      <c r="N119" s="219" t="n">
        <f aca="false">+TradeSum!DK108*16*Q119</f>
        <v>224.852287468305</v>
      </c>
      <c r="O119" s="220" t="n">
        <v>40057</v>
      </c>
      <c r="P119" s="221" t="n">
        <f aca="false">+[1]Cinergy!$G130</f>
        <v>30.4615653753281</v>
      </c>
      <c r="Q119" s="222" t="n">
        <f aca="false">VLOOKUP(O119,Interest!$X$8:$AC$367,6)</f>
        <v>0.638784907580413</v>
      </c>
      <c r="R119" s="35" t="n">
        <f aca="false">+N119*P119</f>
        <v>6849.35265450785</v>
      </c>
      <c r="S119" s="215" t="n">
        <v>39356</v>
      </c>
      <c r="T119" s="58" t="n">
        <f aca="false">+V119+W119</f>
        <v>0</v>
      </c>
      <c r="W119" s="58" t="n">
        <v>0</v>
      </c>
    </row>
    <row r="120" customFormat="false" ht="15.75" hidden="false" customHeight="false" outlineLevel="0" collapsed="false">
      <c r="K120" s="0" t="n">
        <f aca="false">+L120*N120</f>
        <v>6155.32826180603</v>
      </c>
      <c r="L120" s="218" t="n">
        <f aca="false">+[1]COMED!$G131</f>
        <v>30.2715629339218</v>
      </c>
      <c r="N120" s="219" t="n">
        <f aca="false">+TradeSum!DK109*16*Q120</f>
        <v>203.336982475671</v>
      </c>
      <c r="O120" s="220" t="n">
        <v>40087</v>
      </c>
      <c r="P120" s="221" t="n">
        <f aca="false">+[1]Cinergy!$G131</f>
        <v>30.5615638494492</v>
      </c>
      <c r="Q120" s="222" t="n">
        <f aca="false">VLOOKUP(O120,Interest!$X$8:$AC$367,6)</f>
        <v>0.635428070236472</v>
      </c>
      <c r="R120" s="35" t="n">
        <f aca="false">+N120*P120</f>
        <v>6214.29617288454</v>
      </c>
      <c r="S120" s="215" t="n">
        <v>39387</v>
      </c>
      <c r="T120" s="58" t="n">
        <f aca="false">+V120+W120</f>
        <v>0</v>
      </c>
      <c r="W120" s="58" t="n">
        <v>0</v>
      </c>
    </row>
    <row r="121" customFormat="false" ht="15.75" hidden="false" customHeight="false" outlineLevel="0" collapsed="false">
      <c r="K121" s="0" t="n">
        <f aca="false">+L121*N121</f>
        <v>6925.23028630201</v>
      </c>
      <c r="L121" s="218" t="n">
        <f aca="false">+[1]COMED!$G132</f>
        <v>31.1215633153915</v>
      </c>
      <c r="N121" s="219" t="n">
        <f aca="false">+TradeSum!DK110*16*Q121</f>
        <v>222.521928481564</v>
      </c>
      <c r="O121" s="220" t="n">
        <v>40118</v>
      </c>
      <c r="P121" s="221" t="n">
        <f aca="false">+[1]Cinergy!$G132</f>
        <v>30.6615623235703</v>
      </c>
      <c r="Q121" s="222" t="n">
        <f aca="false">VLOOKUP(O121,Interest!$X$8:$AC$367,6)</f>
        <v>0.632164569549897</v>
      </c>
      <c r="R121" s="35" t="n">
        <f aca="false">+N121*P121</f>
        <v>6822.86997849851</v>
      </c>
      <c r="S121" s="215" t="n">
        <v>39417</v>
      </c>
      <c r="T121" s="58" t="n">
        <f aca="false">+V121+W121</f>
        <v>0</v>
      </c>
      <c r="U121" s="58" t="n">
        <f aca="false">SUM(T110:T121)</f>
        <v>0</v>
      </c>
      <c r="W121" s="58" t="n">
        <v>0</v>
      </c>
      <c r="Y121" s="58" t="n">
        <f aca="false">SUM(W110:W121)</f>
        <v>0</v>
      </c>
    </row>
    <row r="122" customFormat="false" ht="15.75" hidden="false" customHeight="false" outlineLevel="0" collapsed="false">
      <c r="J122" s="218" t="n">
        <f aca="false">SUM(K111:K122)/SUM(N111:N122)</f>
        <v>35.2969611829798</v>
      </c>
      <c r="K122" s="0" t="n">
        <f aca="false">+L122*N122</f>
        <v>6412.77385277693</v>
      </c>
      <c r="L122" s="218" t="n">
        <f aca="false">+[1]COMED!$G133</f>
        <v>31.8687135605585</v>
      </c>
      <c r="M122" s="218" t="n">
        <f aca="false">SUM(R111:R122)/SUM(N111:N122)</f>
        <v>35.639625731177</v>
      </c>
      <c r="N122" s="219" t="n">
        <f aca="false">+TradeSum!DK111*16*Q122</f>
        <v>201.224747920592</v>
      </c>
      <c r="O122" s="220" t="n">
        <v>40148</v>
      </c>
      <c r="P122" s="221" t="n">
        <f aca="false">+[1]Cinergy!$G133</f>
        <v>31.970714750744</v>
      </c>
      <c r="Q122" s="222" t="n">
        <f aca="false">VLOOKUP(O122,Interest!$X$8:$AC$367,6)</f>
        <v>0.62882733725185</v>
      </c>
      <c r="R122" s="35" t="n">
        <f aca="false">+N122*P122</f>
        <v>6433.29901655962</v>
      </c>
      <c r="S122" s="215" t="n">
        <v>39448</v>
      </c>
      <c r="T122" s="58" t="n">
        <f aca="false">+V122+W122</f>
        <v>0</v>
      </c>
      <c r="W122" s="58" t="n">
        <v>0</v>
      </c>
      <c r="Y122" s="58"/>
    </row>
    <row r="123" customFormat="false" ht="15.75" hidden="false" customHeight="false" outlineLevel="0" collapsed="false">
      <c r="K123" s="0" t="n">
        <f aca="false">+L123*N123</f>
        <v>6307.05917676248</v>
      </c>
      <c r="L123" s="218" t="n">
        <f aca="false">+[1]COMED!$G134</f>
        <v>31.5107118515741</v>
      </c>
      <c r="N123" s="219" t="n">
        <f aca="false">+TradeSum!DK112*16*Q123</f>
        <v>200.156036032154</v>
      </c>
      <c r="O123" s="220" t="n">
        <v>40179</v>
      </c>
      <c r="P123" s="221" t="n">
        <f aca="false">+[1]Cinergy!$G134</f>
        <v>31.6107179550898</v>
      </c>
      <c r="Q123" s="222" t="n">
        <f aca="false">VLOOKUP(O123,Interest!$X$8:$AC$367,6)</f>
        <v>0.62548761260048</v>
      </c>
      <c r="R123" s="35" t="n">
        <f aca="false">+N123*P123</f>
        <v>6327.07600202119</v>
      </c>
      <c r="S123" s="215" t="n">
        <v>39479</v>
      </c>
      <c r="T123" s="58" t="n">
        <f aca="false">+V123+W123</f>
        <v>0</v>
      </c>
      <c r="W123" s="58" t="n">
        <v>0</v>
      </c>
      <c r="Y123" s="58"/>
    </row>
    <row r="124" customFormat="false" ht="15.75" hidden="false" customHeight="true" outlineLevel="0" collapsed="false">
      <c r="K124" s="0" t="n">
        <f aca="false">+L124*N124</f>
        <v>6980.02845417233</v>
      </c>
      <c r="L124" s="218" t="n">
        <f aca="false">+[1]COMED!$G135</f>
        <v>30.4726767872655</v>
      </c>
      <c r="N124" s="219" t="n">
        <f aca="false">+TradeSum!DK113*16*Q124</f>
        <v>229.058592486016</v>
      </c>
      <c r="O124" s="220" t="n">
        <v>40210</v>
      </c>
      <c r="P124" s="221" t="n">
        <f aca="false">+[1]Cinergy!$G135</f>
        <v>30.0726790760839</v>
      </c>
      <c r="Q124" s="222" t="n">
        <f aca="false">VLOOKUP(O124,Interest!$X$8:$AC$367,6)</f>
        <v>0.622441827407652</v>
      </c>
      <c r="R124" s="35" t="n">
        <f aca="false">+N124*P124</f>
        <v>6888.40554145144</v>
      </c>
      <c r="S124" s="215" t="n">
        <v>39508</v>
      </c>
      <c r="T124" s="58" t="n">
        <f aca="false">+V124+W124</f>
        <v>0</v>
      </c>
      <c r="W124" s="58" t="n">
        <v>0</v>
      </c>
      <c r="Y124" s="58"/>
    </row>
    <row r="125" customFormat="false" ht="15.75" hidden="false" customHeight="true" outlineLevel="0" collapsed="false">
      <c r="K125" s="0" t="n">
        <f aca="false">+L125*N125</f>
        <v>6684.92457249879</v>
      </c>
      <c r="L125" s="218" t="n">
        <f aca="false">+[1]COMED!$G136</f>
        <v>30.672677550205</v>
      </c>
      <c r="N125" s="219" t="n">
        <f aca="false">+TradeSum!DK114*16*Q125</f>
        <v>217.943952286425</v>
      </c>
      <c r="O125" s="220" t="n">
        <v>40238</v>
      </c>
      <c r="P125" s="221" t="n">
        <f aca="false">+[1]Cinergy!$G136</f>
        <v>30.2726798390233</v>
      </c>
      <c r="Q125" s="222" t="n">
        <f aca="false">VLOOKUP(O125,Interest!$X$8:$AC$367,6)</f>
        <v>0.619158955359163</v>
      </c>
      <c r="R125" s="35" t="n">
        <f aca="false">+N125*P125</f>
        <v>6597.74749041834</v>
      </c>
      <c r="S125" s="215" t="n">
        <v>39539</v>
      </c>
      <c r="T125" s="58" t="n">
        <f aca="false">+V125+W125</f>
        <v>0</v>
      </c>
      <c r="W125" s="58" t="n">
        <v>0</v>
      </c>
      <c r="Y125" s="58"/>
    </row>
    <row r="126" customFormat="false" ht="15.75" hidden="false" customHeight="true" outlineLevel="0" collapsed="false">
      <c r="K126" s="0" t="n">
        <f aca="false">+L126*N126</f>
        <v>6617.68238252969</v>
      </c>
      <c r="L126" s="218" t="n">
        <f aca="false">+[1]COMED!$G137</f>
        <v>33.5749969482422</v>
      </c>
      <c r="N126" s="219" t="n">
        <f aca="false">+TradeSum!DK115*16*Q126</f>
        <v>197.101503619828</v>
      </c>
      <c r="O126" s="220" t="n">
        <v>40269</v>
      </c>
      <c r="P126" s="221" t="n">
        <f aca="false">+[1]Cinergy!$G137</f>
        <v>34.1750030517578</v>
      </c>
      <c r="Q126" s="222" t="n">
        <f aca="false">VLOOKUP(O126,Interest!$X$8:$AC$367,6)</f>
        <v>0.615942198811964</v>
      </c>
      <c r="R126" s="35" t="n">
        <f aca="false">+N126*P126</f>
        <v>6735.94448771369</v>
      </c>
      <c r="S126" s="215" t="n">
        <v>39569</v>
      </c>
      <c r="T126" s="58" t="n">
        <f aca="false">+V126+W126</f>
        <v>0</v>
      </c>
      <c r="W126" s="58" t="n">
        <v>0</v>
      </c>
      <c r="Y126" s="58"/>
    </row>
    <row r="127" customFormat="false" ht="15.75" hidden="false" customHeight="true" outlineLevel="0" collapsed="false">
      <c r="K127" s="0" t="n">
        <f aca="false">+L127*N127</f>
        <v>9083.35567114343</v>
      </c>
      <c r="L127" s="218" t="n">
        <f aca="false">+[1]COMED!$G138</f>
        <v>42.120002746582</v>
      </c>
      <c r="N127" s="219" t="n">
        <f aca="false">+TradeSum!DK116*16*Q127</f>
        <v>215.654204150795</v>
      </c>
      <c r="O127" s="220" t="n">
        <v>40299</v>
      </c>
      <c r="P127" s="221" t="n">
        <f aca="false">+[1]Cinergy!$G138</f>
        <v>42.9700050354004</v>
      </c>
      <c r="Q127" s="222" t="n">
        <f aca="false">VLOOKUP(O127,Interest!$X$8:$AC$367,6)</f>
        <v>0.612653989064758</v>
      </c>
      <c r="R127" s="35" t="n">
        <f aca="false">+N127*P127</f>
        <v>9266.66223826491</v>
      </c>
      <c r="S127" s="215" t="n">
        <v>39600</v>
      </c>
      <c r="T127" s="58" t="n">
        <f aca="false">+V127+W127</f>
        <v>0</v>
      </c>
      <c r="W127" s="58" t="n">
        <v>0</v>
      </c>
      <c r="Y127" s="58"/>
    </row>
    <row r="128" customFormat="false" ht="15.75" hidden="false" customHeight="true" outlineLevel="0" collapsed="false">
      <c r="K128" s="0" t="n">
        <f aca="false">+L128*N128</f>
        <v>11858.069168621</v>
      </c>
      <c r="L128" s="218" t="n">
        <f aca="false">+[1]COMED!$G139</f>
        <v>55.2749977111816</v>
      </c>
      <c r="N128" s="219" t="n">
        <f aca="false">+TradeSum!DK117*16*Q128</f>
        <v>214.528623421765</v>
      </c>
      <c r="O128" s="220" t="n">
        <v>40330</v>
      </c>
      <c r="P128" s="221" t="n">
        <f aca="false">+[1]Cinergy!$G139</f>
        <v>56.375</v>
      </c>
      <c r="Q128" s="222" t="n">
        <f aca="false">VLOOKUP(O128,Interest!$X$8:$AC$367,6)</f>
        <v>0.609456316539105</v>
      </c>
      <c r="R128" s="35" t="n">
        <f aca="false">+N128*P128</f>
        <v>12094.051145402</v>
      </c>
      <c r="S128" s="215" t="n">
        <v>39630</v>
      </c>
      <c r="T128" s="58" t="n">
        <f aca="false">+V128+W128</f>
        <v>0</v>
      </c>
      <c r="W128" s="58" t="n">
        <v>0</v>
      </c>
      <c r="Y128" s="58"/>
    </row>
    <row r="129" customFormat="false" ht="15.75" hidden="false" customHeight="true" outlineLevel="0" collapsed="false">
      <c r="K129" s="0" t="n">
        <f aca="false">+L129*N129</f>
        <v>11794.4801127117</v>
      </c>
      <c r="L129" s="218" t="n">
        <f aca="false">+[1]COMED!$G140</f>
        <v>55.2749977111816</v>
      </c>
      <c r="N129" s="219" t="n">
        <f aca="false">+TradeSum!DK118*16*Q129</f>
        <v>213.378210784183</v>
      </c>
      <c r="O129" s="220" t="n">
        <v>40360</v>
      </c>
      <c r="P129" s="221" t="n">
        <f aca="false">+[1]Cinergy!$G140</f>
        <v>56.375</v>
      </c>
      <c r="Q129" s="222" t="n">
        <f aca="false">VLOOKUP(O129,Interest!$X$8:$AC$367,6)</f>
        <v>0.606188098818701</v>
      </c>
      <c r="R129" s="35" t="n">
        <f aca="false">+N129*P129</f>
        <v>12029.1966329583</v>
      </c>
      <c r="S129" s="215" t="n">
        <v>39661</v>
      </c>
      <c r="T129" s="58" t="n">
        <f aca="false">+V129+W129</f>
        <v>0</v>
      </c>
      <c r="W129" s="58" t="n">
        <v>0</v>
      </c>
      <c r="Y129" s="58"/>
    </row>
    <row r="130" customFormat="false" ht="15.75" hidden="false" customHeight="true" outlineLevel="0" collapsed="false">
      <c r="K130" s="0" t="n">
        <f aca="false">+L130*N130</f>
        <v>5744.16048189615</v>
      </c>
      <c r="L130" s="218" t="n">
        <f aca="false">+[1]COMED!$G141</f>
        <v>28.3549976348877</v>
      </c>
      <c r="N130" s="219" t="n">
        <f aca="false">+TradeSum!DK119*16*Q130</f>
        <v>202.580178487781</v>
      </c>
      <c r="O130" s="220" t="n">
        <v>40391</v>
      </c>
      <c r="P130" s="221" t="n">
        <f aca="false">+[1]Cinergy!$G141</f>
        <v>28.4549999237061</v>
      </c>
      <c r="Q130" s="222" t="n">
        <f aca="false">VLOOKUP(O130,Interest!$X$8:$AC$367,6)</f>
        <v>0.6029171978803</v>
      </c>
      <c r="R130" s="35" t="n">
        <f aca="false">+N130*P130</f>
        <v>5764.41896341416</v>
      </c>
      <c r="S130" s="215" t="n">
        <v>39692</v>
      </c>
      <c r="T130" s="58" t="n">
        <f aca="false">+V130+W130</f>
        <v>0</v>
      </c>
      <c r="W130" s="58" t="n">
        <v>0</v>
      </c>
      <c r="Y130" s="58"/>
    </row>
    <row r="131" customFormat="false" ht="15.75" hidden="false" customHeight="true" outlineLevel="0" collapsed="false">
      <c r="K131" s="0" t="n">
        <f aca="false">+L131*N131</f>
        <v>6152.58400222931</v>
      </c>
      <c r="L131" s="218" t="n">
        <f aca="false">+[1]COMED!$G142</f>
        <v>30.5315669775009</v>
      </c>
      <c r="N131" s="219" t="n">
        <f aca="false">+TradeSum!DK120*16*Q131</f>
        <v>201.515500555973</v>
      </c>
      <c r="O131" s="220" t="n">
        <v>40422</v>
      </c>
      <c r="P131" s="221" t="n">
        <f aca="false">+[1]Cinergy!$G142</f>
        <v>30.8315662145615</v>
      </c>
      <c r="Q131" s="222" t="n">
        <f aca="false">VLOOKUP(O131,Interest!$X$8:$AC$367,6)</f>
        <v>0.599748513559444</v>
      </c>
      <c r="R131" s="35" t="n">
        <f aca="false">+N131*P131</f>
        <v>6213.03849865198</v>
      </c>
      <c r="S131" s="215" t="n">
        <v>39722</v>
      </c>
      <c r="T131" s="58" t="n">
        <f aca="false">+V131+W131</f>
        <v>0</v>
      </c>
      <c r="W131" s="58" t="n">
        <v>0</v>
      </c>
      <c r="Y131" s="58"/>
    </row>
    <row r="132" customFormat="false" ht="15.75" hidden="false" customHeight="true" outlineLevel="0" collapsed="false">
      <c r="K132" s="0" t="n">
        <f aca="false">+L132*N132</f>
        <v>6159.45206952614</v>
      </c>
      <c r="L132" s="218" t="n">
        <f aca="false">+[1]COMED!$G143</f>
        <v>30.7315601110458</v>
      </c>
      <c r="N132" s="219" t="n">
        <f aca="false">+TradeSum!DK121*16*Q132</f>
        <v>200.427575016351</v>
      </c>
      <c r="O132" s="220" t="n">
        <v>40452</v>
      </c>
      <c r="P132" s="221" t="n">
        <f aca="false">+[1]Cinergy!$G143</f>
        <v>30.9315646886826</v>
      </c>
      <c r="Q132" s="222" t="n">
        <f aca="false">VLOOKUP(O132,Interest!$X$8:$AC$367,6)</f>
        <v>0.596510639929616</v>
      </c>
      <c r="R132" s="35" t="n">
        <f aca="false">+N132*P132</f>
        <v>6199.53850201404</v>
      </c>
      <c r="S132" s="215" t="n">
        <v>39753</v>
      </c>
      <c r="T132" s="58" t="n">
        <f aca="false">+V132+W132</f>
        <v>0</v>
      </c>
      <c r="W132" s="58" t="n">
        <v>0</v>
      </c>
      <c r="Y132" s="58"/>
    </row>
    <row r="133" customFormat="false" ht="15.75" hidden="false" customHeight="true" outlineLevel="0" collapsed="false">
      <c r="K133" s="0" t="n">
        <f aca="false">+L133*N133</f>
        <v>6896.05398410237</v>
      </c>
      <c r="L133" s="218" t="n">
        <f aca="false">+[1]COMED!$G144</f>
        <v>31.5815623998642</v>
      </c>
      <c r="N133" s="219" t="n">
        <f aca="false">+TradeSum!DK122*16*Q133</f>
        <v>218.356960836492</v>
      </c>
      <c r="O133" s="220" t="n">
        <v>40483</v>
      </c>
      <c r="P133" s="221" t="n">
        <f aca="false">+[1]Cinergy!$G144</f>
        <v>31.0315631628037</v>
      </c>
      <c r="Q133" s="222" t="n">
        <f aca="false">VLOOKUP(O133,Interest!$X$8:$AC$367,6)</f>
        <v>0.593361306620902</v>
      </c>
      <c r="R133" s="35" t="n">
        <f aca="false">+N133*P133</f>
        <v>6775.95782223544</v>
      </c>
      <c r="S133" s="215" t="n">
        <v>39783</v>
      </c>
      <c r="T133" s="58" t="n">
        <f aca="false">+V133+W133</f>
        <v>0</v>
      </c>
      <c r="U133" s="58" t="n">
        <f aca="false">SUM(T122:T133)</f>
        <v>0</v>
      </c>
      <c r="W133" s="58" t="n">
        <v>0</v>
      </c>
      <c r="Y133" s="58" t="n">
        <f aca="false">SUM(W122:W133)</f>
        <v>0</v>
      </c>
    </row>
    <row r="134" customFormat="false" ht="15.75" hidden="false" customHeight="true" outlineLevel="0" collapsed="false">
      <c r="J134" s="218" t="n">
        <f aca="false">SUM(K123:K134)/SUM(N123:N134)</f>
        <v>36.1397976436212</v>
      </c>
      <c r="K134" s="0" t="n">
        <f aca="false">+L134*N134</f>
        <v>6396.52679653637</v>
      </c>
      <c r="L134" s="218" t="n">
        <f aca="false">+[1]COMED!$G145</f>
        <v>32.2587243942987</v>
      </c>
      <c r="M134" s="218" t="n">
        <f aca="false">SUM(R123:R134)/SUM(N123:N134)</f>
        <v>36.4045080563136</v>
      </c>
      <c r="N134" s="219" t="n">
        <f aca="false">+TradeSum!DK123*16*Q134</f>
        <v>198.288274463415</v>
      </c>
      <c r="O134" s="220" t="n">
        <v>40513</v>
      </c>
      <c r="P134" s="221" t="n">
        <f aca="false">+[1]Cinergy!$G145</f>
        <v>32.5107232956659</v>
      </c>
      <c r="Q134" s="222" t="n">
        <f aca="false">VLOOKUP(O134,Interest!$X$8:$AC$367,6)</f>
        <v>0.590143673998259</v>
      </c>
      <c r="R134" s="35" t="n">
        <f aca="false">+N134*P134</f>
        <v>6446.49522385514</v>
      </c>
      <c r="S134" s="215" t="n">
        <v>39814</v>
      </c>
      <c r="T134" s="58" t="n">
        <f aca="false">+V134+W134</f>
        <v>0</v>
      </c>
      <c r="W134" s="58" t="n">
        <v>0</v>
      </c>
      <c r="Y134" s="58"/>
    </row>
    <row r="135" customFormat="false" ht="15.75" hidden="false" customHeight="true" outlineLevel="0" collapsed="false">
      <c r="S135" s="215" t="n">
        <v>39845</v>
      </c>
      <c r="T135" s="58" t="n">
        <f aca="false">+V135+W135</f>
        <v>0</v>
      </c>
      <c r="W135" s="58" t="n">
        <v>0</v>
      </c>
      <c r="Y135" s="58"/>
    </row>
    <row r="136" customFormat="false" ht="15.75" hidden="false" customHeight="true" outlineLevel="0" collapsed="false">
      <c r="S136" s="215" t="n">
        <v>39873</v>
      </c>
      <c r="T136" s="58" t="n">
        <f aca="false">+V136+W136</f>
        <v>0</v>
      </c>
      <c r="W136" s="58" t="n">
        <v>0</v>
      </c>
      <c r="Y136" s="58"/>
    </row>
    <row r="137" customFormat="false" ht="15.75" hidden="false" customHeight="true" outlineLevel="0" collapsed="false">
      <c r="S137" s="215" t="n">
        <v>39904</v>
      </c>
      <c r="T137" s="58" t="n">
        <f aca="false">+V137+W137</f>
        <v>0</v>
      </c>
      <c r="W137" s="58" t="n">
        <v>0</v>
      </c>
      <c r="Y137" s="58"/>
    </row>
    <row r="138" customFormat="false" ht="15.75" hidden="false" customHeight="true" outlineLevel="0" collapsed="false">
      <c r="S138" s="215" t="n">
        <v>39934</v>
      </c>
      <c r="T138" s="58" t="n">
        <f aca="false">+V138+W138</f>
        <v>0</v>
      </c>
      <c r="W138" s="58" t="n">
        <v>0</v>
      </c>
      <c r="Y138" s="58"/>
    </row>
    <row r="139" customFormat="false" ht="15.75" hidden="false" customHeight="true" outlineLevel="0" collapsed="false">
      <c r="S139" s="215" t="n">
        <v>39965</v>
      </c>
      <c r="T139" s="58" t="n">
        <f aca="false">+V139+W139</f>
        <v>0</v>
      </c>
      <c r="W139" s="58" t="n">
        <v>0</v>
      </c>
      <c r="Y139" s="58"/>
    </row>
    <row r="140" customFormat="false" ht="15.75" hidden="false" customHeight="true" outlineLevel="0" collapsed="false">
      <c r="S140" s="215" t="n">
        <v>39995</v>
      </c>
      <c r="T140" s="58" t="n">
        <f aca="false">+V140+W140</f>
        <v>0</v>
      </c>
      <c r="W140" s="58" t="n">
        <v>0</v>
      </c>
      <c r="Y140" s="58"/>
    </row>
    <row r="141" customFormat="false" ht="15.75" hidden="false" customHeight="false" outlineLevel="0" collapsed="false">
      <c r="S141" s="215" t="n">
        <v>40026</v>
      </c>
      <c r="T141" s="58" t="n">
        <f aca="false">+V141+W141</f>
        <v>0</v>
      </c>
      <c r="W141" s="58" t="n">
        <v>0</v>
      </c>
      <c r="Y141" s="58"/>
    </row>
    <row r="142" customFormat="false" ht="15.75" hidden="false" customHeight="false" outlineLevel="0" collapsed="false">
      <c r="S142" s="215" t="n">
        <v>40057</v>
      </c>
      <c r="T142" s="58" t="n">
        <f aca="false">+V142+W142</f>
        <v>0</v>
      </c>
      <c r="W142" s="58" t="n">
        <v>0</v>
      </c>
      <c r="Y142" s="58"/>
    </row>
    <row r="143" customFormat="false" ht="15.75" hidden="false" customHeight="false" outlineLevel="0" collapsed="false">
      <c r="S143" s="215" t="n">
        <v>40087</v>
      </c>
      <c r="T143" s="58" t="n">
        <f aca="false">+V143+W143</f>
        <v>0</v>
      </c>
      <c r="W143" s="58" t="n">
        <v>0</v>
      </c>
      <c r="Y143" s="58"/>
    </row>
    <row r="144" customFormat="false" ht="15.75" hidden="false" customHeight="false" outlineLevel="0" collapsed="false">
      <c r="S144" s="215" t="n">
        <v>40118</v>
      </c>
      <c r="T144" s="58" t="n">
        <f aca="false">+V144+W144</f>
        <v>0</v>
      </c>
      <c r="W144" s="58" t="n">
        <v>0</v>
      </c>
      <c r="Y144" s="58"/>
    </row>
    <row r="145" customFormat="false" ht="15.75" hidden="false" customHeight="false" outlineLevel="0" collapsed="false">
      <c r="S145" s="215" t="n">
        <v>40148</v>
      </c>
      <c r="T145" s="58" t="n">
        <f aca="false">+V145+W145</f>
        <v>0</v>
      </c>
      <c r="U145" s="58" t="n">
        <f aca="false">SUM(T134:T145)</f>
        <v>0</v>
      </c>
      <c r="W145" s="58" t="n">
        <v>0</v>
      </c>
      <c r="Y145" s="58" t="n">
        <f aca="false">SUM(W134:W145)</f>
        <v>0</v>
      </c>
    </row>
    <row r="146" customFormat="false" ht="15.75" hidden="false" customHeight="false" outlineLevel="0" collapsed="false">
      <c r="S146" s="215" t="n">
        <v>40179</v>
      </c>
      <c r="T146" s="58" t="n">
        <f aca="false">+V146+W146</f>
        <v>0</v>
      </c>
      <c r="W146" s="58" t="n">
        <v>0</v>
      </c>
      <c r="Y146" s="58"/>
    </row>
    <row r="147" customFormat="false" ht="15.75" hidden="false" customHeight="false" outlineLevel="0" collapsed="false">
      <c r="S147" s="215" t="n">
        <v>40210</v>
      </c>
      <c r="T147" s="58" t="n">
        <f aca="false">+V147+W147</f>
        <v>0</v>
      </c>
      <c r="W147" s="58" t="n">
        <v>0</v>
      </c>
      <c r="Y147" s="58"/>
    </row>
    <row r="148" customFormat="false" ht="15.75" hidden="false" customHeight="false" outlineLevel="0" collapsed="false">
      <c r="S148" s="215" t="n">
        <v>40238</v>
      </c>
      <c r="T148" s="58" t="n">
        <f aca="false">+V148+W148</f>
        <v>0</v>
      </c>
      <c r="W148" s="58" t="n">
        <v>0</v>
      </c>
      <c r="Y148" s="58"/>
    </row>
    <row r="149" customFormat="false" ht="15.75" hidden="false" customHeight="false" outlineLevel="0" collapsed="false">
      <c r="S149" s="215" t="n">
        <v>40269</v>
      </c>
      <c r="T149" s="58" t="n">
        <f aca="false">+V149+W149</f>
        <v>0</v>
      </c>
      <c r="W149" s="58" t="n">
        <v>0</v>
      </c>
      <c r="Y149" s="58"/>
    </row>
    <row r="150" customFormat="false" ht="15.75" hidden="false" customHeight="false" outlineLevel="0" collapsed="false">
      <c r="S150" s="215" t="n">
        <v>40299</v>
      </c>
      <c r="T150" s="58" t="n">
        <f aca="false">+V150+W150</f>
        <v>0</v>
      </c>
      <c r="W150" s="58" t="n">
        <v>0</v>
      </c>
      <c r="Y150" s="58"/>
    </row>
    <row r="151" customFormat="false" ht="15.75" hidden="false" customHeight="false" outlineLevel="0" collapsed="false">
      <c r="S151" s="215" t="n">
        <v>40330</v>
      </c>
      <c r="T151" s="58" t="n">
        <f aca="false">+V151+W151</f>
        <v>0</v>
      </c>
      <c r="W151" s="58" t="n">
        <v>0</v>
      </c>
      <c r="Y151" s="58"/>
    </row>
    <row r="152" customFormat="false" ht="15.75" hidden="false" customHeight="false" outlineLevel="0" collapsed="false">
      <c r="S152" s="215" t="n">
        <v>40360</v>
      </c>
      <c r="T152" s="58" t="n">
        <f aca="false">+V152+W152</f>
        <v>0</v>
      </c>
      <c r="W152" s="58" t="n">
        <v>0</v>
      </c>
      <c r="Y152" s="58"/>
    </row>
    <row r="153" customFormat="false" ht="15.75" hidden="false" customHeight="false" outlineLevel="0" collapsed="false">
      <c r="S153" s="215" t="n">
        <v>40391</v>
      </c>
      <c r="T153" s="58" t="n">
        <f aca="false">+V153+W153</f>
        <v>0</v>
      </c>
      <c r="W153" s="58" t="n">
        <v>0</v>
      </c>
      <c r="Y153" s="58"/>
    </row>
    <row r="154" customFormat="false" ht="15.75" hidden="false" customHeight="false" outlineLevel="0" collapsed="false">
      <c r="S154" s="215" t="n">
        <v>40422</v>
      </c>
      <c r="T154" s="58" t="n">
        <f aca="false">+V154+W154</f>
        <v>0</v>
      </c>
      <c r="W154" s="58" t="n">
        <v>0</v>
      </c>
      <c r="Y154" s="58"/>
    </row>
    <row r="155" customFormat="false" ht="15.75" hidden="false" customHeight="false" outlineLevel="0" collapsed="false">
      <c r="S155" s="215" t="n">
        <v>40452</v>
      </c>
      <c r="T155" s="58" t="n">
        <f aca="false">+V155+W155</f>
        <v>0</v>
      </c>
      <c r="W155" s="58" t="n">
        <v>0</v>
      </c>
      <c r="Y155" s="58"/>
    </row>
    <row r="156" customFormat="false" ht="15.75" hidden="false" customHeight="false" outlineLevel="0" collapsed="false">
      <c r="S156" s="215" t="n">
        <v>40483</v>
      </c>
      <c r="T156" s="58" t="n">
        <f aca="false">+V156+W156</f>
        <v>0</v>
      </c>
      <c r="W156" s="58" t="n">
        <v>0</v>
      </c>
      <c r="Y156" s="58"/>
    </row>
    <row r="157" customFormat="false" ht="15.75" hidden="false" customHeight="false" outlineLevel="0" collapsed="false">
      <c r="S157" s="215" t="n">
        <v>40513</v>
      </c>
      <c r="T157" s="58" t="n">
        <f aca="false">+V157+W157</f>
        <v>0</v>
      </c>
      <c r="U157" s="58" t="n">
        <f aca="false">SUM(T146:T157)</f>
        <v>0</v>
      </c>
      <c r="W157" s="58" t="n">
        <v>0</v>
      </c>
      <c r="Y157" s="58" t="n">
        <f aca="false">SUM(W146:W157)</f>
        <v>0</v>
      </c>
    </row>
    <row r="158" customFormat="false" ht="15.75" hidden="false" customHeight="false" outlineLevel="0" collapsed="false">
      <c r="S158" s="215"/>
    </row>
    <row r="159" customFormat="false" ht="15.75" hidden="false" customHeight="false" outlineLevel="0" collapsed="false">
      <c r="S159" s="215"/>
    </row>
    <row r="160" customFormat="false" ht="15.75" hidden="false" customHeight="false" outlineLevel="0" collapsed="false">
      <c r="S160" s="215"/>
    </row>
    <row r="161" customFormat="false" ht="15.75" hidden="false" customHeight="false" outlineLevel="0" collapsed="false">
      <c r="S161" s="215"/>
    </row>
    <row r="162" customFormat="false" ht="15.75" hidden="false" customHeight="false" outlineLevel="0" collapsed="false">
      <c r="S162" s="215"/>
    </row>
    <row r="163" customFormat="false" ht="15.75" hidden="false" customHeight="false" outlineLevel="0" collapsed="false">
      <c r="S163" s="215"/>
    </row>
    <row r="164" customFormat="false" ht="15.75" hidden="false" customHeight="false" outlineLevel="0" collapsed="false">
      <c r="S164" s="215"/>
    </row>
    <row r="165" customFormat="false" ht="15.75" hidden="false" customHeight="false" outlineLevel="0" collapsed="false">
      <c r="S165" s="215"/>
    </row>
    <row r="188" customFormat="false" ht="12.75" hidden="false" customHeight="false" outlineLevel="0" collapsed="false"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</row>
    <row r="189" customFormat="false" ht="12.75" hidden="false" customHeight="false" outlineLevel="0" collapsed="false"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</row>
    <row r="190" customFormat="false" ht="12.75" hidden="false" customHeight="false" outlineLevel="0" collapsed="false"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</row>
    <row r="191" customFormat="false" ht="12.75" hidden="false" customHeight="false" outlineLevel="0" collapsed="false"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</row>
    <row r="192" customFormat="false" ht="12.75" hidden="false" customHeight="false" outlineLevel="0" collapsed="false"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</row>
    <row r="193" customFormat="false" ht="12.75" hidden="false" customHeight="false" outlineLevel="0" collapsed="false"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</row>
    <row r="194" customFormat="false" ht="12.75" hidden="false" customHeight="false" outlineLevel="0" collapsed="false"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</row>
    <row r="195" customFormat="false" ht="12.75" hidden="false" customHeight="false" outlineLevel="0" collapsed="false"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</row>
    <row r="196" customFormat="false" ht="12.75" hidden="false" customHeight="false" outlineLevel="0" collapsed="false"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</row>
    <row r="197" customFormat="false" ht="12.75" hidden="false" customHeight="false" outlineLevel="0" collapsed="false"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</row>
    <row r="198" customFormat="false" ht="11.25" hidden="false" customHeight="true" outlineLevel="0" collapsed="false"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</row>
    <row r="199" customFormat="false" ht="19.5" hidden="false" customHeight="true" outlineLevel="0" collapsed="false">
      <c r="A199" s="255"/>
      <c r="B199" s="255"/>
      <c r="C199" s="255"/>
      <c r="D199" s="255"/>
      <c r="E199" s="255"/>
      <c r="F199" s="255"/>
      <c r="G199" s="255"/>
      <c r="H199" s="255"/>
      <c r="I199" s="255"/>
      <c r="J199" s="255"/>
      <c r="K199" s="255"/>
      <c r="L199" s="255"/>
      <c r="M199" s="256"/>
      <c r="N199" s="255"/>
      <c r="O199" s="255"/>
      <c r="P199" s="255"/>
      <c r="Q199" s="255"/>
      <c r="R199" s="255"/>
      <c r="S199" s="255"/>
      <c r="T199" s="255"/>
      <c r="U199" s="255"/>
      <c r="V199" s="255"/>
      <c r="W199" s="255"/>
      <c r="X199" s="255"/>
      <c r="Y199" s="255"/>
      <c r="Z199" s="255"/>
      <c r="AA199" s="255"/>
      <c r="AB199" s="255"/>
      <c r="AC199" s="255"/>
      <c r="AD199" s="255"/>
      <c r="AE199" s="255"/>
      <c r="AF199" s="255"/>
      <c r="AG199" s="255"/>
      <c r="AH199" s="255"/>
      <c r="AI199" s="255"/>
      <c r="AJ199" s="255"/>
      <c r="AK199" s="255"/>
      <c r="AL199" s="255"/>
      <c r="AM199" s="255"/>
      <c r="AN199" s="255"/>
      <c r="AO199" s="255"/>
      <c r="AP199" s="257"/>
      <c r="AQ199" s="257"/>
      <c r="AR199" s="257" t="s">
        <v>79</v>
      </c>
      <c r="AS199" s="257" t="s">
        <v>155</v>
      </c>
      <c r="AT199" s="257" t="s">
        <v>6</v>
      </c>
      <c r="AU199" s="257" t="s">
        <v>156</v>
      </c>
      <c r="AV199" s="257" t="s">
        <v>157</v>
      </c>
      <c r="AW199" s="257" t="s">
        <v>158</v>
      </c>
      <c r="AX199" s="257" t="s">
        <v>159</v>
      </c>
      <c r="AY199" s="257" t="s">
        <v>124</v>
      </c>
      <c r="AZ199" s="257" t="s">
        <v>128</v>
      </c>
      <c r="BA199" s="257" t="s">
        <v>111</v>
      </c>
      <c r="BB199" s="257" t="s">
        <v>133</v>
      </c>
      <c r="BC199" s="257" t="s">
        <v>135</v>
      </c>
      <c r="BD199" s="257"/>
      <c r="BE199" s="257"/>
      <c r="BF199" s="257"/>
    </row>
    <row r="200" customFormat="false" ht="15" hidden="false" customHeight="false" outlineLevel="0" collapsed="false">
      <c r="AP200" s="21"/>
      <c r="AQ200" s="21" t="n">
        <f aca="false">+TradeSum!CD21</f>
        <v>352</v>
      </c>
      <c r="AR200" s="258" t="n">
        <v>37257</v>
      </c>
      <c r="AS200" s="259" t="n">
        <v>48.0371437072754</v>
      </c>
      <c r="AT200" s="259" t="n">
        <v>0</v>
      </c>
      <c r="AU200" s="259" t="n">
        <f aca="false">+AT200+AS200</f>
        <v>48.0371437072754</v>
      </c>
      <c r="AV200" s="260" t="s">
        <v>160</v>
      </c>
      <c r="AW200" s="259" t="n">
        <f aca="false">AVERAGE(AU200:AU201)</f>
        <v>47.7371425628662</v>
      </c>
      <c r="AX200" s="259" t="n">
        <f aca="false">AVERAGE(AU202:AU203)</f>
        <v>39.0010414123535</v>
      </c>
      <c r="AY200" s="259" t="n">
        <f aca="false">+AU204</f>
        <v>42.7499961853027</v>
      </c>
      <c r="AZ200" s="259" t="n">
        <f aca="false">+AU205</f>
        <v>64</v>
      </c>
      <c r="BA200" s="259" t="n">
        <f aca="false">AVERAGE(AU206:AU207)</f>
        <v>98.5</v>
      </c>
      <c r="BB200" s="259" t="n">
        <f aca="false">+AU208</f>
        <v>39.0000038146973</v>
      </c>
      <c r="BC200" s="259" t="n">
        <f aca="false">AVERAGE(AU209:AU211)</f>
        <v>37.504997253418</v>
      </c>
      <c r="BD200" s="259"/>
      <c r="BE200" s="259"/>
      <c r="BF200" s="259"/>
    </row>
    <row r="201" customFormat="false" ht="15" hidden="false" customHeight="false" outlineLevel="0" collapsed="false">
      <c r="AP201" s="21"/>
      <c r="AQ201" s="21" t="n">
        <f aca="false">+TradeSum!CD22</f>
        <v>352</v>
      </c>
      <c r="AR201" s="258" t="n">
        <v>37288</v>
      </c>
      <c r="AS201" s="259" t="n">
        <v>47.437141418457</v>
      </c>
      <c r="AT201" s="259" t="n">
        <v>0</v>
      </c>
      <c r="AU201" s="259" t="n">
        <f aca="false">+AT201+AS201</f>
        <v>47.437141418457</v>
      </c>
      <c r="AV201" s="260" t="s">
        <v>161</v>
      </c>
      <c r="AW201" s="259" t="n">
        <f aca="false">AVERAGE(AU212:AU213)</f>
        <v>39.4878635406494</v>
      </c>
      <c r="AX201" s="259" t="n">
        <f aca="false">AVERAGE(AU214:AU215)</f>
        <v>32.4985446929932</v>
      </c>
      <c r="AY201" s="259" t="n">
        <f aca="false">+AU216</f>
        <v>34.5035667419434</v>
      </c>
      <c r="AZ201" s="259" t="n">
        <f aca="false">+AU217</f>
        <v>58.4978561401367</v>
      </c>
      <c r="BA201" s="259" t="n">
        <f aca="false">AVERAGE(AU218:AU219)</f>
        <v>87.4971466064453</v>
      </c>
      <c r="BB201" s="259" t="n">
        <f aca="false">+AU220</f>
        <v>34.2521438598633</v>
      </c>
      <c r="BC201" s="259" t="n">
        <f aca="false">AVERAGE(AU221:AU223)</f>
        <v>32.9989318847656</v>
      </c>
      <c r="BD201" s="259"/>
      <c r="BE201" s="259"/>
      <c r="BF201" s="259"/>
    </row>
    <row r="202" customFormat="false" ht="15" hidden="false" customHeight="false" outlineLevel="0" collapsed="false">
      <c r="AP202" s="21"/>
      <c r="AQ202" s="21" t="n">
        <f aca="false">+TradeSum!CD23</f>
        <v>320</v>
      </c>
      <c r="AR202" s="258" t="n">
        <v>37316</v>
      </c>
      <c r="AS202" s="259" t="n">
        <v>38.9010391235352</v>
      </c>
      <c r="AT202" s="259" t="n">
        <v>0</v>
      </c>
      <c r="AU202" s="259" t="n">
        <f aca="false">+AT202+AS202</f>
        <v>38.9010391235352</v>
      </c>
      <c r="AV202" s="260"/>
      <c r="AW202" s="259" t="n">
        <f aca="false">+AW201-AW200</f>
        <v>-8.2492790222168</v>
      </c>
      <c r="AX202" s="259" t="n">
        <f aca="false">+AX201-AX200</f>
        <v>-6.50249671936035</v>
      </c>
      <c r="AY202" s="259" t="n">
        <f aca="false">+AY201-AY200</f>
        <v>-8.24642944335938</v>
      </c>
      <c r="AZ202" s="259" t="n">
        <f aca="false">+AZ201-AZ200</f>
        <v>-5.50214385986328</v>
      </c>
      <c r="BA202" s="259" t="n">
        <f aca="false">+BA201-BA200</f>
        <v>-11.0028533935547</v>
      </c>
      <c r="BB202" s="259" t="n">
        <f aca="false">+BB201-BB200</f>
        <v>-4.74785995483398</v>
      </c>
      <c r="BC202" s="259" t="n">
        <f aca="false">+BC201-BC200</f>
        <v>-4.50606536865234</v>
      </c>
      <c r="BD202" s="259"/>
      <c r="BE202" s="259"/>
      <c r="BF202" s="259"/>
    </row>
    <row r="203" customFormat="false" ht="15" hidden="false" customHeight="false" outlineLevel="0" collapsed="false">
      <c r="AP203" s="21"/>
      <c r="AQ203" s="21" t="n">
        <f aca="false">+TradeSum!CD24</f>
        <v>368</v>
      </c>
      <c r="AR203" s="258" t="n">
        <v>37347</v>
      </c>
      <c r="AS203" s="259" t="n">
        <v>39.1010437011719</v>
      </c>
      <c r="AT203" s="259" t="n">
        <v>0</v>
      </c>
      <c r="AU203" s="259" t="n">
        <f aca="false">+AT203+AS203</f>
        <v>39.1010437011719</v>
      </c>
      <c r="AV203" s="260"/>
      <c r="AW203" s="259"/>
      <c r="AX203" s="259"/>
      <c r="AY203" s="259"/>
      <c r="AZ203" s="259"/>
      <c r="BA203" s="259"/>
      <c r="BB203" s="259"/>
      <c r="BC203" s="259"/>
      <c r="BD203" s="259"/>
      <c r="BE203" s="259"/>
      <c r="BF203" s="259"/>
    </row>
    <row r="204" customFormat="false" ht="15" hidden="false" customHeight="false" outlineLevel="0" collapsed="false">
      <c r="AP204" s="21"/>
      <c r="AQ204" s="21" t="n">
        <f aca="false">+TradeSum!CD25</f>
        <v>320</v>
      </c>
      <c r="AR204" s="258" t="n">
        <v>37377</v>
      </c>
      <c r="AS204" s="259" t="n">
        <v>42.7499961853027</v>
      </c>
      <c r="AT204" s="259" t="n">
        <v>0</v>
      </c>
      <c r="AU204" s="259" t="n">
        <f aca="false">+AT204+AS204</f>
        <v>42.7499961853027</v>
      </c>
      <c r="AV204" s="260" t="s">
        <v>162</v>
      </c>
      <c r="AW204" s="259" t="n">
        <f aca="false">AVERAGE(AU224:AU225)</f>
        <v>41.1128635406494</v>
      </c>
      <c r="AX204" s="259" t="n">
        <f aca="false">AVERAGE(AU226:AU227)</f>
        <v>31.9985446929932</v>
      </c>
      <c r="AY204" s="259" t="n">
        <f aca="false">+AU228</f>
        <v>34.0035667419434</v>
      </c>
      <c r="AZ204" s="259" t="n">
        <f aca="false">+AU229</f>
        <v>52.9978561401367</v>
      </c>
      <c r="BA204" s="259" t="n">
        <f aca="false">AVERAGE(AU230:AU231)</f>
        <v>77.9971466064453</v>
      </c>
      <c r="BB204" s="259" t="n">
        <f aca="false">+AU232</f>
        <v>33.7521438598633</v>
      </c>
      <c r="BC204" s="259" t="n">
        <f aca="false">AVERAGE(AU233:AU235)</f>
        <v>32.4989318847656</v>
      </c>
      <c r="BD204" s="259"/>
      <c r="BE204" s="259"/>
      <c r="BF204" s="259"/>
    </row>
    <row r="205" customFormat="false" ht="15" hidden="false" customHeight="false" outlineLevel="0" collapsed="false">
      <c r="AP205" s="21"/>
      <c r="AQ205" s="21" t="n">
        <f aca="false">+TradeSum!CD26</f>
        <v>336</v>
      </c>
      <c r="AR205" s="258" t="n">
        <v>37408</v>
      </c>
      <c r="AS205" s="259" t="n">
        <v>64</v>
      </c>
      <c r="AT205" s="259" t="n">
        <v>0</v>
      </c>
      <c r="AU205" s="259" t="n">
        <f aca="false">+AT205+AS205</f>
        <v>64</v>
      </c>
      <c r="AV205" s="260"/>
      <c r="AW205" s="259" t="n">
        <f aca="false">+AW204-AW201</f>
        <v>1.625</v>
      </c>
      <c r="AX205" s="259" t="n">
        <f aca="false">+AX204-AX201</f>
        <v>-0.5</v>
      </c>
      <c r="AY205" s="259" t="n">
        <f aca="false">+AY204-AY201</f>
        <v>-0.5</v>
      </c>
      <c r="AZ205" s="259" t="n">
        <f aca="false">+AZ204-AZ201</f>
        <v>-5.5</v>
      </c>
      <c r="BA205" s="259" t="n">
        <f aca="false">+BA204-BA201</f>
        <v>-9.5</v>
      </c>
      <c r="BB205" s="259" t="n">
        <f aca="false">+BB204-BB201</f>
        <v>-0.5</v>
      </c>
      <c r="BC205" s="259" t="n">
        <f aca="false">+BC204-BC201</f>
        <v>-0.5</v>
      </c>
      <c r="BD205" s="259"/>
      <c r="BE205" s="259"/>
      <c r="BF205" s="259"/>
    </row>
    <row r="206" customFormat="false" ht="15" hidden="false" customHeight="false" outlineLevel="0" collapsed="false">
      <c r="AP206" s="21"/>
      <c r="AQ206" s="21" t="n">
        <f aca="false">+TradeSum!CD27</f>
        <v>352</v>
      </c>
      <c r="AR206" s="258" t="n">
        <v>37438</v>
      </c>
      <c r="AS206" s="259" t="n">
        <v>98.5</v>
      </c>
      <c r="AT206" s="259" t="n">
        <v>0</v>
      </c>
      <c r="AU206" s="259" t="n">
        <f aca="false">+AT206+AS206</f>
        <v>98.5</v>
      </c>
      <c r="AV206" s="260"/>
      <c r="AW206" s="259"/>
      <c r="AX206" s="259"/>
      <c r="AY206" s="259"/>
      <c r="AZ206" s="259"/>
      <c r="BA206" s="259"/>
      <c r="BB206" s="259"/>
      <c r="BC206" s="259"/>
      <c r="BD206" s="259"/>
      <c r="BE206" s="259"/>
      <c r="BF206" s="259"/>
    </row>
    <row r="207" customFormat="false" ht="15" hidden="false" customHeight="false" outlineLevel="0" collapsed="false">
      <c r="AP207" s="21"/>
      <c r="AQ207" s="21" t="n">
        <f aca="false">+TradeSum!CD28</f>
        <v>320</v>
      </c>
      <c r="AR207" s="258" t="n">
        <v>37469</v>
      </c>
      <c r="AS207" s="259" t="n">
        <v>98.5</v>
      </c>
      <c r="AT207" s="259" t="n">
        <v>0</v>
      </c>
      <c r="AU207" s="259" t="n">
        <f aca="false">+AT207+AS207</f>
        <v>98.5</v>
      </c>
      <c r="AV207" s="260" t="s">
        <v>163</v>
      </c>
      <c r="AW207" s="259" t="n">
        <f aca="false">AVERAGE(AU236:AU237)</f>
        <v>41.1128635406494</v>
      </c>
      <c r="AX207" s="259" t="n">
        <f aca="false">AVERAGE(AU238:AU239)</f>
        <v>32.2485446929932</v>
      </c>
      <c r="AY207" s="259" t="n">
        <f aca="false">+AU240</f>
        <v>34.2535667419434</v>
      </c>
      <c r="AZ207" s="259" t="n">
        <f aca="false">+AU241</f>
        <v>49.7478561401367</v>
      </c>
      <c r="BA207" s="259" t="n">
        <f aca="false">AVERAGE(AU242:AU243)</f>
        <v>73.2471466064453</v>
      </c>
      <c r="BB207" s="259" t="n">
        <f aca="false">+AU244</f>
        <v>34.0021438598633</v>
      </c>
      <c r="BC207" s="259" t="n">
        <f aca="false">AVERAGE(AU245:AU247)</f>
        <v>32.7489318847656</v>
      </c>
      <c r="BD207" s="259"/>
      <c r="BE207" s="259"/>
      <c r="BF207" s="259"/>
    </row>
    <row r="208" customFormat="false" ht="15" hidden="false" customHeight="false" outlineLevel="0" collapsed="false">
      <c r="AP208" s="21"/>
      <c r="AQ208" s="21" t="n">
        <f aca="false">+TradeSum!CD29</f>
        <v>336</v>
      </c>
      <c r="AR208" s="258" t="n">
        <v>37500</v>
      </c>
      <c r="AS208" s="259" t="n">
        <v>39.0000038146973</v>
      </c>
      <c r="AT208" s="259" t="n">
        <v>0</v>
      </c>
      <c r="AU208" s="259" t="n">
        <f aca="false">+AT208+AS208</f>
        <v>39.0000038146973</v>
      </c>
      <c r="AV208" s="260"/>
      <c r="AW208" s="259" t="n">
        <f aca="false">+AW207-AW204</f>
        <v>0</v>
      </c>
      <c r="AX208" s="259" t="n">
        <f aca="false">+AX207-AX204</f>
        <v>0.25</v>
      </c>
      <c r="AY208" s="259" t="n">
        <f aca="false">+AY207-AY204</f>
        <v>0.25</v>
      </c>
      <c r="AZ208" s="259" t="n">
        <f aca="false">+AZ207-AZ204</f>
        <v>-3.25</v>
      </c>
      <c r="BA208" s="259" t="n">
        <f aca="false">+BA207-BA204</f>
        <v>-4.75</v>
      </c>
      <c r="BB208" s="259" t="n">
        <f aca="false">+BB207-BB204</f>
        <v>0.25</v>
      </c>
      <c r="BC208" s="259" t="n">
        <f aca="false">+BC207-BC204</f>
        <v>0.25</v>
      </c>
      <c r="BD208" s="259"/>
      <c r="BE208" s="259"/>
      <c r="BF208" s="259"/>
    </row>
    <row r="209" customFormat="false" ht="15" hidden="false" customHeight="false" outlineLevel="0" collapsed="false">
      <c r="AP209" s="21"/>
      <c r="AQ209" s="21" t="n">
        <f aca="false">+TradeSum!CD30</f>
        <v>352</v>
      </c>
      <c r="AR209" s="258" t="n">
        <v>37530</v>
      </c>
      <c r="AS209" s="259" t="n">
        <v>37.4049987792969</v>
      </c>
      <c r="AT209" s="259" t="n">
        <v>0</v>
      </c>
      <c r="AU209" s="259" t="n">
        <f aca="false">+AT209+AS209</f>
        <v>37.4049987792969</v>
      </c>
      <c r="AV209" s="260"/>
      <c r="AW209" s="259"/>
      <c r="AX209" s="259"/>
      <c r="AY209" s="259"/>
      <c r="AZ209" s="259"/>
      <c r="BA209" s="259"/>
      <c r="BB209" s="259"/>
      <c r="BC209" s="259"/>
      <c r="BD209" s="259"/>
      <c r="BE209" s="259"/>
      <c r="BF209" s="259"/>
    </row>
    <row r="210" customFormat="false" ht="15" hidden="false" customHeight="false" outlineLevel="0" collapsed="false">
      <c r="AP210" s="21"/>
      <c r="AQ210" s="21" t="n">
        <f aca="false">+TradeSum!CD31</f>
        <v>336</v>
      </c>
      <c r="AR210" s="258" t="n">
        <v>37561</v>
      </c>
      <c r="AS210" s="259" t="n">
        <v>37.504997253418</v>
      </c>
      <c r="AT210" s="259" t="n">
        <v>0</v>
      </c>
      <c r="AU210" s="259" t="n">
        <f aca="false">+AT210+AS210</f>
        <v>37.504997253418</v>
      </c>
      <c r="AV210" s="260" t="s">
        <v>164</v>
      </c>
      <c r="AW210" s="259" t="n">
        <f aca="false">AVERAGE(AU248:AU249)</f>
        <v>41.6128635406494</v>
      </c>
      <c r="AX210" s="259" t="n">
        <f aca="false">AVERAGE(AU250:AU251)</f>
        <v>32.7485446929932</v>
      </c>
      <c r="AY210" s="259" t="n">
        <f aca="false">+AU252</f>
        <v>34.7535667419434</v>
      </c>
      <c r="AZ210" s="259" t="n">
        <f aca="false">+AU253</f>
        <v>47.9978561401367</v>
      </c>
      <c r="BA210" s="259" t="n">
        <f aca="false">AVERAGE(AU254:AU255)</f>
        <v>71.9971466064453</v>
      </c>
      <c r="BB210" s="259" t="n">
        <f aca="false">+AU256</f>
        <v>34.5021438598633</v>
      </c>
      <c r="BC210" s="259" t="n">
        <f aca="false">AVERAGE(AU257:AU259)</f>
        <v>33.2489318847656</v>
      </c>
      <c r="BD210" s="259"/>
      <c r="BE210" s="259"/>
      <c r="BF210" s="259"/>
    </row>
    <row r="211" customFormat="false" ht="15" hidden="false" customHeight="false" outlineLevel="0" collapsed="false">
      <c r="AP211" s="21"/>
      <c r="AQ211" s="21" t="n">
        <f aca="false">+TradeSum!CD32</f>
        <v>336</v>
      </c>
      <c r="AR211" s="258" t="n">
        <v>37591</v>
      </c>
      <c r="AS211" s="259" t="n">
        <v>37.6049957275391</v>
      </c>
      <c r="AT211" s="259" t="n">
        <v>0</v>
      </c>
      <c r="AU211" s="259" t="n">
        <f aca="false">+AT211+AS211</f>
        <v>37.6049957275391</v>
      </c>
      <c r="AV211" s="260"/>
      <c r="AW211" s="259" t="n">
        <f aca="false">+AW210-AW207</f>
        <v>0.5</v>
      </c>
      <c r="AX211" s="259" t="n">
        <f aca="false">+AX210-AX207</f>
        <v>0.5</v>
      </c>
      <c r="AY211" s="259" t="n">
        <f aca="false">+AY210-AY207</f>
        <v>0.5</v>
      </c>
      <c r="AZ211" s="259" t="n">
        <f aca="false">+AZ210-AZ207</f>
        <v>-1.75</v>
      </c>
      <c r="BA211" s="259" t="n">
        <f aca="false">+BA210-BA207</f>
        <v>-1.25</v>
      </c>
      <c r="BB211" s="259" t="n">
        <f aca="false">+BB210-BB207</f>
        <v>0.5</v>
      </c>
      <c r="BC211" s="259" t="n">
        <f aca="false">+BC210-BC207</f>
        <v>0.5</v>
      </c>
      <c r="BD211" s="259"/>
      <c r="BE211" s="259"/>
      <c r="BF211" s="259"/>
    </row>
    <row r="212" customFormat="false" ht="15" hidden="false" customHeight="false" outlineLevel="0" collapsed="false">
      <c r="AP212" s="21"/>
      <c r="AQ212" s="21" t="n">
        <f aca="false">+TradeSum!CD33</f>
        <v>352</v>
      </c>
      <c r="AR212" s="258" t="n">
        <v>37622</v>
      </c>
      <c r="AS212" s="259" t="n">
        <v>39.7878646850586</v>
      </c>
      <c r="AT212" s="259" t="n">
        <v>0</v>
      </c>
      <c r="AU212" s="259" t="n">
        <f aca="false">+AT212+AS212</f>
        <v>39.7878646850586</v>
      </c>
      <c r="AV212" s="260"/>
      <c r="AW212" s="259"/>
      <c r="AX212" s="259"/>
      <c r="AY212" s="259"/>
      <c r="AZ212" s="259"/>
      <c r="BA212" s="259"/>
      <c r="BB212" s="259"/>
      <c r="BC212" s="259"/>
      <c r="BD212" s="259"/>
      <c r="BE212" s="259"/>
      <c r="BF212" s="259"/>
    </row>
    <row r="213" customFormat="false" ht="15" hidden="false" customHeight="false" outlineLevel="0" collapsed="false">
      <c r="AP213" s="21"/>
      <c r="AQ213" s="21" t="n">
        <f aca="false">+TradeSum!CD34</f>
        <v>336</v>
      </c>
      <c r="AR213" s="258" t="n">
        <v>37653</v>
      </c>
      <c r="AS213" s="259" t="n">
        <v>39.1878623962402</v>
      </c>
      <c r="AT213" s="259" t="n">
        <v>0</v>
      </c>
      <c r="AU213" s="259" t="n">
        <f aca="false">+AT213+AS213</f>
        <v>39.1878623962402</v>
      </c>
      <c r="AV213" s="260" t="s">
        <v>165</v>
      </c>
      <c r="AW213" s="259" t="n">
        <f aca="false">AVERAGE(AU260:AU261)</f>
        <v>42.1128635406494</v>
      </c>
      <c r="AX213" s="259" t="n">
        <f aca="false">AVERAGE(AU262:AU263)</f>
        <v>33.2485446929932</v>
      </c>
      <c r="AY213" s="259" t="n">
        <f aca="false">+AU264</f>
        <v>35.2535667419434</v>
      </c>
      <c r="AZ213" s="259" t="n">
        <f aca="false">+AU265</f>
        <v>48.4978561401367</v>
      </c>
      <c r="BA213" s="259" t="n">
        <f aca="false">AVERAGE(AU266:AU267)</f>
        <v>72.4971466064453</v>
      </c>
      <c r="BB213" s="259" t="n">
        <f aca="false">+AU268</f>
        <v>35.0021438598633</v>
      </c>
      <c r="BC213" s="259" t="n">
        <f aca="false">AVERAGE(AU269:AU271)</f>
        <v>33.7489318847656</v>
      </c>
      <c r="BD213" s="259"/>
      <c r="BE213" s="259"/>
      <c r="BF213" s="259"/>
    </row>
    <row r="214" customFormat="false" ht="15" hidden="false" customHeight="false" outlineLevel="0" collapsed="false">
      <c r="AP214" s="21"/>
      <c r="AQ214" s="21" t="n">
        <f aca="false">+TradeSum!CD35</f>
        <v>336</v>
      </c>
      <c r="AR214" s="258" t="n">
        <v>37681</v>
      </c>
      <c r="AS214" s="259" t="n">
        <v>32.3985443115234</v>
      </c>
      <c r="AT214" s="259" t="n">
        <v>0</v>
      </c>
      <c r="AU214" s="259" t="n">
        <f aca="false">+AT214+AS214</f>
        <v>32.3985443115234</v>
      </c>
      <c r="AV214" s="260"/>
      <c r="AW214" s="259" t="n">
        <f aca="false">+AW213-AW210</f>
        <v>0.5</v>
      </c>
      <c r="AX214" s="259" t="n">
        <f aca="false">+AX213-AX210</f>
        <v>0.5</v>
      </c>
      <c r="AY214" s="259" t="n">
        <f aca="false">+AY213-AY210</f>
        <v>0.5</v>
      </c>
      <c r="AZ214" s="259" t="n">
        <f aca="false">+AZ213-AZ210</f>
        <v>0.5</v>
      </c>
      <c r="BA214" s="259" t="n">
        <f aca="false">+BA213-BA210</f>
        <v>0.5</v>
      </c>
      <c r="BB214" s="259" t="n">
        <f aca="false">+BB213-BB210</f>
        <v>0.5</v>
      </c>
      <c r="BC214" s="259" t="n">
        <f aca="false">+BC213-BC210</f>
        <v>0.5</v>
      </c>
      <c r="BD214" s="259"/>
      <c r="BE214" s="259"/>
      <c r="BF214" s="259"/>
    </row>
    <row r="215" customFormat="false" ht="15" hidden="false" customHeight="false" outlineLevel="0" collapsed="false">
      <c r="AP215" s="21"/>
      <c r="AQ215" s="21" t="n">
        <f aca="false">+TradeSum!CD36</f>
        <v>368</v>
      </c>
      <c r="AR215" s="258" t="n">
        <v>37712</v>
      </c>
      <c r="AS215" s="259" t="n">
        <v>32.5985450744629</v>
      </c>
      <c r="AT215" s="259" t="n">
        <v>0</v>
      </c>
      <c r="AU215" s="259" t="n">
        <f aca="false">+AT215+AS215</f>
        <v>32.5985450744629</v>
      </c>
      <c r="AV215" s="260"/>
      <c r="AW215" s="259"/>
      <c r="AX215" s="259"/>
      <c r="AY215" s="259"/>
      <c r="AZ215" s="259"/>
      <c r="BA215" s="259"/>
      <c r="BB215" s="259"/>
      <c r="BC215" s="259"/>
      <c r="BD215" s="259"/>
      <c r="BE215" s="259"/>
      <c r="BF215" s="259"/>
    </row>
    <row r="216" customFormat="false" ht="15" hidden="false" customHeight="false" outlineLevel="0" collapsed="false">
      <c r="AP216" s="21"/>
      <c r="AQ216" s="21" t="n">
        <f aca="false">+TradeSum!CD37</f>
        <v>304</v>
      </c>
      <c r="AR216" s="258" t="n">
        <v>37742</v>
      </c>
      <c r="AS216" s="259" t="n">
        <v>34.5035667419434</v>
      </c>
      <c r="AT216" s="259" t="n">
        <v>0</v>
      </c>
      <c r="AU216" s="259" t="n">
        <f aca="false">+AT216+AS216</f>
        <v>34.5035667419434</v>
      </c>
      <c r="AV216" s="260" t="s">
        <v>166</v>
      </c>
      <c r="AW216" s="259" t="n">
        <f aca="false">AVERAGE(AU272:AU273)</f>
        <v>42.6128635406494</v>
      </c>
      <c r="AX216" s="259" t="n">
        <f aca="false">AVERAGE(AU274:AU275)</f>
        <v>33.7485446929932</v>
      </c>
      <c r="AY216" s="259" t="n">
        <f aca="false">+AU276</f>
        <v>35.7535667419434</v>
      </c>
      <c r="AZ216" s="259" t="n">
        <f aca="false">+AU277</f>
        <v>49.2478561401367</v>
      </c>
      <c r="BA216" s="259" t="n">
        <f aca="false">AVERAGE(AU278:AU279)</f>
        <v>73.2471466064453</v>
      </c>
      <c r="BB216" s="259" t="n">
        <f aca="false">+AU280</f>
        <v>35.5021438598633</v>
      </c>
      <c r="BC216" s="259" t="n">
        <f aca="false">AVERAGE(AU281:AU283)</f>
        <v>34.2489318847656</v>
      </c>
      <c r="BD216" s="259"/>
      <c r="BE216" s="259"/>
      <c r="BF216" s="259"/>
    </row>
    <row r="217" customFormat="false" ht="15" hidden="false" customHeight="false" outlineLevel="0" collapsed="false">
      <c r="AP217" s="21"/>
      <c r="AQ217" s="21" t="n">
        <f aca="false">+TradeSum!CD38</f>
        <v>352</v>
      </c>
      <c r="AR217" s="258" t="n">
        <v>37773</v>
      </c>
      <c r="AS217" s="259" t="n">
        <v>58.4978561401367</v>
      </c>
      <c r="AT217" s="259" t="n">
        <v>0</v>
      </c>
      <c r="AU217" s="259" t="n">
        <f aca="false">+AT217+AS217</f>
        <v>58.4978561401367</v>
      </c>
      <c r="AV217" s="260"/>
      <c r="AW217" s="259" t="n">
        <f aca="false">+AW216-AW213</f>
        <v>0.5</v>
      </c>
      <c r="AX217" s="259" t="n">
        <f aca="false">+AX216-AX213</f>
        <v>0.5</v>
      </c>
      <c r="AY217" s="259" t="n">
        <f aca="false">+AY216-AY213</f>
        <v>0.5</v>
      </c>
      <c r="AZ217" s="259" t="n">
        <f aca="false">+AZ216-AZ213</f>
        <v>0.75</v>
      </c>
      <c r="BA217" s="259" t="n">
        <f aca="false">+BA216-BA213</f>
        <v>0.75</v>
      </c>
      <c r="BB217" s="259" t="n">
        <f aca="false">+BB216-BB213</f>
        <v>0.5</v>
      </c>
      <c r="BC217" s="259" t="n">
        <f aca="false">+BC216-BC213</f>
        <v>0.5</v>
      </c>
      <c r="BD217" s="259"/>
      <c r="BE217" s="259"/>
      <c r="BF217" s="259"/>
    </row>
    <row r="218" customFormat="false" ht="15" hidden="false" customHeight="false" outlineLevel="0" collapsed="false">
      <c r="AP218" s="21"/>
      <c r="AQ218" s="21" t="n">
        <f aca="false">+TradeSum!CD39</f>
        <v>336</v>
      </c>
      <c r="AR218" s="258" t="n">
        <v>37803</v>
      </c>
      <c r="AS218" s="259" t="n">
        <v>87.4971466064453</v>
      </c>
      <c r="AT218" s="259" t="n">
        <v>0</v>
      </c>
      <c r="AU218" s="259" t="n">
        <f aca="false">+AT218+AS218</f>
        <v>87.4971466064453</v>
      </c>
      <c r="AV218" s="260"/>
      <c r="AW218" s="259"/>
      <c r="AX218" s="259"/>
      <c r="AY218" s="259"/>
      <c r="AZ218" s="259"/>
      <c r="BA218" s="259"/>
      <c r="BB218" s="259"/>
      <c r="BC218" s="259"/>
      <c r="BD218" s="259"/>
      <c r="BE218" s="259"/>
      <c r="BF218" s="259"/>
    </row>
    <row r="219" customFormat="false" ht="15" hidden="false" customHeight="false" outlineLevel="0" collapsed="false">
      <c r="AP219" s="21"/>
      <c r="AQ219" s="21" t="n">
        <f aca="false">+TradeSum!CD40</f>
        <v>320</v>
      </c>
      <c r="AR219" s="258" t="n">
        <v>37834</v>
      </c>
      <c r="AS219" s="259" t="n">
        <v>87.4971466064453</v>
      </c>
      <c r="AT219" s="259" t="n">
        <v>0</v>
      </c>
      <c r="AU219" s="259" t="n">
        <f aca="false">+AT219+AS219</f>
        <v>87.4971466064453</v>
      </c>
      <c r="AV219" s="260" t="s">
        <v>167</v>
      </c>
      <c r="AW219" s="259" t="n">
        <f aca="false">AVERAGE(AU284:AU285)</f>
        <v>43.1128635406494</v>
      </c>
      <c r="AX219" s="259" t="n">
        <f aca="false">AVERAGE(AU286:AU287)</f>
        <v>34.2485446929932</v>
      </c>
      <c r="AY219" s="259" t="n">
        <f aca="false">+AU288</f>
        <v>36.2535667419434</v>
      </c>
      <c r="AZ219" s="259" t="n">
        <f aca="false">+AU289</f>
        <v>50.2478561401367</v>
      </c>
      <c r="BA219" s="259" t="n">
        <f aca="false">AVERAGE(AU290:AU291)</f>
        <v>75.2471466064453</v>
      </c>
      <c r="BB219" s="259" t="n">
        <f aca="false">+AU292</f>
        <v>36.0021438598633</v>
      </c>
      <c r="BC219" s="259" t="n">
        <f aca="false">AVERAGE(AU293:AU295)</f>
        <v>34.7489318847656</v>
      </c>
      <c r="BD219" s="259"/>
      <c r="BE219" s="259"/>
      <c r="BF219" s="259"/>
    </row>
    <row r="220" customFormat="false" ht="15" hidden="false" customHeight="false" outlineLevel="0" collapsed="false">
      <c r="AP220" s="21"/>
      <c r="AQ220" s="21" t="n">
        <f aca="false">+TradeSum!CD41</f>
        <v>368</v>
      </c>
      <c r="AR220" s="258" t="n">
        <v>37865</v>
      </c>
      <c r="AS220" s="259" t="n">
        <v>34.2521438598633</v>
      </c>
      <c r="AT220" s="259" t="n">
        <v>0</v>
      </c>
      <c r="AU220" s="259" t="n">
        <f aca="false">+AT220+AS220</f>
        <v>34.2521438598633</v>
      </c>
      <c r="AV220" s="260"/>
      <c r="AW220" s="259" t="n">
        <f aca="false">+AW219-AW216</f>
        <v>0.5</v>
      </c>
      <c r="AX220" s="259" t="n">
        <f aca="false">+AX219-AX216</f>
        <v>0.5</v>
      </c>
      <c r="AY220" s="259" t="n">
        <f aca="false">+AY219-AY216</f>
        <v>0.5</v>
      </c>
      <c r="AZ220" s="259" t="n">
        <f aca="false">+AZ219-AZ216</f>
        <v>1</v>
      </c>
      <c r="BA220" s="259" t="n">
        <f aca="false">+BA219-BA216</f>
        <v>2</v>
      </c>
      <c r="BB220" s="259" t="n">
        <f aca="false">+BB219-BB216</f>
        <v>0.5</v>
      </c>
      <c r="BC220" s="259" t="n">
        <f aca="false">+BC219-BC216</f>
        <v>0.5</v>
      </c>
      <c r="BD220" s="259"/>
      <c r="BE220" s="259"/>
      <c r="BF220" s="259"/>
    </row>
    <row r="221" customFormat="false" ht="15" hidden="false" customHeight="false" outlineLevel="0" collapsed="false">
      <c r="AP221" s="21"/>
      <c r="AQ221" s="21" t="n">
        <f aca="false">+TradeSum!CD42</f>
        <v>352</v>
      </c>
      <c r="AR221" s="258" t="n">
        <v>37895</v>
      </c>
      <c r="AS221" s="259" t="n">
        <v>32.8989334106445</v>
      </c>
      <c r="AT221" s="259" t="n">
        <v>0</v>
      </c>
      <c r="AU221" s="259" t="n">
        <f aca="false">+AT221+AS221</f>
        <v>32.8989334106445</v>
      </c>
      <c r="AV221" s="260"/>
      <c r="AW221" s="259"/>
      <c r="AX221" s="259"/>
      <c r="AY221" s="259"/>
      <c r="AZ221" s="259"/>
      <c r="BA221" s="259"/>
      <c r="BB221" s="259"/>
      <c r="BC221" s="259"/>
      <c r="BD221" s="259"/>
      <c r="BE221" s="259"/>
      <c r="BF221" s="259"/>
    </row>
    <row r="222" customFormat="false" ht="15" hidden="false" customHeight="false" outlineLevel="0" collapsed="false">
      <c r="AP222" s="21"/>
      <c r="AQ222" s="21" t="n">
        <f aca="false">+TradeSum!CD43</f>
        <v>320</v>
      </c>
      <c r="AR222" s="258" t="n">
        <v>37926</v>
      </c>
      <c r="AS222" s="259" t="n">
        <v>32.9989318847656</v>
      </c>
      <c r="AT222" s="259" t="n">
        <v>0</v>
      </c>
      <c r="AU222" s="259" t="n">
        <f aca="false">+AT222+AS222</f>
        <v>32.9989318847656</v>
      </c>
      <c r="AV222" s="260" t="s">
        <v>168</v>
      </c>
      <c r="AW222" s="259" t="n">
        <f aca="false">AVERAGE(AU296:AU297)</f>
        <v>43.6128635406494</v>
      </c>
      <c r="AX222" s="259" t="n">
        <f aca="false">AVERAGE(AU298:AU299)</f>
        <v>34.7485446929932</v>
      </c>
      <c r="AY222" s="259" t="n">
        <f aca="false">+AU300</f>
        <v>36.7535667419434</v>
      </c>
      <c r="AZ222" s="259" t="n">
        <f aca="false">+AU301</f>
        <v>51.2478561401367</v>
      </c>
      <c r="BA222" s="259" t="n">
        <f aca="false">AVERAGE(AU302:AU303)</f>
        <v>77.2471466064453</v>
      </c>
      <c r="BB222" s="259" t="n">
        <f aca="false">+AU304</f>
        <v>36.5021438598633</v>
      </c>
      <c r="BC222" s="259" t="n">
        <f aca="false">AVERAGE(AU305:AU307)</f>
        <v>35.2489318847656</v>
      </c>
      <c r="BD222" s="259"/>
      <c r="BE222" s="259"/>
      <c r="BF222" s="259"/>
    </row>
    <row r="223" customFormat="false" ht="15" hidden="false" customHeight="false" outlineLevel="0" collapsed="false">
      <c r="AP223" s="21"/>
      <c r="AQ223" s="21" t="n">
        <f aca="false">+TradeSum!CD44</f>
        <v>352</v>
      </c>
      <c r="AR223" s="258" t="n">
        <v>37956</v>
      </c>
      <c r="AS223" s="259" t="n">
        <v>33.0989303588867</v>
      </c>
      <c r="AT223" s="259" t="n">
        <v>0</v>
      </c>
      <c r="AU223" s="259" t="n">
        <f aca="false">+AT223+AS223</f>
        <v>33.0989303588867</v>
      </c>
      <c r="AV223" s="260"/>
      <c r="AW223" s="259" t="n">
        <f aca="false">+AW222-AW219</f>
        <v>0.5</v>
      </c>
      <c r="AX223" s="259" t="n">
        <f aca="false">+AX222-AX219</f>
        <v>0.5</v>
      </c>
      <c r="AY223" s="259" t="n">
        <f aca="false">+AY222-AY219</f>
        <v>0.5</v>
      </c>
      <c r="AZ223" s="259" t="n">
        <f aca="false">+AZ222-AZ219</f>
        <v>1</v>
      </c>
      <c r="BA223" s="259" t="n">
        <f aca="false">+BA222-BA219</f>
        <v>2</v>
      </c>
      <c r="BB223" s="259" t="n">
        <f aca="false">+BB222-BB219</f>
        <v>0.5</v>
      </c>
      <c r="BC223" s="259" t="n">
        <f aca="false">+BC222-BC219</f>
        <v>0.5</v>
      </c>
      <c r="BD223" s="259"/>
      <c r="BE223" s="259"/>
      <c r="BF223" s="259"/>
    </row>
    <row r="224" customFormat="false" ht="15" hidden="false" customHeight="false" outlineLevel="0" collapsed="false">
      <c r="AP224" s="21"/>
      <c r="AQ224" s="1"/>
      <c r="AR224" s="258" t="n">
        <v>37987</v>
      </c>
      <c r="AS224" s="259" t="n">
        <v>41.5378646850586</v>
      </c>
      <c r="AT224" s="259" t="n">
        <v>0</v>
      </c>
      <c r="AU224" s="259" t="n">
        <f aca="false">+AT224+AS224</f>
        <v>41.5378646850586</v>
      </c>
      <c r="AV224" s="260"/>
      <c r="AW224" s="259"/>
      <c r="AX224" s="259"/>
      <c r="AY224" s="259"/>
      <c r="AZ224" s="259"/>
      <c r="BA224" s="259"/>
      <c r="BB224" s="259"/>
      <c r="BC224" s="259"/>
      <c r="BD224" s="259"/>
      <c r="BE224" s="259"/>
      <c r="BF224" s="259"/>
    </row>
    <row r="225" customFormat="false" ht="15" hidden="false" customHeight="false" outlineLevel="0" collapsed="false">
      <c r="AP225" s="21"/>
      <c r="AQ225" s="1"/>
      <c r="AR225" s="258" t="n">
        <v>38018</v>
      </c>
      <c r="AS225" s="259" t="n">
        <v>40.6878623962402</v>
      </c>
      <c r="AT225" s="259" t="n">
        <v>0</v>
      </c>
      <c r="AU225" s="259" t="n">
        <f aca="false">+AT225+AS225</f>
        <v>40.6878623962402</v>
      </c>
      <c r="AV225" s="260"/>
      <c r="AW225" s="259"/>
      <c r="AX225" s="259"/>
      <c r="AY225" s="259"/>
      <c r="AZ225" s="259"/>
      <c r="BA225" s="259"/>
      <c r="BB225" s="259"/>
      <c r="BC225" s="259"/>
      <c r="BD225" s="259"/>
      <c r="BE225" s="259"/>
      <c r="BF225" s="259"/>
    </row>
    <row r="226" customFormat="false" ht="15" hidden="false" customHeight="false" outlineLevel="0" collapsed="false">
      <c r="AP226" s="21"/>
      <c r="AQ226" s="1"/>
      <c r="AR226" s="258" t="n">
        <v>38047</v>
      </c>
      <c r="AS226" s="259" t="n">
        <v>31.8985443115234</v>
      </c>
      <c r="AT226" s="259" t="n">
        <v>0</v>
      </c>
      <c r="AU226" s="259" t="n">
        <f aca="false">+AT226+AS226</f>
        <v>31.8985443115234</v>
      </c>
      <c r="AV226" s="260"/>
      <c r="AW226" s="259"/>
      <c r="AX226" s="259"/>
      <c r="AY226" s="259"/>
      <c r="AZ226" s="259"/>
      <c r="BA226" s="259"/>
      <c r="BB226" s="259"/>
      <c r="BC226" s="259"/>
      <c r="BD226" s="259"/>
      <c r="BE226" s="259"/>
      <c r="BF226" s="259"/>
    </row>
    <row r="227" customFormat="false" ht="15" hidden="false" customHeight="false" outlineLevel="0" collapsed="false">
      <c r="AP227" s="21"/>
      <c r="AQ227" s="1"/>
      <c r="AR227" s="258" t="n">
        <v>38078</v>
      </c>
      <c r="AS227" s="259" t="n">
        <v>32.0985450744629</v>
      </c>
      <c r="AT227" s="259" t="n">
        <v>0</v>
      </c>
      <c r="AU227" s="259" t="n">
        <f aca="false">+AT227+AS227</f>
        <v>32.0985450744629</v>
      </c>
      <c r="AV227" s="260"/>
      <c r="AW227" s="259"/>
      <c r="AX227" s="259"/>
      <c r="AY227" s="259"/>
      <c r="AZ227" s="259"/>
      <c r="BA227" s="259"/>
      <c r="BB227" s="259"/>
      <c r="BC227" s="259"/>
      <c r="BD227" s="259"/>
      <c r="BE227" s="259"/>
      <c r="BF227" s="259"/>
    </row>
    <row r="228" customFormat="false" ht="15" hidden="false" customHeight="false" outlineLevel="0" collapsed="false">
      <c r="AP228" s="21"/>
      <c r="AQ228" s="1"/>
      <c r="AR228" s="258" t="n">
        <v>38108</v>
      </c>
      <c r="AS228" s="259" t="n">
        <v>34.0035667419434</v>
      </c>
      <c r="AT228" s="259" t="n">
        <v>0</v>
      </c>
      <c r="AU228" s="259" t="n">
        <f aca="false">+AT228+AS228</f>
        <v>34.0035667419434</v>
      </c>
      <c r="AV228" s="260"/>
      <c r="AW228" s="259"/>
      <c r="AX228" s="259"/>
      <c r="AY228" s="259"/>
      <c r="AZ228" s="259"/>
      <c r="BA228" s="259"/>
      <c r="BB228" s="259"/>
      <c r="BC228" s="259"/>
      <c r="BD228" s="259"/>
      <c r="BE228" s="259"/>
      <c r="BF228" s="259"/>
    </row>
    <row r="229" customFormat="false" ht="15" hidden="false" customHeight="false" outlineLevel="0" collapsed="false">
      <c r="AP229" s="21"/>
      <c r="AQ229" s="1"/>
      <c r="AR229" s="258" t="n">
        <v>38139</v>
      </c>
      <c r="AS229" s="259" t="n">
        <v>52.9978561401367</v>
      </c>
      <c r="AT229" s="259" t="n">
        <v>0</v>
      </c>
      <c r="AU229" s="259" t="n">
        <f aca="false">+AT229+AS229</f>
        <v>52.9978561401367</v>
      </c>
      <c r="AV229" s="260"/>
      <c r="AW229" s="259"/>
      <c r="AX229" s="259"/>
      <c r="AY229" s="259"/>
      <c r="AZ229" s="259"/>
      <c r="BA229" s="259"/>
      <c r="BB229" s="259"/>
      <c r="BC229" s="259"/>
      <c r="BD229" s="259"/>
      <c r="BE229" s="259"/>
      <c r="BF229" s="259"/>
    </row>
    <row r="230" customFormat="false" ht="15" hidden="false" customHeight="false" outlineLevel="0" collapsed="false">
      <c r="AP230" s="21"/>
      <c r="AQ230" s="1"/>
      <c r="AR230" s="258" t="n">
        <v>38169</v>
      </c>
      <c r="AS230" s="259" t="n">
        <v>77.9971466064453</v>
      </c>
      <c r="AT230" s="259" t="n">
        <v>0</v>
      </c>
      <c r="AU230" s="259" t="n">
        <f aca="false">+AT230+AS230</f>
        <v>77.9971466064453</v>
      </c>
      <c r="AV230" s="260"/>
      <c r="AW230" s="259"/>
      <c r="AX230" s="259"/>
      <c r="AY230" s="259"/>
      <c r="AZ230" s="259"/>
      <c r="BA230" s="259"/>
      <c r="BB230" s="259"/>
      <c r="BC230" s="259"/>
      <c r="BD230" s="259"/>
      <c r="BE230" s="259"/>
      <c r="BF230" s="259"/>
    </row>
    <row r="231" customFormat="false" ht="15" hidden="false" customHeight="false" outlineLevel="0" collapsed="false">
      <c r="AP231" s="21"/>
      <c r="AQ231" s="1"/>
      <c r="AR231" s="258" t="n">
        <v>38200</v>
      </c>
      <c r="AS231" s="259" t="n">
        <v>77.9971466064453</v>
      </c>
      <c r="AT231" s="259" t="n">
        <v>0</v>
      </c>
      <c r="AU231" s="259" t="n">
        <f aca="false">+AT231+AS231</f>
        <v>77.9971466064453</v>
      </c>
      <c r="AV231" s="260"/>
      <c r="AW231" s="259"/>
      <c r="AX231" s="259"/>
      <c r="AY231" s="259"/>
      <c r="AZ231" s="259"/>
      <c r="BA231" s="259"/>
      <c r="BB231" s="259"/>
      <c r="BC231" s="259"/>
      <c r="BD231" s="259"/>
      <c r="BE231" s="259"/>
      <c r="BF231" s="259"/>
    </row>
    <row r="232" customFormat="false" ht="15" hidden="false" customHeight="false" outlineLevel="0" collapsed="false">
      <c r="AP232" s="21"/>
      <c r="AQ232" s="1"/>
      <c r="AR232" s="258" t="n">
        <v>38231</v>
      </c>
      <c r="AS232" s="259" t="n">
        <v>33.7521438598633</v>
      </c>
      <c r="AT232" s="259" t="n">
        <v>0</v>
      </c>
      <c r="AU232" s="259" t="n">
        <f aca="false">+AT232+AS232</f>
        <v>33.7521438598633</v>
      </c>
      <c r="AV232" s="260"/>
      <c r="AW232" s="259"/>
      <c r="AX232" s="259"/>
      <c r="AY232" s="259"/>
      <c r="AZ232" s="259"/>
      <c r="BA232" s="259"/>
      <c r="BB232" s="259"/>
      <c r="BC232" s="259"/>
      <c r="BD232" s="259"/>
      <c r="BE232" s="259"/>
      <c r="BF232" s="259"/>
    </row>
    <row r="233" customFormat="false" ht="15" hidden="false" customHeight="false" outlineLevel="0" collapsed="false">
      <c r="AP233" s="21"/>
      <c r="AQ233" s="1"/>
      <c r="AR233" s="258" t="n">
        <v>38261</v>
      </c>
      <c r="AS233" s="259" t="n">
        <v>32.3989334106445</v>
      </c>
      <c r="AT233" s="259" t="n">
        <v>0</v>
      </c>
      <c r="AU233" s="259" t="n">
        <f aca="false">+AT233+AS233</f>
        <v>32.3989334106445</v>
      </c>
      <c r="AV233" s="260"/>
      <c r="AW233" s="259"/>
      <c r="AX233" s="259"/>
      <c r="AY233" s="259"/>
      <c r="AZ233" s="259"/>
      <c r="BA233" s="259"/>
      <c r="BB233" s="259"/>
      <c r="BC233" s="259"/>
      <c r="BD233" s="259"/>
      <c r="BE233" s="259"/>
      <c r="BF233" s="259"/>
    </row>
    <row r="234" customFormat="false" ht="15" hidden="false" customHeight="false" outlineLevel="0" collapsed="false">
      <c r="AP234" s="21"/>
      <c r="AQ234" s="1"/>
      <c r="AR234" s="258" t="n">
        <v>38292</v>
      </c>
      <c r="AS234" s="259" t="n">
        <v>32.4989318847656</v>
      </c>
      <c r="AT234" s="259" t="n">
        <v>0</v>
      </c>
      <c r="AU234" s="259" t="n">
        <f aca="false">+AT234+AS234</f>
        <v>32.4989318847656</v>
      </c>
      <c r="AV234" s="259"/>
      <c r="AW234" s="259"/>
      <c r="AX234" s="259"/>
      <c r="AY234" s="259"/>
      <c r="AZ234" s="259"/>
      <c r="BA234" s="259"/>
      <c r="BB234" s="259"/>
      <c r="BC234" s="259"/>
      <c r="BD234" s="259"/>
      <c r="BE234" s="259"/>
      <c r="BF234" s="259"/>
    </row>
    <row r="235" customFormat="false" ht="15" hidden="false" customHeight="false" outlineLevel="0" collapsed="false">
      <c r="AP235" s="21"/>
      <c r="AQ235" s="1"/>
      <c r="AR235" s="258" t="n">
        <v>38322</v>
      </c>
      <c r="AS235" s="259" t="n">
        <v>32.5989303588867</v>
      </c>
      <c r="AT235" s="259" t="n">
        <v>0</v>
      </c>
      <c r="AU235" s="259" t="n">
        <f aca="false">+AT235+AS235</f>
        <v>32.5989303588867</v>
      </c>
      <c r="AV235" s="259"/>
      <c r="AW235" s="259"/>
      <c r="AX235" s="259"/>
      <c r="AY235" s="259"/>
      <c r="AZ235" s="259"/>
      <c r="BA235" s="259"/>
      <c r="BB235" s="259"/>
      <c r="BC235" s="259"/>
      <c r="BD235" s="259"/>
      <c r="BE235" s="259"/>
      <c r="BF235" s="259"/>
    </row>
    <row r="236" customFormat="false" ht="15" hidden="false" customHeight="false" outlineLevel="0" collapsed="false">
      <c r="AP236" s="21"/>
      <c r="AQ236" s="1"/>
      <c r="AR236" s="258" t="n">
        <v>38353</v>
      </c>
      <c r="AS236" s="259" t="n">
        <v>41.2878646850586</v>
      </c>
      <c r="AT236" s="259" t="n">
        <v>0</v>
      </c>
      <c r="AU236" s="259" t="n">
        <f aca="false">+AT236+AS236</f>
        <v>41.2878646850586</v>
      </c>
      <c r="AV236" s="259"/>
      <c r="AW236" s="259"/>
      <c r="AX236" s="259"/>
      <c r="AY236" s="259"/>
      <c r="AZ236" s="259"/>
      <c r="BA236" s="259"/>
      <c r="BB236" s="259"/>
      <c r="BC236" s="259"/>
      <c r="BD236" s="259"/>
      <c r="BE236" s="259"/>
      <c r="BF236" s="259"/>
    </row>
    <row r="237" customFormat="false" ht="15" hidden="false" customHeight="false" outlineLevel="0" collapsed="false">
      <c r="AP237" s="21"/>
      <c r="AQ237" s="1"/>
      <c r="AR237" s="258" t="n">
        <v>38384</v>
      </c>
      <c r="AS237" s="259" t="n">
        <v>40.9378623962402</v>
      </c>
      <c r="AT237" s="259" t="n">
        <v>0</v>
      </c>
      <c r="AU237" s="259" t="n">
        <f aca="false">+AT237+AS237</f>
        <v>40.9378623962402</v>
      </c>
      <c r="AV237" s="259"/>
      <c r="AW237" s="259"/>
      <c r="AX237" s="259"/>
      <c r="AY237" s="259"/>
      <c r="AZ237" s="259"/>
      <c r="BA237" s="259"/>
      <c r="BB237" s="259"/>
      <c r="BC237" s="259"/>
      <c r="BD237" s="259"/>
      <c r="BE237" s="259"/>
      <c r="BF237" s="259"/>
    </row>
    <row r="238" customFormat="false" ht="15" hidden="false" customHeight="false" outlineLevel="0" collapsed="false">
      <c r="AP238" s="21"/>
      <c r="AQ238" s="1"/>
      <c r="AR238" s="258" t="n">
        <v>38412</v>
      </c>
      <c r="AS238" s="259" t="n">
        <v>32.1485443115234</v>
      </c>
      <c r="AT238" s="259" t="n">
        <v>0</v>
      </c>
      <c r="AU238" s="259" t="n">
        <f aca="false">+AT238+AS238</f>
        <v>32.1485443115234</v>
      </c>
      <c r="AV238" s="259"/>
      <c r="AW238" s="259"/>
      <c r="AX238" s="259"/>
      <c r="AY238" s="259"/>
      <c r="AZ238" s="259"/>
      <c r="BA238" s="259"/>
      <c r="BB238" s="259"/>
      <c r="BC238" s="259"/>
      <c r="BD238" s="259"/>
      <c r="BE238" s="259"/>
      <c r="BF238" s="259"/>
    </row>
    <row r="239" customFormat="false" ht="15" hidden="false" customHeight="false" outlineLevel="0" collapsed="false">
      <c r="AP239" s="21"/>
      <c r="AQ239" s="1"/>
      <c r="AR239" s="258" t="n">
        <v>38443</v>
      </c>
      <c r="AS239" s="259" t="n">
        <v>32.3485450744629</v>
      </c>
      <c r="AT239" s="259" t="n">
        <v>0</v>
      </c>
      <c r="AU239" s="259" t="n">
        <f aca="false">+AT239+AS239</f>
        <v>32.3485450744629</v>
      </c>
      <c r="AV239" s="259"/>
      <c r="AW239" s="259"/>
      <c r="AX239" s="259"/>
      <c r="AY239" s="259"/>
      <c r="AZ239" s="259"/>
      <c r="BA239" s="259"/>
      <c r="BB239" s="259"/>
      <c r="BC239" s="259"/>
      <c r="BD239" s="259"/>
      <c r="BE239" s="259"/>
      <c r="BF239" s="259"/>
    </row>
    <row r="240" customFormat="false" ht="15" hidden="false" customHeight="false" outlineLevel="0" collapsed="false">
      <c r="AP240" s="21"/>
      <c r="AQ240" s="1"/>
      <c r="AR240" s="258" t="n">
        <v>38473</v>
      </c>
      <c r="AS240" s="259" t="n">
        <v>34.2535667419434</v>
      </c>
      <c r="AT240" s="259" t="n">
        <v>0</v>
      </c>
      <c r="AU240" s="259" t="n">
        <f aca="false">+AT240+AS240</f>
        <v>34.2535667419434</v>
      </c>
      <c r="AV240" s="259"/>
      <c r="AW240" s="259"/>
      <c r="AX240" s="259"/>
      <c r="AY240" s="259"/>
      <c r="AZ240" s="259"/>
      <c r="BA240" s="259"/>
      <c r="BB240" s="259"/>
      <c r="BC240" s="259"/>
      <c r="BD240" s="259"/>
      <c r="BE240" s="259"/>
      <c r="BF240" s="259"/>
    </row>
    <row r="241" customFormat="false" ht="15" hidden="false" customHeight="false" outlineLevel="0" collapsed="false">
      <c r="AP241" s="21"/>
      <c r="AQ241" s="1"/>
      <c r="AR241" s="258" t="n">
        <v>38504</v>
      </c>
      <c r="AS241" s="259" t="n">
        <v>49.7478561401367</v>
      </c>
      <c r="AT241" s="259" t="n">
        <v>0</v>
      </c>
      <c r="AU241" s="259" t="n">
        <f aca="false">+AT241+AS241</f>
        <v>49.7478561401367</v>
      </c>
      <c r="AV241" s="259"/>
      <c r="AW241" s="259"/>
      <c r="AX241" s="259"/>
      <c r="AY241" s="259"/>
      <c r="AZ241" s="259"/>
      <c r="BA241" s="259"/>
      <c r="BB241" s="259"/>
      <c r="BC241" s="259"/>
      <c r="BD241" s="259"/>
      <c r="BE241" s="259"/>
      <c r="BF241" s="259"/>
    </row>
    <row r="242" customFormat="false" ht="15" hidden="false" customHeight="false" outlineLevel="0" collapsed="false">
      <c r="AP242" s="21"/>
      <c r="AQ242" s="1"/>
      <c r="AR242" s="258" t="n">
        <v>38534</v>
      </c>
      <c r="AS242" s="259" t="n">
        <v>73.2471466064453</v>
      </c>
      <c r="AT242" s="259" t="n">
        <v>0</v>
      </c>
      <c r="AU242" s="259" t="n">
        <f aca="false">+AT242+AS242</f>
        <v>73.2471466064453</v>
      </c>
      <c r="AV242" s="259"/>
      <c r="AW242" s="259"/>
      <c r="AX242" s="259"/>
      <c r="AY242" s="259"/>
      <c r="AZ242" s="259"/>
      <c r="BA242" s="259"/>
      <c r="BB242" s="259"/>
      <c r="BC242" s="259"/>
      <c r="BD242" s="259"/>
      <c r="BE242" s="259"/>
      <c r="BF242" s="259"/>
    </row>
    <row r="243" customFormat="false" ht="15" hidden="false" customHeight="false" outlineLevel="0" collapsed="false">
      <c r="AP243" s="21"/>
      <c r="AQ243" s="1"/>
      <c r="AR243" s="258" t="n">
        <v>38565</v>
      </c>
      <c r="AS243" s="259" t="n">
        <v>73.2471466064453</v>
      </c>
      <c r="AT243" s="259" t="n">
        <v>0</v>
      </c>
      <c r="AU243" s="259" t="n">
        <f aca="false">+AT243+AS243</f>
        <v>73.2471466064453</v>
      </c>
      <c r="AV243" s="259"/>
      <c r="AW243" s="259"/>
      <c r="AX243" s="259"/>
      <c r="AY243" s="259"/>
      <c r="AZ243" s="259"/>
      <c r="BA243" s="259"/>
      <c r="BB243" s="259"/>
      <c r="BC243" s="259"/>
      <c r="BD243" s="259"/>
      <c r="BE243" s="259"/>
      <c r="BF243" s="259"/>
    </row>
    <row r="244" customFormat="false" ht="15" hidden="false" customHeight="false" outlineLevel="0" collapsed="false">
      <c r="AP244" s="21"/>
      <c r="AQ244" s="1"/>
      <c r="AR244" s="258" t="n">
        <v>38596</v>
      </c>
      <c r="AS244" s="259" t="n">
        <v>34.0021438598633</v>
      </c>
      <c r="AT244" s="259" t="n">
        <v>0</v>
      </c>
      <c r="AU244" s="259" t="n">
        <f aca="false">+AT244+AS244</f>
        <v>34.0021438598633</v>
      </c>
      <c r="AV244" s="259"/>
      <c r="AW244" s="259"/>
      <c r="AX244" s="259"/>
      <c r="AY244" s="259"/>
      <c r="AZ244" s="259"/>
      <c r="BA244" s="259"/>
      <c r="BB244" s="259"/>
      <c r="BC244" s="259"/>
      <c r="BD244" s="259"/>
      <c r="BE244" s="259"/>
      <c r="BF244" s="259"/>
    </row>
    <row r="245" customFormat="false" ht="15" hidden="false" customHeight="false" outlineLevel="0" collapsed="false">
      <c r="AP245" s="21"/>
      <c r="AQ245" s="1"/>
      <c r="AR245" s="258" t="n">
        <v>38626</v>
      </c>
      <c r="AS245" s="259" t="n">
        <v>32.6489334106445</v>
      </c>
      <c r="AT245" s="259" t="n">
        <v>0</v>
      </c>
      <c r="AU245" s="259" t="n">
        <f aca="false">+AT245+AS245</f>
        <v>32.6489334106445</v>
      </c>
      <c r="AV245" s="1"/>
      <c r="AW245" s="1"/>
      <c r="AX245" s="1"/>
      <c r="AY245" s="1"/>
      <c r="AZ245" s="1"/>
      <c r="BA245" s="1"/>
      <c r="BB245" s="1"/>
      <c r="BC245" s="1"/>
      <c r="BD245" s="259"/>
      <c r="BE245" s="259"/>
      <c r="BF245" s="259"/>
    </row>
    <row r="246" customFormat="false" ht="15" hidden="false" customHeight="false" outlineLevel="0" collapsed="false">
      <c r="AP246" s="21"/>
      <c r="AQ246" s="1"/>
      <c r="AR246" s="258" t="n">
        <v>38657</v>
      </c>
      <c r="AS246" s="259" t="n">
        <v>32.7489318847656</v>
      </c>
      <c r="AT246" s="259" t="n">
        <v>0</v>
      </c>
      <c r="AU246" s="259" t="n">
        <f aca="false">+AT246+AS246</f>
        <v>32.7489318847656</v>
      </c>
      <c r="AV246" s="1"/>
      <c r="AW246" s="1"/>
      <c r="AX246" s="1"/>
      <c r="AY246" s="1"/>
      <c r="AZ246" s="1"/>
      <c r="BA246" s="1"/>
      <c r="BB246" s="1"/>
      <c r="BC246" s="1"/>
      <c r="BD246" s="259"/>
      <c r="BE246" s="259"/>
      <c r="BF246" s="259"/>
    </row>
    <row r="247" customFormat="false" ht="15" hidden="false" customHeight="false" outlineLevel="0" collapsed="false">
      <c r="AP247" s="21"/>
      <c r="AQ247" s="1"/>
      <c r="AR247" s="258" t="n">
        <v>38687</v>
      </c>
      <c r="AS247" s="259" t="n">
        <v>32.8489303588867</v>
      </c>
      <c r="AT247" s="259" t="n">
        <v>0</v>
      </c>
      <c r="AU247" s="259" t="n">
        <f aca="false">+AT247+AS247</f>
        <v>32.8489303588867</v>
      </c>
      <c r="AV247" s="1"/>
      <c r="AW247" s="1"/>
      <c r="AX247" s="1"/>
      <c r="AY247" s="1"/>
      <c r="AZ247" s="1"/>
      <c r="BA247" s="1"/>
      <c r="BB247" s="1"/>
      <c r="BC247" s="1"/>
      <c r="BD247" s="259"/>
      <c r="BE247" s="259"/>
      <c r="BF247" s="259"/>
    </row>
    <row r="248" customFormat="false" ht="15" hidden="false" customHeight="false" outlineLevel="0" collapsed="false">
      <c r="AP248" s="21"/>
      <c r="AQ248" s="1"/>
      <c r="AR248" s="258" t="n">
        <v>38718</v>
      </c>
      <c r="AS248" s="259" t="n">
        <v>41.7878646850586</v>
      </c>
      <c r="AT248" s="259" t="n">
        <v>0</v>
      </c>
      <c r="AU248" s="259" t="n">
        <f aca="false">+AT248+AS248</f>
        <v>41.7878646850586</v>
      </c>
      <c r="AV248" s="1"/>
      <c r="AW248" s="1"/>
      <c r="AX248" s="1"/>
      <c r="AY248" s="1"/>
      <c r="AZ248" s="1"/>
      <c r="BA248" s="1"/>
      <c r="BB248" s="1"/>
      <c r="BC248" s="1"/>
      <c r="BD248" s="259"/>
      <c r="BE248" s="259"/>
      <c r="BF248" s="259"/>
    </row>
    <row r="249" customFormat="false" ht="15" hidden="false" customHeight="false" outlineLevel="0" collapsed="false">
      <c r="AP249" s="21"/>
      <c r="AQ249" s="1"/>
      <c r="AR249" s="258" t="n">
        <v>38749</v>
      </c>
      <c r="AS249" s="259" t="n">
        <v>41.4378623962402</v>
      </c>
      <c r="AT249" s="259" t="n">
        <v>0</v>
      </c>
      <c r="AU249" s="259" t="n">
        <f aca="false">+AT249+AS249</f>
        <v>41.4378623962402</v>
      </c>
      <c r="AV249" s="1"/>
      <c r="AW249" s="1"/>
      <c r="AX249" s="1"/>
      <c r="AY249" s="1"/>
      <c r="AZ249" s="1"/>
      <c r="BA249" s="1"/>
      <c r="BB249" s="1"/>
      <c r="BC249" s="1"/>
      <c r="BD249" s="259"/>
      <c r="BE249" s="259"/>
      <c r="BF249" s="259"/>
    </row>
    <row r="250" customFormat="false" ht="15" hidden="false" customHeight="false" outlineLevel="0" collapsed="false">
      <c r="AP250" s="21"/>
      <c r="AQ250" s="1"/>
      <c r="AR250" s="258" t="n">
        <v>38777</v>
      </c>
      <c r="AS250" s="259" t="n">
        <v>32.6485443115234</v>
      </c>
      <c r="AT250" s="259" t="n">
        <v>0</v>
      </c>
      <c r="AU250" s="259" t="n">
        <f aca="false">+AT250+AS250</f>
        <v>32.6485443115234</v>
      </c>
      <c r="AV250" s="1"/>
      <c r="AW250" s="1"/>
      <c r="AX250" s="1"/>
      <c r="AY250" s="1"/>
      <c r="AZ250" s="1"/>
      <c r="BA250" s="1"/>
      <c r="BB250" s="1"/>
      <c r="BC250" s="1"/>
      <c r="BD250" s="259"/>
      <c r="BE250" s="259"/>
      <c r="BF250" s="259"/>
    </row>
    <row r="251" customFormat="false" ht="15" hidden="false" customHeight="false" outlineLevel="0" collapsed="false">
      <c r="AP251" s="21"/>
      <c r="AQ251" s="1"/>
      <c r="AR251" s="258" t="n">
        <v>38808</v>
      </c>
      <c r="AS251" s="259" t="n">
        <v>32.8485450744629</v>
      </c>
      <c r="AT251" s="259" t="n">
        <v>0</v>
      </c>
      <c r="AU251" s="259" t="n">
        <f aca="false">+AT251+AS251</f>
        <v>32.8485450744629</v>
      </c>
      <c r="BD251" s="259"/>
      <c r="BE251" s="259"/>
      <c r="BF251" s="259"/>
    </row>
    <row r="252" customFormat="false" ht="15" hidden="false" customHeight="false" outlineLevel="0" collapsed="false">
      <c r="AP252" s="21"/>
      <c r="AQ252" s="1"/>
      <c r="AR252" s="258" t="n">
        <v>38838</v>
      </c>
      <c r="AS252" s="259" t="n">
        <v>34.7535667419434</v>
      </c>
      <c r="AT252" s="259" t="n">
        <v>0</v>
      </c>
      <c r="AU252" s="259" t="n">
        <f aca="false">+AT252+AS252</f>
        <v>34.7535667419434</v>
      </c>
      <c r="BD252" s="259"/>
      <c r="BE252" s="259"/>
      <c r="BF252" s="259"/>
    </row>
    <row r="253" customFormat="false" ht="15" hidden="false" customHeight="false" outlineLevel="0" collapsed="false">
      <c r="AP253" s="21"/>
      <c r="AQ253" s="1"/>
      <c r="AR253" s="258" t="n">
        <v>38869</v>
      </c>
      <c r="AS253" s="259" t="n">
        <v>47.9978561401367</v>
      </c>
      <c r="AT253" s="259" t="n">
        <v>0</v>
      </c>
      <c r="AU253" s="259" t="n">
        <f aca="false">+AT253+AS253</f>
        <v>47.9978561401367</v>
      </c>
      <c r="BD253" s="259"/>
      <c r="BE253" s="259"/>
      <c r="BF253" s="259"/>
    </row>
    <row r="254" customFormat="false" ht="15" hidden="false" customHeight="false" outlineLevel="0" collapsed="false">
      <c r="AP254" s="21"/>
      <c r="AQ254" s="1"/>
      <c r="AR254" s="258" t="n">
        <v>38899</v>
      </c>
      <c r="AS254" s="259" t="n">
        <v>71.9971466064453</v>
      </c>
      <c r="AT254" s="259" t="n">
        <v>0</v>
      </c>
      <c r="AU254" s="259" t="n">
        <f aca="false">+AT254+AS254</f>
        <v>71.9971466064453</v>
      </c>
      <c r="BD254" s="259"/>
      <c r="BE254" s="259"/>
      <c r="BF254" s="259"/>
    </row>
    <row r="255" customFormat="false" ht="15" hidden="false" customHeight="false" outlineLevel="0" collapsed="false">
      <c r="AP255" s="21"/>
      <c r="AQ255" s="1"/>
      <c r="AR255" s="258" t="n">
        <v>38930</v>
      </c>
      <c r="AS255" s="259" t="n">
        <v>71.9971466064453</v>
      </c>
      <c r="AT255" s="259" t="n">
        <v>0</v>
      </c>
      <c r="AU255" s="259" t="n">
        <f aca="false">+AT255+AS255</f>
        <v>71.9971466064453</v>
      </c>
      <c r="BD255" s="259"/>
      <c r="BE255" s="259"/>
      <c r="BF255" s="259"/>
    </row>
    <row r="256" customFormat="false" ht="15" hidden="false" customHeight="false" outlineLevel="0" collapsed="false">
      <c r="AP256" s="21"/>
      <c r="AQ256" s="1"/>
      <c r="AR256" s="258" t="n">
        <v>38961</v>
      </c>
      <c r="AS256" s="259" t="n">
        <v>34.5021438598633</v>
      </c>
      <c r="AT256" s="259" t="n">
        <v>0</v>
      </c>
      <c r="AU256" s="259" t="n">
        <f aca="false">+AT256+AS256</f>
        <v>34.5021438598633</v>
      </c>
      <c r="BD256" s="259"/>
      <c r="BE256" s="259"/>
      <c r="BF256" s="259"/>
    </row>
    <row r="257" customFormat="false" ht="15" hidden="false" customHeight="false" outlineLevel="0" collapsed="false">
      <c r="AP257" s="21"/>
      <c r="AQ257" s="1"/>
      <c r="AR257" s="258" t="n">
        <v>38991</v>
      </c>
      <c r="AS257" s="259" t="n">
        <v>33.1489334106445</v>
      </c>
      <c r="AT257" s="259" t="n">
        <v>0</v>
      </c>
      <c r="AU257" s="259" t="n">
        <f aca="false">+AT257+AS257</f>
        <v>33.1489334106445</v>
      </c>
      <c r="BD257" s="259"/>
      <c r="BE257" s="259"/>
      <c r="BF257" s="259"/>
    </row>
    <row r="258" customFormat="false" ht="15" hidden="false" customHeight="false" outlineLevel="0" collapsed="false">
      <c r="AP258" s="21"/>
      <c r="AQ258" s="1"/>
      <c r="AR258" s="258" t="n">
        <v>39022</v>
      </c>
      <c r="AS258" s="259" t="n">
        <v>33.2489318847656</v>
      </c>
      <c r="AT258" s="259" t="n">
        <v>0</v>
      </c>
      <c r="AU258" s="259" t="n">
        <f aca="false">+AT258+AS258</f>
        <v>33.2489318847656</v>
      </c>
      <c r="BD258" s="259"/>
      <c r="BE258" s="259"/>
      <c r="BF258" s="259"/>
    </row>
    <row r="259" customFormat="false" ht="15" hidden="false" customHeight="false" outlineLevel="0" collapsed="false">
      <c r="AP259" s="21"/>
      <c r="AQ259" s="1"/>
      <c r="AR259" s="258" t="n">
        <v>39052</v>
      </c>
      <c r="AS259" s="259" t="n">
        <v>33.3489303588867</v>
      </c>
      <c r="AT259" s="259" t="n">
        <v>0</v>
      </c>
      <c r="AU259" s="259" t="n">
        <f aca="false">+AT259+AS259</f>
        <v>33.3489303588867</v>
      </c>
      <c r="BD259" s="259"/>
      <c r="BE259" s="259"/>
      <c r="BF259" s="259"/>
    </row>
    <row r="260" customFormat="false" ht="15" hidden="false" customHeight="false" outlineLevel="0" collapsed="false">
      <c r="AP260" s="21"/>
      <c r="AQ260" s="1"/>
      <c r="AR260" s="258" t="n">
        <v>39083</v>
      </c>
      <c r="AS260" s="259" t="n">
        <v>42.2878646850586</v>
      </c>
      <c r="AT260" s="259" t="n">
        <v>0</v>
      </c>
      <c r="AU260" s="259" t="n">
        <f aca="false">+AT260+AS260</f>
        <v>42.2878646850586</v>
      </c>
      <c r="BD260" s="259"/>
      <c r="BE260" s="259"/>
      <c r="BF260" s="259"/>
    </row>
    <row r="261" customFormat="false" ht="15" hidden="false" customHeight="false" outlineLevel="0" collapsed="false">
      <c r="AP261" s="21"/>
      <c r="AQ261" s="1"/>
      <c r="AR261" s="258" t="n">
        <v>39114</v>
      </c>
      <c r="AS261" s="259" t="n">
        <v>41.9378623962402</v>
      </c>
      <c r="AT261" s="259" t="n">
        <v>0</v>
      </c>
      <c r="AU261" s="259" t="n">
        <f aca="false">+AT261+AS261</f>
        <v>41.9378623962402</v>
      </c>
      <c r="BD261" s="259"/>
      <c r="BE261" s="259"/>
      <c r="BF261" s="259"/>
    </row>
    <row r="262" customFormat="false" ht="15" hidden="false" customHeight="false" outlineLevel="0" collapsed="false">
      <c r="AP262" s="21"/>
      <c r="AQ262" s="1"/>
      <c r="AR262" s="258" t="n">
        <v>39142</v>
      </c>
      <c r="AS262" s="259" t="n">
        <v>33.1485443115234</v>
      </c>
      <c r="AT262" s="259" t="n">
        <v>0</v>
      </c>
      <c r="AU262" s="259" t="n">
        <f aca="false">+AT262+AS262</f>
        <v>33.1485443115234</v>
      </c>
      <c r="BD262" s="259"/>
      <c r="BE262" s="259"/>
      <c r="BF262" s="259"/>
    </row>
    <row r="263" customFormat="false" ht="15" hidden="false" customHeight="false" outlineLevel="0" collapsed="false">
      <c r="AP263" s="21"/>
      <c r="AQ263" s="1"/>
      <c r="AR263" s="258" t="n">
        <v>39173</v>
      </c>
      <c r="AS263" s="259" t="n">
        <v>33.3485450744629</v>
      </c>
      <c r="AT263" s="259" t="n">
        <v>0</v>
      </c>
      <c r="AU263" s="259" t="n">
        <f aca="false">+AT263+AS263</f>
        <v>33.3485450744629</v>
      </c>
      <c r="BD263" s="259"/>
      <c r="BE263" s="259"/>
      <c r="BF263" s="259"/>
    </row>
    <row r="264" customFormat="false" ht="15" hidden="false" customHeight="false" outlineLevel="0" collapsed="false">
      <c r="AP264" s="21"/>
      <c r="AQ264" s="1"/>
      <c r="AR264" s="258" t="n">
        <v>39203</v>
      </c>
      <c r="AS264" s="259" t="n">
        <v>35.2535667419434</v>
      </c>
      <c r="AT264" s="259" t="n">
        <v>0</v>
      </c>
      <c r="AU264" s="259" t="n">
        <f aca="false">+AT264+AS264</f>
        <v>35.2535667419434</v>
      </c>
      <c r="BD264" s="259"/>
      <c r="BE264" s="259"/>
      <c r="BF264" s="259"/>
    </row>
    <row r="265" customFormat="false" ht="15" hidden="false" customHeight="false" outlineLevel="0" collapsed="false">
      <c r="AP265" s="21"/>
      <c r="AQ265" s="1"/>
      <c r="AR265" s="258" t="n">
        <v>39234</v>
      </c>
      <c r="AS265" s="259" t="n">
        <v>48.4978561401367</v>
      </c>
      <c r="AT265" s="259" t="n">
        <v>0</v>
      </c>
      <c r="AU265" s="259" t="n">
        <f aca="false">+AT265+AS265</f>
        <v>48.4978561401367</v>
      </c>
      <c r="BD265" s="259"/>
      <c r="BE265" s="259"/>
      <c r="BF265" s="259"/>
    </row>
    <row r="266" customFormat="false" ht="15" hidden="false" customHeight="false" outlineLevel="0" collapsed="false">
      <c r="AP266" s="21"/>
      <c r="AQ266" s="1"/>
      <c r="AR266" s="258" t="n">
        <v>39264</v>
      </c>
      <c r="AS266" s="259" t="n">
        <v>72.4971466064453</v>
      </c>
      <c r="AT266" s="259" t="n">
        <v>0</v>
      </c>
      <c r="AU266" s="259" t="n">
        <f aca="false">+AT266+AS266</f>
        <v>72.4971466064453</v>
      </c>
      <c r="BD266" s="259"/>
      <c r="BE266" s="259"/>
      <c r="BF266" s="259"/>
    </row>
    <row r="267" customFormat="false" ht="15" hidden="false" customHeight="false" outlineLevel="0" collapsed="false">
      <c r="AP267" s="21"/>
      <c r="AQ267" s="1"/>
      <c r="AR267" s="258" t="n">
        <v>39295</v>
      </c>
      <c r="AS267" s="259" t="n">
        <v>72.4971466064453</v>
      </c>
      <c r="AT267" s="259" t="n">
        <v>0</v>
      </c>
      <c r="AU267" s="259" t="n">
        <f aca="false">+AT267+AS267</f>
        <v>72.4971466064453</v>
      </c>
      <c r="BD267" s="259"/>
      <c r="BE267" s="259"/>
      <c r="BF267" s="259"/>
    </row>
    <row r="268" customFormat="false" ht="15" hidden="false" customHeight="false" outlineLevel="0" collapsed="false">
      <c r="AP268" s="21"/>
      <c r="AQ268" s="1"/>
      <c r="AR268" s="258" t="n">
        <v>39326</v>
      </c>
      <c r="AS268" s="259" t="n">
        <v>35.0021438598633</v>
      </c>
      <c r="AT268" s="259" t="n">
        <v>0</v>
      </c>
      <c r="AU268" s="259" t="n">
        <f aca="false">+AT268+AS268</f>
        <v>35.0021438598633</v>
      </c>
      <c r="BD268" s="259"/>
      <c r="BE268" s="259"/>
      <c r="BF268" s="259"/>
    </row>
    <row r="269" customFormat="false" ht="15" hidden="false" customHeight="false" outlineLevel="0" collapsed="false">
      <c r="AP269" s="21"/>
      <c r="AQ269" s="1"/>
      <c r="AR269" s="258" t="n">
        <v>39356</v>
      </c>
      <c r="AS269" s="259" t="n">
        <v>33.6489334106445</v>
      </c>
      <c r="AT269" s="259" t="n">
        <v>0</v>
      </c>
      <c r="AU269" s="259" t="n">
        <f aca="false">+AT269+AS269</f>
        <v>33.6489334106445</v>
      </c>
      <c r="BD269" s="259"/>
      <c r="BE269" s="259"/>
      <c r="BF269" s="259"/>
    </row>
    <row r="270" customFormat="false" ht="15" hidden="false" customHeight="false" outlineLevel="0" collapsed="false">
      <c r="AP270" s="21"/>
      <c r="AQ270" s="1"/>
      <c r="AR270" s="258" t="n">
        <v>39387</v>
      </c>
      <c r="AS270" s="259" t="n">
        <v>33.7489318847656</v>
      </c>
      <c r="AT270" s="259" t="n">
        <v>0</v>
      </c>
      <c r="AU270" s="259" t="n">
        <f aca="false">+AT270+AS270</f>
        <v>33.7489318847656</v>
      </c>
      <c r="BD270" s="259"/>
      <c r="BE270" s="259"/>
      <c r="BF270" s="259"/>
    </row>
    <row r="271" customFormat="false" ht="15" hidden="false" customHeight="false" outlineLevel="0" collapsed="false">
      <c r="AP271" s="21"/>
      <c r="AQ271" s="1"/>
      <c r="AR271" s="258" t="n">
        <v>39417</v>
      </c>
      <c r="AS271" s="259" t="n">
        <v>33.8489303588867</v>
      </c>
      <c r="AT271" s="259" t="n">
        <v>0</v>
      </c>
      <c r="AU271" s="259" t="n">
        <f aca="false">+AT271+AS271</f>
        <v>33.8489303588867</v>
      </c>
      <c r="BD271" s="259"/>
      <c r="BE271" s="259"/>
      <c r="BF271" s="259"/>
    </row>
    <row r="272" customFormat="false" ht="15" hidden="false" customHeight="false" outlineLevel="0" collapsed="false">
      <c r="AP272" s="21"/>
      <c r="AQ272" s="1"/>
      <c r="AR272" s="258" t="n">
        <v>39448</v>
      </c>
      <c r="AS272" s="259" t="n">
        <v>42.7878646850586</v>
      </c>
      <c r="AT272" s="259" t="n">
        <v>0</v>
      </c>
      <c r="AU272" s="259" t="n">
        <f aca="false">+AT272+AS272</f>
        <v>42.7878646850586</v>
      </c>
      <c r="BD272" s="259"/>
      <c r="BE272" s="259"/>
      <c r="BF272" s="259"/>
    </row>
    <row r="273" customFormat="false" ht="15" hidden="false" customHeight="false" outlineLevel="0" collapsed="false">
      <c r="AP273" s="21"/>
      <c r="AQ273" s="1"/>
      <c r="AR273" s="258" t="n">
        <v>39479</v>
      </c>
      <c r="AS273" s="259" t="n">
        <v>42.4378623962402</v>
      </c>
      <c r="AT273" s="259" t="n">
        <v>0</v>
      </c>
      <c r="AU273" s="259" t="n">
        <f aca="false">+AT273+AS273</f>
        <v>42.4378623962402</v>
      </c>
      <c r="BD273" s="259"/>
      <c r="BE273" s="259"/>
      <c r="BF273" s="259"/>
    </row>
    <row r="274" customFormat="false" ht="15" hidden="false" customHeight="false" outlineLevel="0" collapsed="false">
      <c r="AP274" s="21"/>
      <c r="AQ274" s="1"/>
      <c r="AR274" s="258" t="n">
        <v>39508</v>
      </c>
      <c r="AS274" s="259" t="n">
        <v>33.6485443115234</v>
      </c>
      <c r="AT274" s="259" t="n">
        <v>0</v>
      </c>
      <c r="AU274" s="259" t="n">
        <f aca="false">+AT274+AS274</f>
        <v>33.6485443115234</v>
      </c>
      <c r="BD274" s="259"/>
      <c r="BE274" s="259"/>
      <c r="BF274" s="259"/>
    </row>
    <row r="275" customFormat="false" ht="15" hidden="false" customHeight="false" outlineLevel="0" collapsed="false">
      <c r="AP275" s="21"/>
      <c r="AQ275" s="1"/>
      <c r="AR275" s="258" t="n">
        <v>39539</v>
      </c>
      <c r="AS275" s="259" t="n">
        <v>33.8485450744629</v>
      </c>
      <c r="AT275" s="259" t="n">
        <v>0</v>
      </c>
      <c r="AU275" s="259" t="n">
        <f aca="false">+AT275+AS275</f>
        <v>33.8485450744629</v>
      </c>
      <c r="BD275" s="259"/>
      <c r="BE275" s="259"/>
      <c r="BF275" s="259"/>
    </row>
    <row r="276" customFormat="false" ht="15" hidden="false" customHeight="false" outlineLevel="0" collapsed="false">
      <c r="AP276" s="21"/>
      <c r="AQ276" s="1"/>
      <c r="AR276" s="258" t="n">
        <v>39569</v>
      </c>
      <c r="AS276" s="259" t="n">
        <v>35.7535667419434</v>
      </c>
      <c r="AT276" s="259" t="n">
        <v>0</v>
      </c>
      <c r="AU276" s="259" t="n">
        <f aca="false">+AT276+AS276</f>
        <v>35.7535667419434</v>
      </c>
      <c r="BD276" s="259"/>
      <c r="BE276" s="259"/>
      <c r="BF276" s="259"/>
    </row>
    <row r="277" customFormat="false" ht="15" hidden="false" customHeight="false" outlineLevel="0" collapsed="false">
      <c r="AP277" s="21"/>
      <c r="AQ277" s="1"/>
      <c r="AR277" s="258" t="n">
        <v>39600</v>
      </c>
      <c r="AS277" s="259" t="n">
        <v>49.2478561401367</v>
      </c>
      <c r="AT277" s="259" t="n">
        <v>0</v>
      </c>
      <c r="AU277" s="259" t="n">
        <f aca="false">+AT277+AS277</f>
        <v>49.2478561401367</v>
      </c>
      <c r="BD277" s="259"/>
      <c r="BE277" s="259"/>
      <c r="BF277" s="259"/>
    </row>
    <row r="278" customFormat="false" ht="15" hidden="false" customHeight="false" outlineLevel="0" collapsed="false">
      <c r="AP278" s="21"/>
      <c r="AQ278" s="1"/>
      <c r="AR278" s="258" t="n">
        <v>39630</v>
      </c>
      <c r="AS278" s="259" t="n">
        <v>73.2471466064453</v>
      </c>
      <c r="AT278" s="259" t="n">
        <v>0</v>
      </c>
      <c r="AU278" s="259" t="n">
        <f aca="false">+AT278+AS278</f>
        <v>73.2471466064453</v>
      </c>
      <c r="BD278" s="259"/>
      <c r="BE278" s="259"/>
      <c r="BF278" s="259"/>
    </row>
    <row r="279" customFormat="false" ht="15" hidden="false" customHeight="false" outlineLevel="0" collapsed="false">
      <c r="AP279" s="21"/>
      <c r="AQ279" s="1"/>
      <c r="AR279" s="258" t="n">
        <v>39661</v>
      </c>
      <c r="AS279" s="259" t="n">
        <v>73.2471466064453</v>
      </c>
      <c r="AT279" s="259" t="n">
        <v>0</v>
      </c>
      <c r="AU279" s="259" t="n">
        <f aca="false">+AT279+AS279</f>
        <v>73.2471466064453</v>
      </c>
      <c r="BD279" s="259"/>
      <c r="BE279" s="259"/>
      <c r="BF279" s="259"/>
    </row>
    <row r="280" customFormat="false" ht="15" hidden="false" customHeight="false" outlineLevel="0" collapsed="false">
      <c r="AP280" s="21"/>
      <c r="AQ280" s="1"/>
      <c r="AR280" s="258" t="n">
        <v>39692</v>
      </c>
      <c r="AS280" s="259" t="n">
        <v>35.5021438598633</v>
      </c>
      <c r="AT280" s="259" t="n">
        <v>0</v>
      </c>
      <c r="AU280" s="259" t="n">
        <f aca="false">+AT280+AS280</f>
        <v>35.5021438598633</v>
      </c>
      <c r="BD280" s="259"/>
      <c r="BE280" s="259"/>
      <c r="BF280" s="259"/>
    </row>
    <row r="281" customFormat="false" ht="15" hidden="false" customHeight="false" outlineLevel="0" collapsed="false">
      <c r="AP281" s="21"/>
      <c r="AQ281" s="1"/>
      <c r="AR281" s="258" t="n">
        <v>39722</v>
      </c>
      <c r="AS281" s="259" t="n">
        <v>34.1489334106445</v>
      </c>
      <c r="AT281" s="259" t="n">
        <v>0</v>
      </c>
      <c r="AU281" s="259" t="n">
        <f aca="false">+AT281+AS281</f>
        <v>34.1489334106445</v>
      </c>
      <c r="BD281" s="259"/>
      <c r="BE281" s="259"/>
      <c r="BF281" s="259"/>
    </row>
    <row r="282" customFormat="false" ht="15" hidden="false" customHeight="false" outlineLevel="0" collapsed="false">
      <c r="AP282" s="21"/>
      <c r="AQ282" s="1"/>
      <c r="AR282" s="258" t="n">
        <v>39753</v>
      </c>
      <c r="AS282" s="259" t="n">
        <v>34.2489318847656</v>
      </c>
      <c r="AT282" s="259" t="n">
        <v>0</v>
      </c>
      <c r="AU282" s="259" t="n">
        <f aca="false">+AT282+AS282</f>
        <v>34.2489318847656</v>
      </c>
      <c r="BD282" s="259"/>
      <c r="BE282" s="259"/>
      <c r="BF282" s="259"/>
    </row>
    <row r="283" customFormat="false" ht="15" hidden="false" customHeight="false" outlineLevel="0" collapsed="false">
      <c r="AP283" s="21"/>
      <c r="AQ283" s="1"/>
      <c r="AR283" s="258" t="n">
        <v>39783</v>
      </c>
      <c r="AS283" s="259" t="n">
        <v>34.3489303588867</v>
      </c>
      <c r="AT283" s="259" t="n">
        <v>0</v>
      </c>
      <c r="AU283" s="259" t="n">
        <f aca="false">+AT283+AS283</f>
        <v>34.3489303588867</v>
      </c>
      <c r="BD283" s="259"/>
      <c r="BE283" s="259"/>
      <c r="BF283" s="259"/>
    </row>
    <row r="284" customFormat="false" ht="15" hidden="false" customHeight="false" outlineLevel="0" collapsed="false">
      <c r="AP284" s="21"/>
      <c r="AQ284" s="1"/>
      <c r="AR284" s="258" t="n">
        <v>39814</v>
      </c>
      <c r="AS284" s="259" t="n">
        <v>43.2878646850586</v>
      </c>
      <c r="AT284" s="259" t="n">
        <v>0</v>
      </c>
      <c r="AU284" s="259" t="n">
        <f aca="false">+AT284+AS284</f>
        <v>43.2878646850586</v>
      </c>
      <c r="BD284" s="259"/>
      <c r="BE284" s="259"/>
      <c r="BF284" s="259"/>
    </row>
    <row r="285" customFormat="false" ht="15" hidden="false" customHeight="false" outlineLevel="0" collapsed="false">
      <c r="AP285" s="21"/>
      <c r="AQ285" s="1"/>
      <c r="AR285" s="258" t="n">
        <v>39845</v>
      </c>
      <c r="AS285" s="259" t="n">
        <v>42.9378623962402</v>
      </c>
      <c r="AT285" s="259" t="n">
        <v>0</v>
      </c>
      <c r="AU285" s="259" t="n">
        <f aca="false">+AT285+AS285</f>
        <v>42.9378623962402</v>
      </c>
      <c r="BD285" s="259"/>
      <c r="BE285" s="259"/>
      <c r="BF285" s="259"/>
    </row>
    <row r="286" customFormat="false" ht="15" hidden="false" customHeight="false" outlineLevel="0" collapsed="false">
      <c r="AP286" s="21"/>
      <c r="AQ286" s="1"/>
      <c r="AR286" s="258" t="n">
        <v>39873</v>
      </c>
      <c r="AS286" s="259" t="n">
        <v>34.1485443115234</v>
      </c>
      <c r="AT286" s="259" t="n">
        <v>0</v>
      </c>
      <c r="AU286" s="259" t="n">
        <f aca="false">+AT286+AS286</f>
        <v>34.1485443115234</v>
      </c>
      <c r="BD286" s="259"/>
      <c r="BE286" s="259"/>
      <c r="BF286" s="259"/>
    </row>
    <row r="287" customFormat="false" ht="15" hidden="false" customHeight="false" outlineLevel="0" collapsed="false">
      <c r="AP287" s="21"/>
      <c r="AQ287" s="1"/>
      <c r="AR287" s="258" t="n">
        <v>39904</v>
      </c>
      <c r="AS287" s="259" t="n">
        <v>34.3485450744629</v>
      </c>
      <c r="AT287" s="259" t="n">
        <v>0</v>
      </c>
      <c r="AU287" s="259" t="n">
        <f aca="false">+AT287+AS287</f>
        <v>34.3485450744629</v>
      </c>
      <c r="BD287" s="259"/>
      <c r="BE287" s="259"/>
      <c r="BF287" s="259"/>
    </row>
    <row r="288" customFormat="false" ht="15" hidden="false" customHeight="false" outlineLevel="0" collapsed="false">
      <c r="AP288" s="21"/>
      <c r="AQ288" s="1"/>
      <c r="AR288" s="258" t="n">
        <v>39934</v>
      </c>
      <c r="AS288" s="259" t="n">
        <v>36.2535667419434</v>
      </c>
      <c r="AT288" s="259" t="n">
        <v>0</v>
      </c>
      <c r="AU288" s="259" t="n">
        <f aca="false">+AT288+AS288</f>
        <v>36.2535667419434</v>
      </c>
      <c r="BD288" s="259"/>
      <c r="BE288" s="259"/>
      <c r="BF288" s="259"/>
    </row>
    <row r="289" customFormat="false" ht="15" hidden="false" customHeight="false" outlineLevel="0" collapsed="false">
      <c r="AP289" s="21"/>
      <c r="AQ289" s="1"/>
      <c r="AR289" s="258" t="n">
        <v>39965</v>
      </c>
      <c r="AS289" s="259" t="n">
        <v>50.2478561401367</v>
      </c>
      <c r="AT289" s="259" t="n">
        <v>0</v>
      </c>
      <c r="AU289" s="259" t="n">
        <f aca="false">+AT289+AS289</f>
        <v>50.2478561401367</v>
      </c>
      <c r="BD289" s="259"/>
      <c r="BE289" s="259"/>
      <c r="BF289" s="259"/>
    </row>
    <row r="290" customFormat="false" ht="15" hidden="false" customHeight="false" outlineLevel="0" collapsed="false">
      <c r="AP290" s="21"/>
      <c r="AQ290" s="1"/>
      <c r="AR290" s="258" t="n">
        <v>39995</v>
      </c>
      <c r="AS290" s="259" t="n">
        <v>75.2471466064453</v>
      </c>
      <c r="AT290" s="259" t="n">
        <v>0</v>
      </c>
      <c r="AU290" s="259" t="n">
        <f aca="false">+AT290+AS290</f>
        <v>75.2471466064453</v>
      </c>
      <c r="BD290" s="259"/>
      <c r="BE290" s="259"/>
      <c r="BF290" s="259"/>
    </row>
    <row r="291" customFormat="false" ht="15" hidden="false" customHeight="false" outlineLevel="0" collapsed="false">
      <c r="AP291" s="21"/>
      <c r="AQ291" s="1"/>
      <c r="AR291" s="258" t="n">
        <v>40026</v>
      </c>
      <c r="AS291" s="259" t="n">
        <v>75.2471466064453</v>
      </c>
      <c r="AT291" s="259" t="n">
        <v>0</v>
      </c>
      <c r="AU291" s="259" t="n">
        <f aca="false">+AT291+AS291</f>
        <v>75.2471466064453</v>
      </c>
      <c r="BD291" s="259"/>
      <c r="BE291" s="259"/>
      <c r="BF291" s="259"/>
    </row>
    <row r="292" customFormat="false" ht="15" hidden="false" customHeight="false" outlineLevel="0" collapsed="false">
      <c r="AP292" s="21"/>
      <c r="AQ292" s="1"/>
      <c r="AR292" s="258" t="n">
        <v>40057</v>
      </c>
      <c r="AS292" s="259" t="n">
        <v>36.0021438598633</v>
      </c>
      <c r="AT292" s="259" t="n">
        <v>0</v>
      </c>
      <c r="AU292" s="259" t="n">
        <f aca="false">+AT292+AS292</f>
        <v>36.0021438598633</v>
      </c>
      <c r="BD292" s="259"/>
      <c r="BE292" s="259"/>
      <c r="BF292" s="259"/>
    </row>
    <row r="293" customFormat="false" ht="15" hidden="false" customHeight="false" outlineLevel="0" collapsed="false">
      <c r="AP293" s="21"/>
      <c r="AQ293" s="1"/>
      <c r="AR293" s="258" t="n">
        <v>40087</v>
      </c>
      <c r="AS293" s="259" t="n">
        <v>34.6489334106445</v>
      </c>
      <c r="AT293" s="259" t="n">
        <v>0</v>
      </c>
      <c r="AU293" s="259" t="n">
        <f aca="false">+AT293+AS293</f>
        <v>34.6489334106445</v>
      </c>
      <c r="BD293" s="259"/>
      <c r="BE293" s="259"/>
      <c r="BF293" s="259"/>
    </row>
    <row r="294" customFormat="false" ht="15" hidden="false" customHeight="false" outlineLevel="0" collapsed="false">
      <c r="AP294" s="21"/>
      <c r="AQ294" s="1"/>
      <c r="AR294" s="258" t="n">
        <v>40118</v>
      </c>
      <c r="AS294" s="259" t="n">
        <v>34.7489318847656</v>
      </c>
      <c r="AT294" s="259" t="n">
        <v>0</v>
      </c>
      <c r="AU294" s="259" t="n">
        <f aca="false">+AT294+AS294</f>
        <v>34.7489318847656</v>
      </c>
      <c r="BD294" s="259"/>
      <c r="BE294" s="259"/>
      <c r="BF294" s="259"/>
    </row>
    <row r="295" customFormat="false" ht="15" hidden="false" customHeight="false" outlineLevel="0" collapsed="false">
      <c r="AP295" s="21"/>
      <c r="AQ295" s="1"/>
      <c r="AR295" s="258" t="n">
        <v>40148</v>
      </c>
      <c r="AS295" s="259" t="n">
        <v>34.8489303588867</v>
      </c>
      <c r="AT295" s="259" t="n">
        <v>0</v>
      </c>
      <c r="AU295" s="259" t="n">
        <f aca="false">+AT295+AS295</f>
        <v>34.8489303588867</v>
      </c>
      <c r="BD295" s="259"/>
      <c r="BE295" s="259"/>
      <c r="BF295" s="259"/>
    </row>
    <row r="296" customFormat="false" ht="15" hidden="false" customHeight="false" outlineLevel="0" collapsed="false">
      <c r="AP296" s="21"/>
      <c r="AQ296" s="1"/>
      <c r="AR296" s="258" t="n">
        <v>40179</v>
      </c>
      <c r="AS296" s="259" t="n">
        <v>43.7878646850586</v>
      </c>
      <c r="AT296" s="259" t="n">
        <v>0</v>
      </c>
      <c r="AU296" s="259" t="n">
        <f aca="false">+AT296+AS296</f>
        <v>43.7878646850586</v>
      </c>
      <c r="BD296" s="259"/>
      <c r="BE296" s="259"/>
      <c r="BF296" s="259"/>
    </row>
    <row r="297" customFormat="false" ht="15" hidden="false" customHeight="false" outlineLevel="0" collapsed="false">
      <c r="AP297" s="21"/>
      <c r="AQ297" s="1"/>
      <c r="AR297" s="258" t="n">
        <v>40210</v>
      </c>
      <c r="AS297" s="259" t="n">
        <v>43.4378623962402</v>
      </c>
      <c r="AT297" s="259" t="n">
        <v>0</v>
      </c>
      <c r="AU297" s="259" t="n">
        <f aca="false">+AT297+AS297</f>
        <v>43.4378623962402</v>
      </c>
      <c r="BD297" s="259"/>
      <c r="BE297" s="259"/>
      <c r="BF297" s="259"/>
    </row>
    <row r="298" customFormat="false" ht="15" hidden="false" customHeight="false" outlineLevel="0" collapsed="false">
      <c r="AP298" s="21"/>
      <c r="AQ298" s="1"/>
      <c r="AR298" s="258" t="n">
        <v>40238</v>
      </c>
      <c r="AS298" s="259" t="n">
        <v>34.6485443115234</v>
      </c>
      <c r="AT298" s="259" t="n">
        <v>0</v>
      </c>
      <c r="AU298" s="259" t="n">
        <f aca="false">+AT298+AS298</f>
        <v>34.6485443115234</v>
      </c>
      <c r="BD298" s="259"/>
      <c r="BE298" s="259"/>
      <c r="BF298" s="259"/>
    </row>
    <row r="299" customFormat="false" ht="15" hidden="false" customHeight="false" outlineLevel="0" collapsed="false">
      <c r="AP299" s="21"/>
      <c r="AQ299" s="1"/>
      <c r="AR299" s="258" t="n">
        <v>40269</v>
      </c>
      <c r="AS299" s="259" t="n">
        <v>34.8485450744629</v>
      </c>
      <c r="AT299" s="259" t="n">
        <v>0</v>
      </c>
      <c r="AU299" s="259" t="n">
        <f aca="false">+AT299+AS299</f>
        <v>34.8485450744629</v>
      </c>
      <c r="BD299" s="259"/>
      <c r="BE299" s="259"/>
      <c r="BF299" s="259"/>
    </row>
    <row r="300" customFormat="false" ht="15" hidden="false" customHeight="false" outlineLevel="0" collapsed="false">
      <c r="AP300" s="21"/>
      <c r="AQ300" s="1"/>
      <c r="AR300" s="258" t="n">
        <v>40299</v>
      </c>
      <c r="AS300" s="259" t="n">
        <v>36.7535667419434</v>
      </c>
      <c r="AT300" s="259" t="n">
        <v>0</v>
      </c>
      <c r="AU300" s="259" t="n">
        <f aca="false">+AT300+AS300</f>
        <v>36.7535667419434</v>
      </c>
      <c r="BD300" s="259"/>
      <c r="BE300" s="259"/>
      <c r="BF300" s="259"/>
    </row>
    <row r="301" customFormat="false" ht="15" hidden="false" customHeight="false" outlineLevel="0" collapsed="false">
      <c r="AP301" s="21"/>
      <c r="AQ301" s="1"/>
      <c r="AR301" s="258" t="n">
        <v>40330</v>
      </c>
      <c r="AS301" s="259" t="n">
        <v>51.2478561401367</v>
      </c>
      <c r="AT301" s="259" t="n">
        <v>0</v>
      </c>
      <c r="AU301" s="259" t="n">
        <f aca="false">+AT301+AS301</f>
        <v>51.2478561401367</v>
      </c>
      <c r="BD301" s="259"/>
      <c r="BE301" s="259"/>
      <c r="BF301" s="259"/>
    </row>
    <row r="302" customFormat="false" ht="15" hidden="false" customHeight="false" outlineLevel="0" collapsed="false">
      <c r="AP302" s="21"/>
      <c r="AQ302" s="1"/>
      <c r="AR302" s="258" t="n">
        <v>40360</v>
      </c>
      <c r="AS302" s="259" t="n">
        <v>77.2471466064453</v>
      </c>
      <c r="AT302" s="259" t="n">
        <v>0</v>
      </c>
      <c r="AU302" s="259" t="n">
        <f aca="false">+AT302+AS302</f>
        <v>77.2471466064453</v>
      </c>
      <c r="BD302" s="259"/>
      <c r="BE302" s="259"/>
      <c r="BF302" s="259"/>
    </row>
    <row r="303" customFormat="false" ht="15" hidden="false" customHeight="false" outlineLevel="0" collapsed="false">
      <c r="AP303" s="21"/>
      <c r="AQ303" s="1"/>
      <c r="AR303" s="258" t="n">
        <v>40391</v>
      </c>
      <c r="AS303" s="259" t="n">
        <v>77.2471466064453</v>
      </c>
      <c r="AT303" s="259" t="n">
        <v>0</v>
      </c>
      <c r="AU303" s="259" t="n">
        <f aca="false">+AT303+AS303</f>
        <v>77.2471466064453</v>
      </c>
      <c r="BD303" s="259"/>
      <c r="BE303" s="259"/>
      <c r="BF303" s="259"/>
    </row>
    <row r="304" customFormat="false" ht="15" hidden="false" customHeight="false" outlineLevel="0" collapsed="false">
      <c r="AP304" s="21"/>
      <c r="AQ304" s="1"/>
      <c r="AR304" s="258" t="n">
        <v>40422</v>
      </c>
      <c r="AS304" s="259" t="n">
        <v>36.5021438598633</v>
      </c>
      <c r="AT304" s="259" t="n">
        <v>0</v>
      </c>
      <c r="AU304" s="259" t="n">
        <f aca="false">+AT304+AS304</f>
        <v>36.5021438598633</v>
      </c>
      <c r="BD304" s="259"/>
      <c r="BE304" s="259"/>
      <c r="BF304" s="259"/>
    </row>
    <row r="305" customFormat="false" ht="15" hidden="false" customHeight="false" outlineLevel="0" collapsed="false">
      <c r="AP305" s="21"/>
      <c r="AQ305" s="1"/>
      <c r="AR305" s="258" t="n">
        <v>40452</v>
      </c>
      <c r="AS305" s="259" t="n">
        <v>35.1489334106445</v>
      </c>
      <c r="AT305" s="259" t="n">
        <v>0</v>
      </c>
      <c r="AU305" s="259" t="n">
        <f aca="false">+AT305+AS305</f>
        <v>35.1489334106445</v>
      </c>
      <c r="BD305" s="259"/>
      <c r="BE305" s="259"/>
      <c r="BF305" s="259"/>
    </row>
    <row r="306" customFormat="false" ht="15" hidden="false" customHeight="false" outlineLevel="0" collapsed="false">
      <c r="AP306" s="21"/>
      <c r="AQ306" s="1"/>
      <c r="AR306" s="258" t="n">
        <v>40483</v>
      </c>
      <c r="AS306" s="259" t="n">
        <v>35.2489318847656</v>
      </c>
      <c r="AT306" s="259" t="n">
        <v>0</v>
      </c>
      <c r="AU306" s="259" t="n">
        <f aca="false">+AT306+AS306</f>
        <v>35.2489318847656</v>
      </c>
      <c r="BD306" s="259"/>
      <c r="BE306" s="259"/>
      <c r="BF306" s="259"/>
    </row>
    <row r="307" customFormat="false" ht="15" hidden="false" customHeight="false" outlineLevel="0" collapsed="false">
      <c r="AP307" s="21"/>
      <c r="AQ307" s="1"/>
      <c r="AR307" s="258" t="n">
        <v>40513</v>
      </c>
      <c r="AS307" s="259" t="n">
        <v>35.3489303588867</v>
      </c>
      <c r="AT307" s="259" t="n">
        <v>0</v>
      </c>
      <c r="AU307" s="259" t="n">
        <f aca="false">+AT307+AS307</f>
        <v>35.3489303588867</v>
      </c>
      <c r="BD307" s="259"/>
      <c r="BE307" s="259"/>
      <c r="BF307" s="259"/>
    </row>
    <row r="308" customFormat="false" ht="15" hidden="false" customHeight="false" outlineLevel="0" collapsed="false">
      <c r="AP308" s="1"/>
      <c r="AQ308" s="1"/>
      <c r="AR308" s="1"/>
      <c r="AS308" s="1"/>
      <c r="AT308" s="1"/>
      <c r="AU308" s="1"/>
      <c r="BD308" s="259"/>
      <c r="BE308" s="259"/>
      <c r="BF308" s="259"/>
    </row>
    <row r="309" customFormat="false" ht="15" hidden="false" customHeight="false" outlineLevel="0" collapsed="false">
      <c r="AP309" s="1"/>
      <c r="AQ309" s="1"/>
      <c r="AR309" s="1"/>
      <c r="AS309" s="1"/>
      <c r="AT309" s="1"/>
      <c r="AU309" s="1"/>
      <c r="BD309" s="259"/>
      <c r="BE309" s="259"/>
      <c r="BF309" s="259"/>
    </row>
    <row r="310" customFormat="false" ht="15" hidden="false" customHeight="false" outlineLevel="0" collapsed="false">
      <c r="AP310" s="1"/>
      <c r="AQ310" s="1"/>
      <c r="AR310" s="1"/>
      <c r="AS310" s="1"/>
      <c r="AT310" s="1"/>
      <c r="AU310" s="1"/>
      <c r="BD310" s="259"/>
      <c r="BE310" s="259"/>
      <c r="BF310" s="259"/>
    </row>
    <row r="311" customFormat="false" ht="15" hidden="false" customHeight="false" outlineLevel="0" collapsed="false">
      <c r="AP311" s="1"/>
      <c r="AQ311" s="1"/>
      <c r="AR311" s="1"/>
      <c r="AS311" s="1"/>
      <c r="AT311" s="1"/>
      <c r="AU311" s="1"/>
      <c r="BD311" s="259"/>
      <c r="BE311" s="259"/>
      <c r="BF311" s="259"/>
    </row>
    <row r="312" customFormat="false" ht="15" hidden="false" customHeight="false" outlineLevel="0" collapsed="false">
      <c r="AP312" s="1"/>
      <c r="AQ312" s="1"/>
      <c r="AR312" s="1"/>
      <c r="AS312" s="1"/>
      <c r="AT312" s="1"/>
      <c r="AU312" s="1"/>
      <c r="BD312" s="259"/>
      <c r="BE312" s="259"/>
      <c r="BF312" s="259"/>
    </row>
    <row r="313" customFormat="false" ht="15" hidden="false" customHeight="false" outlineLevel="0" collapsed="false">
      <c r="AP313" s="1"/>
      <c r="AQ313" s="1"/>
      <c r="AR313" s="1"/>
      <c r="AS313" s="1"/>
      <c r="AT313" s="1"/>
      <c r="AU313" s="1"/>
      <c r="BD313" s="259"/>
      <c r="BE313" s="259"/>
      <c r="BF313" s="259"/>
    </row>
    <row r="314" customFormat="false" ht="15" hidden="false" customHeight="false" outlineLevel="0" collapsed="false">
      <c r="AP314" s="1"/>
      <c r="AQ314" s="1"/>
      <c r="AR314" s="1"/>
      <c r="AS314" s="1"/>
      <c r="AT314" s="1"/>
      <c r="AU314" s="1"/>
      <c r="BD314" s="259"/>
      <c r="BE314" s="259"/>
      <c r="BF314" s="259"/>
    </row>
    <row r="315" customFormat="false" ht="15" hidden="false" customHeight="false" outlineLevel="0" collapsed="false">
      <c r="AP315" s="1"/>
      <c r="AQ315" s="1"/>
      <c r="AR315" s="1"/>
      <c r="AS315" s="1"/>
      <c r="AT315" s="1"/>
      <c r="AU315" s="1"/>
      <c r="BD315" s="259"/>
      <c r="BE315" s="259"/>
      <c r="BF315" s="259"/>
    </row>
    <row r="316" customFormat="false" ht="15" hidden="false" customHeight="false" outlineLevel="0" collapsed="false">
      <c r="AP316" s="1"/>
      <c r="AQ316" s="1"/>
      <c r="AR316" s="1"/>
      <c r="AS316" s="1"/>
      <c r="AT316" s="1"/>
      <c r="AU316" s="1"/>
      <c r="BD316" s="259"/>
      <c r="BE316" s="259"/>
      <c r="BF316" s="259"/>
    </row>
    <row r="317" customFormat="false" ht="15" hidden="false" customHeight="false" outlineLevel="0" collapsed="false">
      <c r="AP317" s="1"/>
      <c r="AQ317" s="1"/>
      <c r="AR317" s="1"/>
      <c r="AS317" s="1"/>
      <c r="AT317" s="1"/>
      <c r="AU317" s="1"/>
      <c r="BD317" s="259"/>
      <c r="BE317" s="259"/>
      <c r="BF317" s="259"/>
    </row>
    <row r="318" customFormat="false" ht="15" hidden="false" customHeight="false" outlineLevel="0" collapsed="false">
      <c r="AP318" s="1"/>
      <c r="AQ318" s="1"/>
      <c r="AR318" s="1"/>
      <c r="AS318" s="1"/>
      <c r="AT318" s="1"/>
      <c r="AU318" s="1"/>
      <c r="BD318" s="259"/>
      <c r="BE318" s="259"/>
      <c r="BF318" s="259"/>
    </row>
    <row r="319" customFormat="false" ht="12.75" hidden="false" customHeight="false" outlineLevel="0" collapsed="false">
      <c r="AP319" s="1"/>
      <c r="AQ319" s="1"/>
      <c r="AR319" s="1"/>
      <c r="AS319" s="1"/>
      <c r="AT319" s="1"/>
      <c r="AU319" s="1"/>
      <c r="BD319" s="1"/>
      <c r="BE319" s="1"/>
      <c r="BF319" s="1"/>
    </row>
    <row r="320" customFormat="false" ht="12.75" hidden="false" customHeight="false" outlineLevel="0" collapsed="false">
      <c r="AP320" s="1"/>
      <c r="AQ320" s="1"/>
      <c r="AR320" s="1"/>
      <c r="AS320" s="1"/>
      <c r="AT320" s="1"/>
      <c r="AU320" s="1"/>
      <c r="BD320" s="1"/>
      <c r="BE320" s="1"/>
      <c r="BF320" s="1"/>
    </row>
    <row r="321" customFormat="false" ht="12.75" hidden="false" customHeight="false" outlineLevel="0" collapsed="false">
      <c r="AP321" s="1"/>
      <c r="AQ321" s="1"/>
      <c r="AR321" s="1"/>
      <c r="AS321" s="1"/>
      <c r="AT321" s="1"/>
      <c r="AU321" s="1"/>
      <c r="BD321" s="1"/>
      <c r="BE321" s="1"/>
      <c r="BF321" s="1"/>
    </row>
    <row r="322" customFormat="false" ht="12.75" hidden="false" customHeight="false" outlineLevel="0" collapsed="false">
      <c r="AP322" s="1"/>
      <c r="AQ322" s="1"/>
      <c r="AR322" s="1"/>
      <c r="AS322" s="1"/>
      <c r="AT322" s="1"/>
      <c r="AU322" s="1"/>
      <c r="BD322" s="1"/>
      <c r="BE322" s="1"/>
      <c r="BF322" s="1"/>
    </row>
    <row r="323" customFormat="false" ht="12.75" hidden="false" customHeight="false" outlineLevel="0" collapsed="false">
      <c r="AP323" s="1"/>
      <c r="AQ323" s="1"/>
      <c r="AR323" s="1"/>
      <c r="AS323" s="1"/>
      <c r="AT323" s="1"/>
      <c r="AU323" s="1"/>
      <c r="BD323" s="1"/>
      <c r="BE323" s="1"/>
      <c r="BF323" s="1"/>
    </row>
    <row r="324" customFormat="false" ht="12.75" hidden="false" customHeight="false" outlineLevel="0" collapsed="false">
      <c r="AP324" s="1"/>
      <c r="AQ324" s="1"/>
      <c r="AR324" s="1"/>
      <c r="AS324" s="1"/>
      <c r="AT324" s="1"/>
      <c r="AU324" s="1"/>
      <c r="BD324" s="1"/>
      <c r="BE324" s="1"/>
      <c r="BF324" s="1"/>
    </row>
  </sheetData>
  <printOptions headings="false" gridLines="false" gridLinesSet="true" horizontalCentered="true" verticalCentered="tru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6"/>
  <sheetViews>
    <sheetView showFormulas="false" showGridLines="true" showRowColHeaders="true" showZeros="true" rightToLeft="false" tabSelected="true" showOutlineSymbols="true" defaultGridColor="true" view="normal" topLeftCell="A1" colorId="64" zoomScale="87" zoomScaleNormal="87" zoomScalePageLayoutView="100" workbookViewId="0">
      <pane xSplit="0" ySplit="6180" topLeftCell="BM50" activePane="topLeft" state="split"/>
      <selection pane="topLeft" activeCell="A1" activeCellId="0" sqref="A1"/>
      <selection pane="bottomLeft" activeCell="A50" activeCellId="0" sqref="A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1" width="11.7"/>
    <col collapsed="false" customWidth="true" hidden="false" outlineLevel="0" max="2" min="2" style="261" width="11.28"/>
    <col collapsed="false" customWidth="true" hidden="false" outlineLevel="0" max="3" min="3" style="261" width="11.56"/>
    <col collapsed="false" customWidth="true" hidden="false" outlineLevel="0" max="4" min="4" style="261" width="11.7"/>
    <col collapsed="false" customWidth="true" hidden="false" outlineLevel="0" max="5" min="5" style="261" width="11.56"/>
    <col collapsed="false" customWidth="true" hidden="false" outlineLevel="0" max="6" min="6" style="261" width="10.85"/>
    <col collapsed="false" customWidth="true" hidden="false" outlineLevel="0" max="7" min="7" style="261" width="11.7"/>
    <col collapsed="false" customWidth="true" hidden="false" outlineLevel="0" max="8" min="8" style="261" width="12.28"/>
    <col collapsed="false" customWidth="true" hidden="false" outlineLevel="0" max="9" min="9" style="261" width="11.42"/>
    <col collapsed="false" customWidth="true" hidden="false" outlineLevel="0" max="10" min="10" style="261" width="11.7"/>
    <col collapsed="false" customWidth="true" hidden="false" outlineLevel="0" max="11" min="11" style="261" width="10.41"/>
    <col collapsed="false" customWidth="true" hidden="false" outlineLevel="0" max="12" min="12" style="261" width="11.28"/>
    <col collapsed="false" customWidth="true" hidden="false" outlineLevel="0" max="13" min="13" style="261" width="10.99"/>
    <col collapsed="false" customWidth="true" hidden="false" outlineLevel="0" max="14" min="14" style="261" width="10.28"/>
    <col collapsed="false" customWidth="true" hidden="false" outlineLevel="0" max="16" min="15" style="261" width="10.71"/>
    <col collapsed="false" customWidth="true" hidden="false" outlineLevel="0" max="17" min="17" style="261" width="12.28"/>
    <col collapsed="false" customWidth="true" hidden="false" outlineLevel="0" max="22" min="18" style="261" width="10.71"/>
    <col collapsed="false" customWidth="true" hidden="false" outlineLevel="0" max="23" min="23" style="262" width="10.71"/>
    <col collapsed="false" customWidth="true" hidden="false" outlineLevel="0" max="24" min="24" style="263" width="12.42"/>
    <col collapsed="false" customWidth="true" hidden="false" outlineLevel="0" max="25" min="25" style="261" width="10.71"/>
    <col collapsed="false" customWidth="true" hidden="false" outlineLevel="0" max="27" min="26" style="16" width="10.71"/>
    <col collapsed="false" customWidth="true" hidden="false" outlineLevel="0" max="29" min="28" style="263" width="12.42"/>
    <col collapsed="false" customWidth="true" hidden="false" outlineLevel="0" max="32" min="30" style="261" width="10.71"/>
    <col collapsed="false" customWidth="true" hidden="false" outlineLevel="0" max="33" min="33" style="263" width="12.42"/>
    <col collapsed="false" customWidth="true" hidden="false" outlineLevel="0" max="36" min="34" style="261" width="10.71"/>
    <col collapsed="false" customWidth="false" hidden="false" outlineLevel="0" max="39" min="37" style="261" width="9.14"/>
    <col collapsed="false" customWidth="true" hidden="true" outlineLevel="0" max="40" min="40" style="261" width="10.41"/>
    <col collapsed="false" customWidth="false" hidden="false" outlineLevel="0" max="41" min="41" style="261" width="9.14"/>
    <col collapsed="false" customWidth="true" hidden="false" outlineLevel="0" max="42" min="42" style="261" width="10.41"/>
    <col collapsed="false" customWidth="false" hidden="false" outlineLevel="0" max="43" min="43" style="261" width="9.14"/>
    <col collapsed="false" customWidth="false" hidden="false" outlineLevel="0" max="44" min="44" style="264" width="9.14"/>
    <col collapsed="false" customWidth="false" hidden="false" outlineLevel="0" max="257" min="45" style="261" width="9.14"/>
  </cols>
  <sheetData>
    <row r="1" customFormat="false" ht="13.5" hidden="false" customHeight="false" outlineLevel="0" collapsed="false">
      <c r="A1" s="265" t="s">
        <v>169</v>
      </c>
      <c r="B1" s="266" t="n">
        <f aca="false">+'EOL LINKS'!H35</f>
        <v>2.34</v>
      </c>
      <c r="C1" s="267" t="s">
        <v>170</v>
      </c>
      <c r="D1" s="268" t="s">
        <v>171</v>
      </c>
      <c r="E1" s="268" t="s">
        <v>172</v>
      </c>
      <c r="F1" s="268" t="s">
        <v>173</v>
      </c>
      <c r="G1" s="268" t="s">
        <v>174</v>
      </c>
      <c r="H1" s="269" t="s">
        <v>50</v>
      </c>
      <c r="I1" s="11"/>
      <c r="J1" s="270" t="n">
        <f aca="false">TradeSum!CF96+Term!E21+343697.5+57111-98758-199+100213-1558624.5</f>
        <v>249537.49047569</v>
      </c>
      <c r="K1" s="270" t="n">
        <f aca="false">+J1*0.0009</f>
        <v>224.583741428121</v>
      </c>
      <c r="L1" s="30" t="n">
        <f aca="false">SUM(C53:P58)+Total!AA44+Term!I21</f>
        <v>-1091.49999999999</v>
      </c>
      <c r="M1" s="271" t="n">
        <f aca="false">+L1+K1</f>
        <v>-866.916258571867</v>
      </c>
      <c r="N1" s="272" t="n">
        <f aca="false">+L2-N2</f>
        <v>-0.004</v>
      </c>
    </row>
    <row r="2" customFormat="false" ht="12.75" hidden="false" customHeight="false" outlineLevel="0" collapsed="false">
      <c r="A2" s="273" t="s">
        <v>175</v>
      </c>
      <c r="B2" s="274" t="s">
        <v>176</v>
      </c>
      <c r="C2" s="275" t="n">
        <f aca="false">+A51+(J2*K2*10000)+(J3*K3*10000)+(J4*K4*10000)+(J5*K5*10000)+(M5*N5*10000)</f>
        <v>-98975.0000000008</v>
      </c>
      <c r="D2" s="276" t="n">
        <f aca="false">TradeSum!H4</f>
        <v>0</v>
      </c>
      <c r="E2" s="276" t="n">
        <f aca="false">TradeSum!I4</f>
        <v>1850210.69869074</v>
      </c>
      <c r="F2" s="276" t="n">
        <f aca="false">TradeSum!J4+(B14*L14*368)</f>
        <v>422208.942630485</v>
      </c>
      <c r="G2" s="276" t="n">
        <f aca="false">SUM([1]OtherPosn!$Q$3:$Q$255)</f>
        <v>0</v>
      </c>
      <c r="H2" s="277" t="n">
        <f aca="false">SUM(C2:G2)</f>
        <v>2173444.64132122</v>
      </c>
      <c r="I2" s="278" t="s">
        <v>177</v>
      </c>
      <c r="J2" s="279" t="n">
        <f aca="false">AVERAGE(V63:V71)</f>
        <v>0.00333333333333333</v>
      </c>
      <c r="K2" s="280" t="n">
        <f aca="false">SUM(Total!W53:W61)</f>
        <v>-1140</v>
      </c>
      <c r="L2" s="281" t="n">
        <v>3.16</v>
      </c>
      <c r="M2" s="282" t="n">
        <f aca="false">+Term!J21</f>
        <v>-1655.36656531772</v>
      </c>
      <c r="N2" s="283" t="n">
        <v>3.164</v>
      </c>
    </row>
    <row r="3" customFormat="false" ht="13.5" hidden="false" customHeight="false" outlineLevel="0" collapsed="false">
      <c r="A3" s="284" t="n">
        <f aca="false">+'EOL LINKS'!H34</f>
        <v>2.3</v>
      </c>
      <c r="B3" s="274" t="s">
        <v>95</v>
      </c>
      <c r="C3" s="275" t="n">
        <f aca="false">+A52+Total!AF44</f>
        <v>-143128.571428238</v>
      </c>
      <c r="D3" s="276" t="n">
        <f aca="false">TradeSum!H5</f>
        <v>0</v>
      </c>
      <c r="E3" s="276" t="n">
        <f aca="false">TradeSum!I5</f>
        <v>1826.30045739593</v>
      </c>
      <c r="F3" s="276" t="n">
        <f aca="false">TradeSum!J5</f>
        <v>54449.8260102375</v>
      </c>
      <c r="G3" s="276" t="n">
        <f aca="false">OthNewDeals!$G$3</f>
        <v>0</v>
      </c>
      <c r="H3" s="277" t="n">
        <f aca="false">SUM(C3:G3)</f>
        <v>-86852.4449606047</v>
      </c>
      <c r="I3" s="278" t="s">
        <v>18</v>
      </c>
      <c r="J3" s="279" t="n">
        <f aca="false">+L3-N3</f>
        <v>-0.00300000000000011</v>
      </c>
      <c r="K3" s="280" t="n">
        <f aca="false">+Total!Y73</f>
        <v>723</v>
      </c>
      <c r="L3" s="281" t="n">
        <f aca="false">+L2+M3</f>
        <v>3.29</v>
      </c>
      <c r="M3" s="285" t="n">
        <v>0.13</v>
      </c>
      <c r="N3" s="286" t="n">
        <v>3.293</v>
      </c>
      <c r="AH3" s="287"/>
      <c r="AI3" s="287"/>
      <c r="AJ3" s="287"/>
      <c r="AK3" s="287"/>
      <c r="AL3" s="287"/>
      <c r="AM3" s="287"/>
      <c r="AN3" s="287"/>
      <c r="AO3" s="287"/>
      <c r="AP3" s="287"/>
      <c r="AQ3" s="287"/>
      <c r="AR3" s="288"/>
      <c r="AS3" s="287"/>
      <c r="AT3" s="287"/>
    </row>
    <row r="4" customFormat="false" ht="13.5" hidden="false" customHeight="false" outlineLevel="0" collapsed="false">
      <c r="A4" s="289" t="s">
        <v>74</v>
      </c>
      <c r="B4" s="290" t="s">
        <v>178</v>
      </c>
      <c r="C4" s="291" t="n">
        <f aca="false">+C3+C2</f>
        <v>-242103.571428239</v>
      </c>
      <c r="D4" s="292" t="n">
        <f aca="false">D2+D3</f>
        <v>0</v>
      </c>
      <c r="E4" s="292" t="n">
        <f aca="false">E2+E3</f>
        <v>1852036.99914813</v>
      </c>
      <c r="F4" s="292" t="n">
        <f aca="false">F2+F3</f>
        <v>476658.768640722</v>
      </c>
      <c r="G4" s="293" t="n">
        <f aca="false">G2+G3</f>
        <v>0</v>
      </c>
      <c r="H4" s="294" t="n">
        <f aca="false">SUM(H2:H3)+Q47+Term!J35</f>
        <v>272079.277551067</v>
      </c>
      <c r="I4" s="295" t="s">
        <v>20</v>
      </c>
      <c r="J4" s="296" t="n">
        <f aca="false">+J3</f>
        <v>-0.00300000000000011</v>
      </c>
      <c r="K4" s="297" t="n">
        <f aca="false">+Total!U85</f>
        <v>0</v>
      </c>
      <c r="L4" s="298" t="n">
        <f aca="false">((K12*336)+(K14*368))/704</f>
        <v>27.1661363636364</v>
      </c>
      <c r="M4" s="298" t="n">
        <f aca="false">((M12*TradeSum!$CD12)+(TradeSum!$CD13*Master!M14))/SUM(TradeSum!$CD12:$CD13)</f>
        <v>30.4727272727273</v>
      </c>
      <c r="N4" s="299" t="n">
        <f aca="false">+M4-L4</f>
        <v>3.30659090909091</v>
      </c>
      <c r="T4" s="261" t="s">
        <v>179</v>
      </c>
      <c r="W4" s="262" t="s">
        <v>180</v>
      </c>
      <c r="AH4" s="287"/>
      <c r="AI4" s="287"/>
      <c r="AJ4" s="287"/>
      <c r="AK4" s="287"/>
      <c r="AL4" s="287"/>
      <c r="AM4" s="287"/>
      <c r="AN4" s="287"/>
      <c r="AO4" s="287"/>
      <c r="AP4" s="287"/>
      <c r="AQ4" s="287"/>
      <c r="AR4" s="288"/>
      <c r="AS4" s="287"/>
      <c r="AT4" s="287"/>
    </row>
    <row r="5" customFormat="false" ht="12.75" hidden="false" customHeight="false" outlineLevel="0" collapsed="false">
      <c r="A5" s="300" t="n">
        <f aca="true">NOW()</f>
        <v>45926.9809152414</v>
      </c>
      <c r="B5" s="301" t="s">
        <v>181</v>
      </c>
      <c r="C5" s="10"/>
      <c r="D5" s="8"/>
      <c r="E5" s="8"/>
      <c r="F5" s="8"/>
      <c r="G5" s="8"/>
      <c r="H5" s="8"/>
      <c r="I5" s="295" t="s">
        <v>22</v>
      </c>
      <c r="J5" s="279" t="n">
        <f aca="false">+J4</f>
        <v>-0.00300000000000011</v>
      </c>
      <c r="K5" s="297" t="n">
        <f aca="false">+Total!Y97</f>
        <v>0</v>
      </c>
      <c r="L5" s="295" t="s">
        <v>55</v>
      </c>
      <c r="M5" s="279" t="n">
        <f aca="false">+J5</f>
        <v>-0.00300000000000011</v>
      </c>
      <c r="N5" s="297" t="n">
        <f aca="false">SUM(Total!W98:W157)</f>
        <v>0</v>
      </c>
      <c r="R5" s="302" t="n">
        <f aca="false">[1]Top!$B$4</f>
        <v>37141</v>
      </c>
      <c r="Z5" s="303" t="s">
        <v>104</v>
      </c>
      <c r="AD5" s="303" t="s">
        <v>92</v>
      </c>
      <c r="AE5" s="16"/>
      <c r="AF5" s="263"/>
      <c r="AH5" s="304"/>
      <c r="AI5" s="304"/>
      <c r="AJ5" s="304"/>
      <c r="AK5" s="287"/>
      <c r="AL5" s="287"/>
      <c r="AM5" s="287"/>
      <c r="AN5" s="287"/>
      <c r="AO5" s="287"/>
      <c r="AP5" s="287"/>
      <c r="AQ5" s="287"/>
      <c r="AR5" s="288"/>
      <c r="AS5" s="287"/>
      <c r="AT5" s="287"/>
    </row>
    <row r="6" customFormat="false" ht="12.75" hidden="false" customHeight="false" outlineLevel="0" collapsed="false">
      <c r="A6" s="305" t="s">
        <v>182</v>
      </c>
      <c r="B6" s="306" t="s">
        <v>100</v>
      </c>
      <c r="C6" s="307" t="s">
        <v>104</v>
      </c>
      <c r="D6" s="307" t="s">
        <v>92</v>
      </c>
      <c r="E6" s="307" t="s">
        <v>105</v>
      </c>
      <c r="F6" s="308"/>
      <c r="G6" s="309" t="s">
        <v>183</v>
      </c>
      <c r="H6" s="309" t="s">
        <v>184</v>
      </c>
      <c r="I6" s="309" t="s">
        <v>185</v>
      </c>
      <c r="J6" s="310" t="n">
        <f aca="false">+'EOL LINKS'!J20</f>
        <v>0</v>
      </c>
      <c r="K6" s="307" t="s">
        <v>104</v>
      </c>
      <c r="L6" s="305" t="s">
        <v>186</v>
      </c>
      <c r="M6" s="307" t="s">
        <v>92</v>
      </c>
      <c r="N6" s="301" t="s">
        <v>14</v>
      </c>
      <c r="O6" s="311" t="n">
        <f aca="false">+TradeSum!G56-'EOL LINKS'!H14</f>
        <v>-7.62939450282829E-007</v>
      </c>
      <c r="P6" s="312"/>
      <c r="Q6" s="308"/>
      <c r="R6" s="308"/>
      <c r="S6" s="4"/>
      <c r="X6" s="313"/>
      <c r="Y6" s="4"/>
      <c r="Z6" s="314" t="s">
        <v>187</v>
      </c>
      <c r="AA6" s="314" t="s">
        <v>188</v>
      </c>
      <c r="AB6" s="313"/>
      <c r="AC6" s="313"/>
      <c r="AD6" s="314" t="s">
        <v>187</v>
      </c>
      <c r="AE6" s="314" t="s">
        <v>188</v>
      </c>
      <c r="AF6" s="313"/>
      <c r="AG6" s="313"/>
      <c r="AH6" s="315"/>
      <c r="AI6" s="315"/>
      <c r="AJ6" s="315"/>
      <c r="AK6" s="11"/>
      <c r="AL6" s="7"/>
      <c r="AM6" s="316"/>
      <c r="AN6" s="316"/>
      <c r="AO6" s="316"/>
      <c r="AP6" s="11"/>
      <c r="AQ6" s="11"/>
      <c r="AR6" s="288"/>
      <c r="AS6" s="11"/>
      <c r="AT6" s="11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12.75" hidden="true" customHeight="false" outlineLevel="0" collapsed="false">
      <c r="A7" s="317"/>
      <c r="B7" s="318"/>
      <c r="C7" s="319"/>
      <c r="D7" s="319"/>
      <c r="E7" s="319"/>
      <c r="F7" s="320"/>
      <c r="G7" s="321"/>
      <c r="H7" s="322"/>
      <c r="I7" s="323"/>
      <c r="J7" s="317"/>
      <c r="K7" s="324"/>
      <c r="L7" s="325"/>
      <c r="M7" s="324"/>
      <c r="N7" s="326"/>
      <c r="O7" s="321"/>
      <c r="P7" s="320"/>
      <c r="Q7" s="327"/>
      <c r="R7" s="327"/>
      <c r="S7" s="4"/>
      <c r="T7" s="328"/>
      <c r="U7" s="329"/>
      <c r="V7" s="329"/>
      <c r="W7" s="330"/>
      <c r="X7" s="313"/>
      <c r="Y7" s="4"/>
      <c r="Z7" s="5"/>
      <c r="AA7" s="5"/>
      <c r="AB7" s="313"/>
      <c r="AC7" s="313"/>
      <c r="AD7" s="4"/>
      <c r="AE7" s="4"/>
      <c r="AF7" s="313"/>
      <c r="AG7" s="313"/>
      <c r="AH7" s="11"/>
      <c r="AI7" s="11"/>
      <c r="AJ7" s="11"/>
      <c r="AK7" s="11"/>
      <c r="AL7" s="7"/>
      <c r="AM7" s="315"/>
      <c r="AN7" s="315"/>
      <c r="AO7" s="315"/>
      <c r="AP7" s="315"/>
      <c r="AQ7" s="11"/>
      <c r="AR7" s="288"/>
      <c r="AS7" s="331"/>
      <c r="AT7" s="11"/>
      <c r="AU7" s="4"/>
      <c r="AV7" s="4"/>
      <c r="AW7" s="4"/>
      <c r="AX7" s="4" t="n">
        <f aca="false">+AM7*$V9</f>
        <v>0</v>
      </c>
      <c r="AY7" s="4"/>
      <c r="AZ7" s="4" t="n">
        <f aca="false">+AO7*$V9</f>
        <v>0</v>
      </c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12.75" hidden="true" customHeight="false" outlineLevel="0" collapsed="false">
      <c r="A8" s="317" t="s">
        <v>121</v>
      </c>
      <c r="B8" s="318"/>
      <c r="C8" s="319"/>
      <c r="D8" s="319"/>
      <c r="E8" s="319"/>
      <c r="F8" s="320"/>
      <c r="G8" s="332"/>
      <c r="H8" s="333"/>
      <c r="I8" s="323"/>
      <c r="J8" s="317" t="s">
        <v>121</v>
      </c>
      <c r="K8" s="324"/>
      <c r="L8" s="325"/>
      <c r="M8" s="324"/>
      <c r="N8" s="326"/>
      <c r="O8" s="332"/>
      <c r="P8" s="320"/>
      <c r="Q8" s="327"/>
      <c r="R8" s="327"/>
      <c r="T8" s="328" t="n">
        <v>36923</v>
      </c>
      <c r="U8" s="329" t="n">
        <f aca="false">+TradeSum!CD12</f>
        <v>368</v>
      </c>
      <c r="V8" s="329"/>
      <c r="W8" s="330" t="n">
        <f aca="false">+TradeSum!CE13</f>
        <v>0.989694895808596</v>
      </c>
      <c r="X8" s="313" t="n">
        <f aca="false">+U8*TradeSum!I12</f>
        <v>9549.6</v>
      </c>
      <c r="Y8" s="329"/>
      <c r="AB8" s="313" t="n">
        <f aca="false">+U8*TradeSum!I56</f>
        <v>8997.6</v>
      </c>
      <c r="AC8" s="329"/>
      <c r="AD8" s="16"/>
      <c r="AE8" s="16"/>
      <c r="AF8" s="313" t="n">
        <f aca="false">+Y8*TradeSum!M57</f>
        <v>0</v>
      </c>
      <c r="AG8" s="313" t="n">
        <f aca="false">+U8*Master!O8</f>
        <v>0</v>
      </c>
      <c r="AH8" s="287"/>
      <c r="AI8" s="287"/>
      <c r="AJ8" s="287"/>
      <c r="AK8" s="287"/>
      <c r="AL8" s="7"/>
      <c r="AM8" s="315"/>
      <c r="AN8" s="315"/>
      <c r="AO8" s="315"/>
      <c r="AP8" s="315"/>
      <c r="AQ8" s="287"/>
      <c r="AR8" s="288"/>
      <c r="AS8" s="323"/>
      <c r="AT8" s="287"/>
    </row>
    <row r="9" customFormat="false" ht="12.75" hidden="true" customHeight="false" outlineLevel="0" collapsed="false">
      <c r="A9" s="317"/>
      <c r="B9" s="318"/>
      <c r="C9" s="319"/>
      <c r="D9" s="319"/>
      <c r="E9" s="319"/>
      <c r="F9" s="320"/>
      <c r="G9" s="332"/>
      <c r="H9" s="334" t="str">
        <f aca="false">IF(H7="Y","real-time HR"," ")</f>
        <v> </v>
      </c>
      <c r="I9" s="333"/>
      <c r="J9" s="317"/>
      <c r="K9" s="324"/>
      <c r="L9" s="325"/>
      <c r="M9" s="324"/>
      <c r="N9" s="326"/>
      <c r="O9" s="332"/>
      <c r="P9" s="320"/>
      <c r="Q9" s="327"/>
      <c r="R9" s="327"/>
      <c r="T9" s="328" t="n">
        <v>36951</v>
      </c>
      <c r="U9" s="329" t="n">
        <f aca="false">+TradeSum!CD12</f>
        <v>368</v>
      </c>
      <c r="V9" s="329"/>
      <c r="W9" s="330" t="n">
        <f aca="false">+TradeSum!CE14</f>
        <v>0.986795796514416</v>
      </c>
      <c r="X9" s="313" t="n">
        <f aca="false">+U9*TradeSum!I12</f>
        <v>9549.6</v>
      </c>
      <c r="Y9" s="329"/>
      <c r="AB9" s="313" t="n">
        <f aca="false">+U9*TradeSum!I56</f>
        <v>8997.6</v>
      </c>
      <c r="AC9" s="329"/>
      <c r="AD9" s="16"/>
      <c r="AE9" s="16"/>
      <c r="AF9" s="313" t="n">
        <f aca="false">+Y9*TradeSum!M58</f>
        <v>0</v>
      </c>
      <c r="AG9" s="313" t="n">
        <f aca="false">+U9*Master!O9</f>
        <v>0</v>
      </c>
      <c r="AH9" s="304"/>
      <c r="AI9" s="304"/>
      <c r="AJ9" s="287"/>
      <c r="AK9" s="287"/>
      <c r="AL9" s="7"/>
      <c r="AM9" s="315"/>
      <c r="AN9" s="315"/>
      <c r="AO9" s="315"/>
      <c r="AP9" s="315"/>
      <c r="AQ9" s="287"/>
      <c r="AR9" s="288"/>
      <c r="AS9" s="323"/>
      <c r="AT9" s="287"/>
    </row>
    <row r="10" customFormat="false" ht="12.75" hidden="true" customHeight="false" outlineLevel="0" collapsed="false">
      <c r="A10" s="317" t="s">
        <v>158</v>
      </c>
      <c r="B10" s="318"/>
      <c r="C10" s="319"/>
      <c r="D10" s="319"/>
      <c r="E10" s="319"/>
      <c r="F10" s="320"/>
      <c r="G10" s="332"/>
      <c r="H10" s="333"/>
      <c r="I10" s="333"/>
      <c r="J10" s="309" t="s">
        <v>158</v>
      </c>
      <c r="K10" s="335"/>
      <c r="L10" s="335"/>
      <c r="M10" s="324"/>
      <c r="N10" s="326"/>
      <c r="O10" s="332"/>
      <c r="P10" s="320"/>
      <c r="Q10" s="327"/>
      <c r="R10" s="327"/>
      <c r="T10" s="328" t="n">
        <v>36982</v>
      </c>
      <c r="U10" s="329" t="n">
        <f aca="false">+TradeSum!CD12</f>
        <v>368</v>
      </c>
      <c r="V10" s="329"/>
      <c r="W10" s="330" t="n">
        <f aca="false">+TradeSum!CE12</f>
        <v>0.992554596410886</v>
      </c>
      <c r="X10" s="313" t="n">
        <f aca="false">+U10*TradeSum!I12</f>
        <v>9549.6</v>
      </c>
      <c r="Y10" s="329"/>
      <c r="AB10" s="313" t="n">
        <f aca="false">+U10*TradeSum!I56</f>
        <v>8997.6</v>
      </c>
      <c r="AC10" s="329"/>
      <c r="AD10" s="16"/>
      <c r="AE10" s="16"/>
      <c r="AF10" s="313" t="n">
        <f aca="false">+Y10*TradeSum!M59</f>
        <v>0</v>
      </c>
      <c r="AG10" s="313" t="n">
        <f aca="false">+U10*O11</f>
        <v>0</v>
      </c>
      <c r="AH10" s="304"/>
      <c r="AI10" s="304"/>
      <c r="AJ10" s="287"/>
      <c r="AK10" s="287"/>
      <c r="AL10" s="7"/>
      <c r="AM10" s="315"/>
      <c r="AN10" s="315"/>
      <c r="AO10" s="315"/>
      <c r="AP10" s="315"/>
      <c r="AQ10" s="287"/>
      <c r="AR10" s="288"/>
      <c r="AS10" s="331"/>
      <c r="AT10" s="287"/>
      <c r="AX10" s="261" t="n">
        <f aca="false">+AM10*$V11</f>
        <v>0</v>
      </c>
      <c r="AZ10" s="261" t="n">
        <f aca="false">+AO10*$V11</f>
        <v>0</v>
      </c>
    </row>
    <row r="11" customFormat="false" ht="12.75" hidden="true" customHeight="false" outlineLevel="0" collapsed="false">
      <c r="A11" s="317" t="s">
        <v>189</v>
      </c>
      <c r="B11" s="318" t="n">
        <v>0</v>
      </c>
      <c r="C11" s="319"/>
      <c r="D11" s="319"/>
      <c r="E11" s="319"/>
      <c r="F11" s="320"/>
      <c r="G11" s="332"/>
      <c r="H11" s="333" t="n">
        <f aca="false">+G11*B11/10000</f>
        <v>0</v>
      </c>
      <c r="I11" s="333" t="n">
        <f aca="false">+H11</f>
        <v>0</v>
      </c>
      <c r="J11" s="317" t="s">
        <v>189</v>
      </c>
      <c r="K11" s="324" t="n">
        <f aca="false">34+L11</f>
        <v>34</v>
      </c>
      <c r="L11" s="325" t="n">
        <v>0</v>
      </c>
      <c r="M11" s="324" t="n">
        <f aca="false">+K11+N11</f>
        <v>33</v>
      </c>
      <c r="N11" s="326" t="n">
        <v>-1</v>
      </c>
      <c r="O11" s="336" t="n">
        <v>0</v>
      </c>
      <c r="P11" s="320"/>
      <c r="Q11" s="327"/>
      <c r="R11" s="327"/>
      <c r="T11" s="328" t="n">
        <v>37012</v>
      </c>
      <c r="U11" s="329" t="n">
        <f aca="false">+TradeSum!CD56</f>
        <v>368</v>
      </c>
      <c r="V11" s="329"/>
      <c r="W11" s="330" t="n">
        <f aca="false">+TradeSum!CE12</f>
        <v>0.992554596410886</v>
      </c>
      <c r="X11" s="313" t="n">
        <f aca="false">+U11*TradeSum!I12</f>
        <v>9549.6</v>
      </c>
      <c r="Y11" s="329"/>
      <c r="AB11" s="313" t="n">
        <f aca="false">+U11*TradeSum!I56</f>
        <v>8997.6</v>
      </c>
      <c r="AC11" s="329"/>
      <c r="AD11" s="16"/>
      <c r="AE11" s="16"/>
      <c r="AF11" s="313" t="n">
        <f aca="false">+Y11*TradeSum!M60</f>
        <v>0</v>
      </c>
      <c r="AG11" s="313" t="n">
        <f aca="false">+U11*O12</f>
        <v>17873.76</v>
      </c>
      <c r="AH11" s="304"/>
      <c r="AI11" s="304"/>
      <c r="AJ11" s="287"/>
      <c r="AK11" s="287"/>
      <c r="AL11" s="7"/>
      <c r="AM11" s="315"/>
      <c r="AN11" s="315"/>
      <c r="AO11" s="315"/>
      <c r="AP11" s="315"/>
      <c r="AQ11" s="287"/>
      <c r="AR11" s="288"/>
      <c r="AS11" s="331"/>
      <c r="AT11" s="287"/>
    </row>
    <row r="12" customFormat="false" ht="12.75" hidden="true" customHeight="false" outlineLevel="0" collapsed="false">
      <c r="A12" s="317" t="s">
        <v>190</v>
      </c>
      <c r="B12" s="318" t="n">
        <f aca="false">SUM(C12:F12)</f>
        <v>0</v>
      </c>
      <c r="C12" s="319"/>
      <c r="D12" s="319"/>
      <c r="E12" s="319"/>
      <c r="F12" s="337"/>
      <c r="G12" s="338" t="n">
        <f aca="false">+K12/D65</f>
        <v>0</v>
      </c>
      <c r="H12" s="339" t="n">
        <f aca="false">+B12*336*G12/10000</f>
        <v>0</v>
      </c>
      <c r="I12" s="340" t="n">
        <f aca="false">+H12+D60</f>
        <v>1455.9</v>
      </c>
      <c r="J12" s="341" t="s">
        <v>190</v>
      </c>
      <c r="K12" s="342"/>
      <c r="L12" s="343" t="n">
        <v>-4.23666666666667</v>
      </c>
      <c r="M12" s="324" t="n">
        <f aca="false">+TradeSum!S56-5.16-0.23+0.68-0.26-0.8+0.5-2.32+1.21-0.98</f>
        <v>17.09</v>
      </c>
      <c r="N12" s="326" t="n">
        <f aca="false">+M12-K12</f>
        <v>17.09</v>
      </c>
      <c r="O12" s="336" t="n">
        <v>48.57</v>
      </c>
      <c r="P12" s="320" t="n">
        <f aca="false">+R12*336</f>
        <v>0</v>
      </c>
      <c r="Q12" s="320" t="n">
        <f aca="false">+P12*L12</f>
        <v>-0</v>
      </c>
      <c r="R12" s="320"/>
      <c r="S12" s="16" t="e">
        <f aca="false">+#REF!-O12</f>
        <v>#REF!</v>
      </c>
      <c r="T12" s="328" t="n">
        <v>37043</v>
      </c>
      <c r="U12" s="329" t="n">
        <f aca="false">+TradeSum!CD12</f>
        <v>368</v>
      </c>
      <c r="V12" s="329"/>
      <c r="W12" s="330" t="n">
        <f aca="false">+TradeSum!CE12</f>
        <v>0.992554596410886</v>
      </c>
      <c r="X12" s="313" t="n">
        <f aca="false">+U12*TradeSum!I12</f>
        <v>9549.6</v>
      </c>
      <c r="Y12" s="329"/>
      <c r="AB12" s="313" t="n">
        <f aca="false">+U12*TradeSum!I56</f>
        <v>8997.6</v>
      </c>
      <c r="AC12" s="329"/>
      <c r="AD12" s="16"/>
      <c r="AE12" s="16"/>
      <c r="AF12" s="313" t="n">
        <f aca="false">+Y12*TradeSum!M61</f>
        <v>0</v>
      </c>
      <c r="AG12" s="313" t="n">
        <f aca="false">+U12*Master!O14</f>
        <v>21167.36</v>
      </c>
      <c r="AH12" s="304"/>
      <c r="AI12" s="304"/>
      <c r="AJ12" s="287"/>
      <c r="AK12" s="287"/>
      <c r="AL12" s="7"/>
      <c r="AM12" s="315"/>
      <c r="AN12" s="315"/>
      <c r="AO12" s="315"/>
      <c r="AP12" s="315"/>
      <c r="AQ12" s="287"/>
      <c r="AR12" s="288"/>
      <c r="AS12" s="331"/>
      <c r="AT12" s="287"/>
    </row>
    <row r="13" customFormat="false" ht="12.75" hidden="true" customHeight="false" outlineLevel="0" collapsed="false">
      <c r="A13" s="305"/>
      <c r="B13" s="318" t="n">
        <f aca="false">SUM(C13:F13)</f>
        <v>0</v>
      </c>
      <c r="C13" s="344"/>
      <c r="D13" s="344"/>
      <c r="E13" s="344"/>
      <c r="F13" s="345"/>
      <c r="G13" s="338"/>
      <c r="H13" s="333" t="n">
        <f aca="false">+B13*336*G13/10000</f>
        <v>0</v>
      </c>
      <c r="I13" s="323" t="n">
        <f aca="false">+H13+E58</f>
        <v>0</v>
      </c>
      <c r="J13" s="341" t="s">
        <v>191</v>
      </c>
      <c r="K13" s="342" t="n">
        <f aca="false">+K11-K12</f>
        <v>34</v>
      </c>
      <c r="L13" s="346"/>
      <c r="M13" s="347"/>
      <c r="N13" s="347"/>
      <c r="O13" s="336" t="n">
        <v>-14.7399978637695</v>
      </c>
      <c r="P13" s="320"/>
      <c r="Q13" s="320" t="n">
        <f aca="false">+P13*L13</f>
        <v>0</v>
      </c>
      <c r="R13" s="271" t="n">
        <v>52.9360445599223</v>
      </c>
      <c r="S13" s="16" t="e">
        <f aca="false">+#REF!-Master!O13</f>
        <v>#REF!</v>
      </c>
      <c r="T13" s="328" t="n">
        <v>37073</v>
      </c>
      <c r="U13" s="329" t="n">
        <f aca="false">+TradeSum!CD12</f>
        <v>368</v>
      </c>
      <c r="V13" s="329"/>
      <c r="W13" s="330" t="n">
        <f aca="false">+TradeSum!CE12</f>
        <v>0.992554596410886</v>
      </c>
      <c r="X13" s="313" t="n">
        <f aca="false">+U13*TradeSum!I12</f>
        <v>9549.6</v>
      </c>
      <c r="Y13" s="329"/>
      <c r="AB13" s="313" t="n">
        <f aca="false">+U13*TradeSum!I56</f>
        <v>8997.6</v>
      </c>
      <c r="AC13" s="329"/>
      <c r="AD13" s="16"/>
      <c r="AE13" s="16"/>
      <c r="AF13" s="313" t="n">
        <f aca="false">+Y13*TradeSum!M62</f>
        <v>0</v>
      </c>
      <c r="AG13" s="313" t="n">
        <f aca="false">+U13*Master!O15</f>
        <v>16412.8</v>
      </c>
      <c r="AH13" s="304"/>
      <c r="AI13" s="304"/>
      <c r="AJ13" s="287"/>
      <c r="AK13" s="287"/>
      <c r="AL13" s="7"/>
      <c r="AM13" s="315"/>
      <c r="AN13" s="315"/>
      <c r="AO13" s="315"/>
      <c r="AP13" s="315"/>
      <c r="AQ13" s="287"/>
      <c r="AR13" s="288"/>
      <c r="AS13" s="331"/>
      <c r="AT13" s="287"/>
      <c r="AX13" s="261" t="n">
        <f aca="false">+AM13*$U12</f>
        <v>0</v>
      </c>
      <c r="AZ13" s="261" t="n">
        <f aca="false">+AO13*$U12</f>
        <v>0</v>
      </c>
    </row>
    <row r="14" customFormat="false" ht="12.75" hidden="true" customHeight="false" outlineLevel="0" collapsed="false">
      <c r="A14" s="317" t="s">
        <v>192</v>
      </c>
      <c r="B14" s="318"/>
      <c r="C14" s="319"/>
      <c r="D14" s="319"/>
      <c r="E14" s="319"/>
      <c r="F14" s="337"/>
      <c r="G14" s="348"/>
      <c r="H14" s="333"/>
      <c r="I14" s="323"/>
      <c r="J14" s="317" t="s">
        <v>192</v>
      </c>
      <c r="K14" s="324" t="n">
        <f aca="false">51.97+L14</f>
        <v>51.97</v>
      </c>
      <c r="L14" s="349" t="n">
        <v>0</v>
      </c>
      <c r="M14" s="324" t="n">
        <f aca="false">+TradeSum!I56+21-0.32</f>
        <v>45.13</v>
      </c>
      <c r="N14" s="326" t="n">
        <f aca="false">+M14-K14</f>
        <v>-6.84</v>
      </c>
      <c r="O14" s="336" t="n">
        <v>57.52</v>
      </c>
      <c r="P14" s="320"/>
      <c r="Q14" s="320" t="n">
        <f aca="false">+P14*L14</f>
        <v>0</v>
      </c>
      <c r="R14" s="320"/>
      <c r="S14" s="16" t="n">
        <f aca="false">+'EOL LINKS'!H11-Master!O14</f>
        <v>-3.77</v>
      </c>
      <c r="T14" s="328" t="n">
        <v>37104</v>
      </c>
      <c r="U14" s="329" t="n">
        <f aca="false">+TradeSum!CD12</f>
        <v>368</v>
      </c>
      <c r="V14" s="329" t="n">
        <f aca="false">SUM(U13:U14)</f>
        <v>736</v>
      </c>
      <c r="W14" s="330" t="n">
        <f aca="false">+TradeSum!CE12</f>
        <v>0.992554596410886</v>
      </c>
      <c r="X14" s="313" t="n">
        <f aca="false">+U14*TradeSum!I12</f>
        <v>9549.6</v>
      </c>
      <c r="Y14" s="329" t="n">
        <f aca="false">SUM(X13:X14)</f>
        <v>19099.2</v>
      </c>
      <c r="Z14" s="16" t="n">
        <f aca="false">+Y14/$V14</f>
        <v>25.95</v>
      </c>
      <c r="AB14" s="313" t="n">
        <f aca="false">+U14*TradeSum!I56</f>
        <v>8997.6</v>
      </c>
      <c r="AC14" s="329" t="n">
        <f aca="false">SUM(AB13:AB14)</f>
        <v>17995.2</v>
      </c>
      <c r="AD14" s="16" t="n">
        <f aca="false">+AC14/$V14</f>
        <v>24.45</v>
      </c>
      <c r="AE14" s="16"/>
      <c r="AF14" s="313" t="n">
        <f aca="false">+Y14*TradeSum!M63</f>
        <v>0</v>
      </c>
      <c r="AG14" s="313" t="n">
        <f aca="false">+U14*Master!O16</f>
        <v>20033.3341702548</v>
      </c>
      <c r="AH14" s="304"/>
      <c r="AI14" s="304"/>
      <c r="AJ14" s="287"/>
      <c r="AK14" s="287"/>
      <c r="AL14" s="7"/>
      <c r="AM14" s="315"/>
      <c r="AN14" s="315"/>
      <c r="AO14" s="315"/>
      <c r="AP14" s="315"/>
      <c r="AQ14" s="287"/>
      <c r="AR14" s="288"/>
      <c r="AS14" s="331"/>
      <c r="AT14" s="287"/>
      <c r="AX14" s="261" t="n">
        <f aca="false">+AM14*$U13</f>
        <v>0</v>
      </c>
      <c r="AZ14" s="261" t="n">
        <f aca="false">+AO14*$U13</f>
        <v>0</v>
      </c>
    </row>
    <row r="15" customFormat="false" ht="12.75" hidden="true" customHeight="false" outlineLevel="0" collapsed="false">
      <c r="A15" s="317" t="s">
        <v>128</v>
      </c>
      <c r="B15" s="318" t="n">
        <f aca="false">SUM(C15:F15)</f>
        <v>-525</v>
      </c>
      <c r="C15" s="319" t="n">
        <v>-238</v>
      </c>
      <c r="D15" s="319" t="n">
        <v>-800</v>
      </c>
      <c r="E15" s="319" t="n">
        <f aca="false">369+94+50</f>
        <v>513</v>
      </c>
      <c r="F15" s="337"/>
      <c r="G15" s="348" t="n">
        <f aca="false">+(K15-1.25)/I65</f>
        <v>11.6155419222904</v>
      </c>
      <c r="H15" s="333" t="n">
        <f aca="false">+B15*336*G15/10000</f>
        <v>-204.898159509202</v>
      </c>
      <c r="I15" s="323" t="n">
        <f aca="false">+H15+E60</f>
        <v>-916.8981595092</v>
      </c>
      <c r="J15" s="317" t="s">
        <v>128</v>
      </c>
      <c r="K15" s="350" t="n">
        <f aca="false">46+L15</f>
        <v>29.65</v>
      </c>
      <c r="L15" s="349" t="n">
        <v>-16.35</v>
      </c>
      <c r="M15" s="324" t="n">
        <f aca="false">+K15+N15</f>
        <v>26.15</v>
      </c>
      <c r="N15" s="326" t="n">
        <v>-3.5</v>
      </c>
      <c r="O15" s="336" t="n">
        <v>44.6</v>
      </c>
      <c r="P15" s="320" t="n">
        <f aca="false">+R15*336</f>
        <v>172368</v>
      </c>
      <c r="Q15" s="320" t="n">
        <f aca="false">+P15*L15</f>
        <v>-2818216.8</v>
      </c>
      <c r="R15" s="320" t="n">
        <f aca="false">+E15</f>
        <v>513</v>
      </c>
      <c r="S15" s="16" t="n">
        <f aca="false">+'EOL LINKS'!H13-Master!O15</f>
        <v>-18.075</v>
      </c>
      <c r="T15" s="328" t="n">
        <v>37135</v>
      </c>
      <c r="U15" s="329" t="n">
        <f aca="false">+TradeSum!CD12</f>
        <v>368</v>
      </c>
      <c r="V15" s="329"/>
      <c r="W15" s="330" t="n">
        <f aca="false">+TradeSum!CE12</f>
        <v>0.992554596410886</v>
      </c>
      <c r="X15" s="313" t="n">
        <f aca="false">+U15*TradeSum!I12</f>
        <v>9549.6</v>
      </c>
      <c r="Y15" s="329"/>
      <c r="AB15" s="313" t="n">
        <f aca="false">+U15*TradeSum!I56</f>
        <v>8997.6</v>
      </c>
      <c r="AC15" s="329"/>
      <c r="AD15" s="16"/>
      <c r="AE15" s="16"/>
      <c r="AF15" s="313" t="n">
        <f aca="false">+Y15*TradeSum!M64</f>
        <v>0</v>
      </c>
      <c r="AG15" s="313" t="n">
        <f aca="false">+AG14</f>
        <v>20033.3341702548</v>
      </c>
      <c r="AH15" s="304"/>
      <c r="AI15" s="304"/>
      <c r="AJ15" s="287"/>
      <c r="AK15" s="287"/>
      <c r="AL15" s="7"/>
      <c r="AM15" s="315"/>
      <c r="AN15" s="315"/>
      <c r="AO15" s="315"/>
      <c r="AP15" s="315"/>
      <c r="AQ15" s="287"/>
      <c r="AR15" s="288"/>
      <c r="AS15" s="331"/>
      <c r="AT15" s="287"/>
      <c r="AX15" s="261" t="n">
        <f aca="false">+AM15*$V15</f>
        <v>0</v>
      </c>
      <c r="AZ15" s="261" t="n">
        <f aca="false">+AO15*$V15</f>
        <v>0</v>
      </c>
    </row>
    <row r="16" customFormat="false" ht="12.75" hidden="true" customHeight="false" outlineLevel="0" collapsed="false">
      <c r="A16" s="317" t="s">
        <v>193</v>
      </c>
      <c r="B16" s="318"/>
      <c r="C16" s="319"/>
      <c r="D16" s="319"/>
      <c r="E16" s="319"/>
      <c r="F16" s="337"/>
      <c r="G16" s="348" t="n">
        <f aca="false">+K16/((I83+N83)/2)</f>
        <v>8.44294678131536</v>
      </c>
      <c r="H16" s="333"/>
      <c r="I16" s="323"/>
      <c r="J16" s="317" t="s">
        <v>193</v>
      </c>
      <c r="K16" s="324" t="n">
        <f aca="false">+Z14</f>
        <v>25.95</v>
      </c>
      <c r="L16" s="349" t="n">
        <v>7.56159192865545</v>
      </c>
      <c r="M16" s="324" t="n">
        <f aca="false">+AD14</f>
        <v>24.45</v>
      </c>
      <c r="N16" s="326" t="n">
        <f aca="false">+M16-K16</f>
        <v>-1.5</v>
      </c>
      <c r="O16" s="336" t="n">
        <v>54.4384080713446</v>
      </c>
      <c r="P16" s="320" t="n">
        <f aca="false">+R16*704</f>
        <v>0</v>
      </c>
      <c r="Q16" s="320" t="n">
        <f aca="false">+P16*L16</f>
        <v>0</v>
      </c>
      <c r="R16" s="320" t="n">
        <f aca="false">+E16</f>
        <v>0</v>
      </c>
      <c r="S16" s="16" t="n">
        <f aca="false">+'EOL LINKS'!H14-Master!O16</f>
        <v>-29.8884080713446</v>
      </c>
      <c r="T16" s="328" t="n">
        <v>37165</v>
      </c>
      <c r="U16" s="329" t="n">
        <f aca="false">+TradeSum!CD12</f>
        <v>368</v>
      </c>
      <c r="V16" s="329"/>
      <c r="W16" s="330" t="n">
        <f aca="false">+TradeSum!CE12</f>
        <v>0.992554596410886</v>
      </c>
      <c r="X16" s="313" t="n">
        <f aca="false">+U16*TradeSum!I12</f>
        <v>9549.6</v>
      </c>
      <c r="Y16" s="329"/>
      <c r="AB16" s="313" t="n">
        <f aca="false">+U16*TradeSum!I57</f>
        <v>9236.79845581055</v>
      </c>
      <c r="AC16" s="329"/>
      <c r="AD16" s="16"/>
      <c r="AE16" s="16"/>
      <c r="AF16" s="313" t="n">
        <f aca="false">+Y16*TradeSum!M65</f>
        <v>0</v>
      </c>
      <c r="AG16" s="313" t="n">
        <f aca="false">+U16*Master!O17</f>
        <v>9476</v>
      </c>
      <c r="AH16" s="304"/>
      <c r="AI16" s="304"/>
      <c r="AJ16" s="287"/>
      <c r="AK16" s="287"/>
      <c r="AL16" s="7"/>
      <c r="AM16" s="315"/>
      <c r="AN16" s="315"/>
      <c r="AO16" s="315"/>
      <c r="AP16" s="315"/>
      <c r="AQ16" s="287"/>
      <c r="AR16" s="288"/>
      <c r="AS16" s="331"/>
      <c r="AT16" s="287"/>
      <c r="AX16" s="261" t="n">
        <f aca="false">+AM16*$U16</f>
        <v>0</v>
      </c>
      <c r="AZ16" s="261" t="n">
        <f aca="false">+AO16*$U16</f>
        <v>0</v>
      </c>
    </row>
    <row r="17" customFormat="false" ht="12.75" hidden="true" customHeight="false" outlineLevel="0" collapsed="false">
      <c r="A17" s="317" t="s">
        <v>133</v>
      </c>
      <c r="B17" s="318" t="n">
        <f aca="false">SUM(C17:F17)</f>
        <v>-1296.33437954166</v>
      </c>
      <c r="C17" s="319" t="n">
        <f aca="false">+TradeSum!F12</f>
        <v>-527.379152334651</v>
      </c>
      <c r="D17" s="319" t="n">
        <f aca="false">+TradeSum!F56</f>
        <v>280.044772792992</v>
      </c>
      <c r="E17" s="319" t="n">
        <v>-1049</v>
      </c>
      <c r="F17" s="337"/>
      <c r="G17" s="348" t="n">
        <f aca="false">+K17/D65</f>
        <v>11.0660980810235</v>
      </c>
      <c r="H17" s="333" t="n">
        <f aca="false">+G17*304*B17/10000</f>
        <v>-436.099047050245</v>
      </c>
      <c r="I17" s="323" t="n">
        <f aca="false">+H17+D60</f>
        <v>1019.80095294976</v>
      </c>
      <c r="J17" s="317" t="s">
        <v>133</v>
      </c>
      <c r="K17" s="324" t="n">
        <f aca="false">+TradeSum!I12</f>
        <v>25.95</v>
      </c>
      <c r="L17" s="349"/>
      <c r="M17" s="324" t="n">
        <f aca="false">+TradeSum!I56</f>
        <v>24.45</v>
      </c>
      <c r="N17" s="326" t="n">
        <f aca="false">+M17-K17</f>
        <v>-1.5</v>
      </c>
      <c r="O17" s="336" t="n">
        <v>25.75</v>
      </c>
      <c r="P17" s="320" t="n">
        <f aca="false">+R17*304</f>
        <v>-318896</v>
      </c>
      <c r="Q17" s="320" t="n">
        <f aca="false">+P17*L17</f>
        <v>-0</v>
      </c>
      <c r="R17" s="320" t="n">
        <f aca="false">+E17</f>
        <v>-1049</v>
      </c>
      <c r="S17" s="16" t="n">
        <f aca="false">+'EOL LINKS'!H12-Master!O17</f>
        <v>3</v>
      </c>
      <c r="T17" s="328" t="n">
        <v>37196</v>
      </c>
      <c r="U17" s="329" t="n">
        <f aca="false">+TradeSum!CD13</f>
        <v>336</v>
      </c>
      <c r="V17" s="329"/>
      <c r="W17" s="330" t="n">
        <f aca="false">+TradeSum!CE13</f>
        <v>0.989694895808596</v>
      </c>
      <c r="X17" s="313" t="n">
        <f aca="false">+U17*TradeSum!I13</f>
        <v>8803.2</v>
      </c>
      <c r="Y17" s="329"/>
      <c r="AB17" s="313" t="n">
        <f aca="false">+U17*TradeSum!I58</f>
        <v>8937.60076904297</v>
      </c>
      <c r="AC17" s="329"/>
      <c r="AD17" s="16"/>
      <c r="AE17" s="16"/>
      <c r="AF17" s="313" t="n">
        <f aca="false">+Y17*TradeSum!M66</f>
        <v>0</v>
      </c>
      <c r="AG17" s="313" t="n">
        <f aca="false">+U17*O18</f>
        <v>8752.79974365234</v>
      </c>
      <c r="AH17" s="304"/>
      <c r="AI17" s="304"/>
      <c r="AJ17" s="287"/>
      <c r="AK17" s="287"/>
      <c r="AL17" s="7"/>
      <c r="AM17" s="315"/>
      <c r="AN17" s="315"/>
      <c r="AO17" s="315"/>
      <c r="AP17" s="315"/>
      <c r="AQ17" s="287"/>
      <c r="AR17" s="288"/>
      <c r="AS17" s="331"/>
      <c r="AT17" s="287"/>
      <c r="AX17" s="261" t="n">
        <f aca="false">+AM17*$V19</f>
        <v>0</v>
      </c>
      <c r="AZ17" s="261" t="n">
        <f aca="false">+AO17*$V19</f>
        <v>0</v>
      </c>
    </row>
    <row r="18" customFormat="false" ht="12.75" hidden="false" customHeight="false" outlineLevel="0" collapsed="false">
      <c r="A18" s="317" t="s">
        <v>194</v>
      </c>
      <c r="B18" s="318" t="n">
        <f aca="false">SUM(C18:F18)</f>
        <v>53.6656204583416</v>
      </c>
      <c r="C18" s="319" t="n">
        <f aca="false">+TradeSum!F12</f>
        <v>-527.379152334651</v>
      </c>
      <c r="D18" s="319" t="n">
        <f aca="false">+TradeSum!F56</f>
        <v>280.044772792992</v>
      </c>
      <c r="E18" s="319" t="n">
        <v>301</v>
      </c>
      <c r="F18" s="337"/>
      <c r="G18" s="348" t="n">
        <f aca="false">+K18/I65</f>
        <v>10.6134969325153</v>
      </c>
      <c r="H18" s="333" t="n">
        <f aca="false">+G18*368*B18/10000</f>
        <v>20.960540250674</v>
      </c>
      <c r="I18" s="323" t="n">
        <f aca="false">+H18+E60</f>
        <v>-691.039459749324</v>
      </c>
      <c r="J18" s="317" t="s">
        <v>194</v>
      </c>
      <c r="K18" s="324" t="n">
        <f aca="false">+TradeSum!I12</f>
        <v>25.95</v>
      </c>
      <c r="L18" s="349" t="n">
        <f aca="false">+S18</f>
        <v>-0.099999237060544</v>
      </c>
      <c r="M18" s="324" t="n">
        <f aca="false">+K18+N18</f>
        <v>24.95</v>
      </c>
      <c r="N18" s="326" t="n">
        <v>-1</v>
      </c>
      <c r="O18" s="336" t="n">
        <v>26.0499992370605</v>
      </c>
      <c r="P18" s="320" t="n">
        <f aca="false">+R18*1024</f>
        <v>308224</v>
      </c>
      <c r="Q18" s="320" t="n">
        <f aca="false">+P18*L18</f>
        <v>-30822.1648437491</v>
      </c>
      <c r="R18" s="320" t="n">
        <f aca="false">+E18</f>
        <v>301</v>
      </c>
      <c r="S18" s="16" t="n">
        <f aca="false">+'EOL LINKS'!H26-Master!O18</f>
        <v>-0.099999237060544</v>
      </c>
      <c r="T18" s="328" t="n">
        <v>37226</v>
      </c>
      <c r="U18" s="329" t="n">
        <f aca="false">+TradeSum!CD14</f>
        <v>320</v>
      </c>
      <c r="V18" s="329" t="n">
        <f aca="false">SUM(U16:U18)</f>
        <v>1024</v>
      </c>
      <c r="W18" s="330" t="n">
        <f aca="false">+TradeSum!CE14</f>
        <v>0.986795796514416</v>
      </c>
      <c r="X18" s="313" t="n">
        <f aca="false">+U18*TradeSum!I14</f>
        <v>8800</v>
      </c>
      <c r="Y18" s="329" t="n">
        <f aca="false">SUM(X16:X18)</f>
        <v>27152.8</v>
      </c>
      <c r="Z18" s="16" t="n">
        <f aca="false">+Y18/$V18</f>
        <v>26.51640625</v>
      </c>
      <c r="AA18" s="16" t="n">
        <f aca="false">SUM(X12:X18)/SUM($U12:$U18)</f>
        <v>26.1823717948718</v>
      </c>
      <c r="AB18" s="313" t="n">
        <f aca="false">+U18*TradeSum!I59</f>
        <v>8980.69391159784</v>
      </c>
      <c r="AC18" s="329" t="n">
        <f aca="false">SUM(AB16:AB18)</f>
        <v>27155.0931364514</v>
      </c>
      <c r="AD18" s="16" t="n">
        <f aca="false">+AC18/$V18</f>
        <v>26.5186456410658</v>
      </c>
      <c r="AE18" s="16" t="n">
        <f aca="false">SUM(AB12:AB18)/SUM($U12:$U18)</f>
        <v>25.2986751347962</v>
      </c>
      <c r="AF18" s="313" t="n">
        <f aca="false">+Y18*TradeSum!M67</f>
        <v>0</v>
      </c>
      <c r="AG18" s="313" t="n">
        <f aca="false">+U18*O18</f>
        <v>8335.99975585938</v>
      </c>
      <c r="AH18" s="304"/>
      <c r="AI18" s="304"/>
      <c r="AJ18" s="287"/>
      <c r="AK18" s="287"/>
      <c r="AL18" s="287"/>
      <c r="AM18" s="315"/>
      <c r="AN18" s="315"/>
      <c r="AO18" s="315"/>
      <c r="AP18" s="315"/>
      <c r="AQ18" s="287"/>
      <c r="AR18" s="288"/>
      <c r="AS18" s="331"/>
      <c r="AT18" s="287"/>
    </row>
    <row r="19" customFormat="false" ht="12.75" hidden="false" customHeight="false" outlineLevel="0" collapsed="false">
      <c r="A19" s="317" t="s">
        <v>116</v>
      </c>
      <c r="B19" s="318" t="n">
        <f aca="false">SUM(C19:F19)</f>
        <v>-638.182533121864</v>
      </c>
      <c r="C19" s="319" t="n">
        <f aca="false">+TradeSum!F13</f>
        <v>-1469.26882099878</v>
      </c>
      <c r="D19" s="319" t="n">
        <f aca="false">+TradeSum!F57</f>
        <v>430.086287876913</v>
      </c>
      <c r="E19" s="319" t="n">
        <v>401</v>
      </c>
      <c r="F19" s="337"/>
      <c r="G19" s="348" t="n">
        <f aca="false">+K19/N65</f>
        <v>9.57952468007313</v>
      </c>
      <c r="H19" s="333" t="n">
        <f aca="false">+G19*336*B19/10000</f>
        <v>-205.413106968131</v>
      </c>
      <c r="I19" s="323" t="n">
        <f aca="false">+H19+F60</f>
        <v>-144.413106968129</v>
      </c>
      <c r="J19" s="317" t="s">
        <v>116</v>
      </c>
      <c r="K19" s="324" t="n">
        <f aca="false">+TradeSum!I13</f>
        <v>26.2</v>
      </c>
      <c r="L19" s="349" t="n">
        <f aca="false">+S19</f>
        <v>0.0500003814697294</v>
      </c>
      <c r="M19" s="324" t="n">
        <f aca="false">+'EOL LINKS'!H59</f>
        <v>25.4</v>
      </c>
      <c r="N19" s="326" t="n">
        <f aca="false">+M19-K19</f>
        <v>-0.800000000000004</v>
      </c>
      <c r="O19" s="336" t="n">
        <v>26.1499996185303</v>
      </c>
      <c r="P19" s="320"/>
      <c r="Q19" s="320"/>
      <c r="R19" s="320" t="n">
        <f aca="false">+E19</f>
        <v>401</v>
      </c>
      <c r="S19" s="16" t="n">
        <f aca="false">+'EOL LINKS'!H27-Master!O19</f>
        <v>0.0500003814697294</v>
      </c>
      <c r="T19" s="328" t="n">
        <v>37257</v>
      </c>
      <c r="U19" s="329" t="n">
        <f aca="false">+TradeSum!CD15</f>
        <v>352</v>
      </c>
      <c r="V19" s="329"/>
      <c r="W19" s="330" t="n">
        <f aca="false">+TradeSum!CE15</f>
        <v>0.984077187080641</v>
      </c>
      <c r="X19" s="313" t="n">
        <f aca="false">+U19*TradeSum!I15</f>
        <v>10354.6670503162</v>
      </c>
      <c r="Y19" s="329"/>
      <c r="AB19" s="313" t="n">
        <f aca="false">+U19*TradeSum!I60</f>
        <v>9756.26611037481</v>
      </c>
      <c r="AC19" s="329"/>
      <c r="AD19" s="16"/>
      <c r="AE19" s="16"/>
      <c r="AF19" s="313" t="n">
        <f aca="false">+Y19*TradeSum!M68</f>
        <v>0</v>
      </c>
      <c r="AG19" s="313" t="n">
        <f aca="false">+U19*O18</f>
        <v>9169.59973144531</v>
      </c>
      <c r="AH19" s="304"/>
      <c r="AI19" s="304"/>
      <c r="AJ19" s="287"/>
      <c r="AK19" s="287"/>
      <c r="AL19" s="287"/>
      <c r="AM19" s="315"/>
      <c r="AN19" s="315"/>
      <c r="AO19" s="315"/>
      <c r="AP19" s="315"/>
      <c r="AQ19" s="287"/>
      <c r="AR19" s="288"/>
      <c r="AS19" s="331"/>
      <c r="AT19" s="287"/>
    </row>
    <row r="20" customFormat="false" ht="12.75" hidden="false" customHeight="false" outlineLevel="0" collapsed="false">
      <c r="A20" s="317" t="s">
        <v>195</v>
      </c>
      <c r="B20" s="318" t="n">
        <f aca="false">SUM(C20:F20)</f>
        <v>269.855584683719</v>
      </c>
      <c r="C20" s="319" t="n">
        <f aca="false">+TradeSum!F14</f>
        <v>-658.767310069758</v>
      </c>
      <c r="D20" s="319" t="n">
        <f aca="false">+TradeSum!F58</f>
        <v>527.622894753478</v>
      </c>
      <c r="E20" s="319" t="n">
        <v>401</v>
      </c>
      <c r="F20" s="337"/>
      <c r="G20" s="348" t="n">
        <f aca="false">+K20/U59</f>
        <v>9.01639344262295</v>
      </c>
      <c r="H20" s="333" t="n">
        <f aca="false">+G20*320*B20/10000</f>
        <v>77.859971974319</v>
      </c>
      <c r="I20" s="323" t="n">
        <f aca="false">+H20+G60</f>
        <v>32.8599719743214</v>
      </c>
      <c r="J20" s="351" t="s">
        <v>195</v>
      </c>
      <c r="K20" s="324" t="n">
        <f aca="false">+TradeSum!I14</f>
        <v>27.5</v>
      </c>
      <c r="L20" s="349" t="n">
        <f aca="false">+S20</f>
        <v>-0.149999618530273</v>
      </c>
      <c r="M20" s="324" t="n">
        <f aca="false">+'EOL LINKS'!H57</f>
        <v>26.7</v>
      </c>
      <c r="N20" s="326" t="n">
        <f aca="false">+M20-K20</f>
        <v>-0.800000000000001</v>
      </c>
      <c r="O20" s="336" t="n">
        <v>27.6499996185303</v>
      </c>
      <c r="P20" s="320"/>
      <c r="Q20" s="320"/>
      <c r="R20" s="320" t="n">
        <f aca="false">+E20</f>
        <v>401</v>
      </c>
      <c r="S20" s="16" t="n">
        <f aca="false">+'EOL LINKS'!H28-Master!O20</f>
        <v>-0.149999618530273</v>
      </c>
      <c r="T20" s="328" t="n">
        <v>37288</v>
      </c>
      <c r="U20" s="329" t="n">
        <f aca="false">+TradeSum!CD16</f>
        <v>320</v>
      </c>
      <c r="V20" s="329" t="n">
        <f aca="false">SUM(U19:U20)</f>
        <v>672</v>
      </c>
      <c r="W20" s="330" t="n">
        <f aca="false">+TradeSum!CE16</f>
        <v>0.981460488623682</v>
      </c>
      <c r="X20" s="313" t="n">
        <f aca="false">+U20*TradeSum!I16</f>
        <v>9301.33294968378</v>
      </c>
      <c r="Y20" s="329" t="n">
        <f aca="false">SUM(X19:X20)</f>
        <v>19656</v>
      </c>
      <c r="Z20" s="16" t="n">
        <f aca="false">+Y20/$V20</f>
        <v>29.25</v>
      </c>
      <c r="AB20" s="313" t="n">
        <f aca="false">+U20*TradeSum!I61</f>
        <v>8454.326555119</v>
      </c>
      <c r="AC20" s="329" t="n">
        <f aca="false">SUM(AB19:AB20)</f>
        <v>18210.5926654938</v>
      </c>
      <c r="AD20" s="16" t="n">
        <f aca="false">+AC20/$V20</f>
        <v>27.0990962284134</v>
      </c>
      <c r="AE20" s="16"/>
      <c r="AF20" s="313" t="n">
        <f aca="false">+Y20*TradeSum!M69</f>
        <v>0</v>
      </c>
      <c r="AG20" s="313"/>
      <c r="AH20" s="304"/>
      <c r="AI20" s="304"/>
      <c r="AJ20" s="287"/>
      <c r="AK20" s="287"/>
      <c r="AL20" s="287"/>
      <c r="AM20" s="287"/>
      <c r="AN20" s="287"/>
      <c r="AO20" s="287"/>
      <c r="AP20" s="287"/>
      <c r="AQ20" s="287"/>
      <c r="AR20" s="288"/>
      <c r="AS20" s="331"/>
      <c r="AT20" s="287"/>
    </row>
    <row r="21" customFormat="false" ht="12.75" hidden="false" customHeight="false" outlineLevel="0" collapsed="false">
      <c r="A21" s="352" t="s">
        <v>196</v>
      </c>
      <c r="B21" s="344" t="n">
        <f aca="false">(B14+B17+B18+B19+B20)/5</f>
        <v>-322.199141504292</v>
      </c>
      <c r="C21" s="344" t="n">
        <f aca="false">(C14+C17+C18+C19+C20)/5</f>
        <v>-636.558887147567</v>
      </c>
      <c r="D21" s="344" t="n">
        <f aca="false">(D14+D17+D18+D19+D20)/5</f>
        <v>303.559745643275</v>
      </c>
      <c r="E21" s="344" t="n">
        <f aca="false">(E14+E17+E18+E19+E20)/5</f>
        <v>10.8</v>
      </c>
      <c r="F21" s="353" t="s">
        <v>197</v>
      </c>
      <c r="G21" s="354" t="n">
        <f aca="false">AVERAGE(G18:G20)</f>
        <v>9.73647168507047</v>
      </c>
      <c r="H21" s="344" t="n">
        <f aca="false">+H12+H14+H17+H18</f>
        <v>-415.138506799571</v>
      </c>
      <c r="I21" s="355" t="n">
        <f aca="false">+I20+I19+I18</f>
        <v>-802.592594743132</v>
      </c>
      <c r="J21" s="356" t="n">
        <f aca="false">+K31-K44</f>
        <v>5.25</v>
      </c>
      <c r="K21" s="335" t="n">
        <f aca="false">(('EOL LINKS'!H26*368)+('EOL LINKS'!H27*336)+('EOL LINKS'!H28*320))/1024</f>
        <v>26.51640625</v>
      </c>
      <c r="L21" s="335" t="n">
        <f aca="false">+'EOL LINKS'!H13</f>
        <v>26.525</v>
      </c>
      <c r="M21" s="357" t="n">
        <f aca="false">((M18*368)+(M19*336)+(M20*320))/1024</f>
        <v>25.64453125</v>
      </c>
      <c r="N21" s="357" t="n">
        <f aca="false">+M21-K21</f>
        <v>-0.871875000000003</v>
      </c>
      <c r="O21" s="336"/>
      <c r="P21" s="344"/>
      <c r="Q21" s="358"/>
      <c r="R21" s="358"/>
      <c r="T21" s="328" t="n">
        <v>37316</v>
      </c>
      <c r="U21" s="329" t="n">
        <f aca="false">+TradeSum!CD17</f>
        <v>336</v>
      </c>
      <c r="V21" s="329"/>
      <c r="W21" s="330" t="n">
        <f aca="false">+TradeSum!CE17</f>
        <v>0.978574306199235</v>
      </c>
      <c r="X21" s="313" t="n">
        <f aca="false">+U21*TradeSum!I17</f>
        <v>9246.6417293105</v>
      </c>
      <c r="Y21" s="329"/>
      <c r="AB21" s="313" t="n">
        <f aca="false">+U21*TradeSum!I62</f>
        <v>9028.24185748433</v>
      </c>
      <c r="AC21" s="329"/>
      <c r="AD21" s="16"/>
      <c r="AE21" s="16"/>
      <c r="AF21" s="313" t="n">
        <f aca="false">+Y21*TradeSum!M70</f>
        <v>0</v>
      </c>
      <c r="AG21" s="313" t="n">
        <f aca="false">SUM(AF20:AF21)</f>
        <v>0</v>
      </c>
      <c r="AH21" s="304"/>
      <c r="AI21" s="304"/>
      <c r="AJ21" s="287"/>
      <c r="AK21" s="287"/>
      <c r="AL21" s="287"/>
      <c r="AM21" s="287"/>
      <c r="AN21" s="287"/>
      <c r="AO21" s="287"/>
      <c r="AP21" s="287"/>
      <c r="AQ21" s="287"/>
      <c r="AR21" s="288"/>
      <c r="AS21" s="331"/>
      <c r="AT21" s="287"/>
      <c r="AX21" s="261" t="n">
        <f aca="false">SUM(AX7:AX17)/SUM($U8:$U19)</f>
        <v>0</v>
      </c>
      <c r="AZ21" s="261" t="n">
        <f aca="false">SUM(AZ7:AZ17)/SUM($U8:$U19)</f>
        <v>0</v>
      </c>
    </row>
    <row r="22" customFormat="false" ht="12.75" hidden="true" customHeight="false" outlineLevel="0" collapsed="false">
      <c r="A22" s="359" t="s">
        <v>195</v>
      </c>
      <c r="B22" s="360" t="n">
        <f aca="false">SUM(C22:H22)</f>
        <v>0</v>
      </c>
      <c r="C22" s="361" t="n">
        <v>0</v>
      </c>
      <c r="D22" s="361"/>
      <c r="E22" s="361" t="n">
        <v>0</v>
      </c>
      <c r="F22" s="362"/>
      <c r="G22" s="363"/>
      <c r="H22" s="333"/>
      <c r="I22" s="333"/>
      <c r="J22" s="359" t="s">
        <v>195</v>
      </c>
      <c r="K22" s="324"/>
      <c r="L22" s="364"/>
      <c r="M22" s="324"/>
      <c r="N22" s="365"/>
      <c r="O22" s="336" t="n">
        <v>0</v>
      </c>
      <c r="P22" s="362"/>
      <c r="Q22" s="366"/>
      <c r="R22" s="366" t="n">
        <v>51.1140416762408</v>
      </c>
      <c r="T22" s="328" t="n">
        <v>37347</v>
      </c>
      <c r="U22" s="329" t="n">
        <f aca="false">+TradeSum!CD18</f>
        <v>352</v>
      </c>
      <c r="V22" s="329" t="n">
        <f aca="false">SUM(U21:U22)</f>
        <v>688</v>
      </c>
      <c r="W22" s="330" t="n">
        <f aca="false">+TradeSum!CE18</f>
        <v>0.975763311881444</v>
      </c>
      <c r="X22" s="313" t="n">
        <f aca="false">+U22*TradeSum!I18</f>
        <v>9845.3582706895</v>
      </c>
      <c r="Y22" s="329" t="n">
        <f aca="false">SUM(X21:X22)</f>
        <v>19092</v>
      </c>
      <c r="Z22" s="16" t="n">
        <f aca="false">+Y22/$V22</f>
        <v>27.75</v>
      </c>
      <c r="AB22" s="313" t="n">
        <f aca="false">+U22*TradeSum!I63</f>
        <v>10771.1987915039</v>
      </c>
      <c r="AC22" s="329" t="n">
        <f aca="false">SUM(AB21:AB22)</f>
        <v>19799.4406489882</v>
      </c>
      <c r="AD22" s="16" t="n">
        <f aca="false">+AC22/$V22</f>
        <v>28.7782567572503</v>
      </c>
      <c r="AE22" s="16"/>
      <c r="AF22" s="313" t="n">
        <f aca="false">+Y22*TradeSum!M71</f>
        <v>0</v>
      </c>
      <c r="AG22" s="313"/>
      <c r="AH22" s="304"/>
      <c r="AI22" s="304"/>
      <c r="AJ22" s="287"/>
      <c r="AK22" s="287"/>
      <c r="AL22" s="287"/>
      <c r="AM22" s="287"/>
      <c r="AN22" s="287"/>
      <c r="AO22" s="287"/>
      <c r="AP22" s="287"/>
      <c r="AQ22" s="287"/>
      <c r="AR22" s="288"/>
      <c r="AS22" s="331"/>
      <c r="AT22" s="287"/>
    </row>
    <row r="23" customFormat="false" ht="12.75" hidden="true" customHeight="false" outlineLevel="0" collapsed="false">
      <c r="A23" s="359" t="s">
        <v>121</v>
      </c>
      <c r="B23" s="318" t="n">
        <f aca="false">SUM(C23:H23)</f>
        <v>-1983.42364677413</v>
      </c>
      <c r="C23" s="319" t="n">
        <f aca="false">+TradeSum!F21</f>
        <v>-1133.76513842871</v>
      </c>
      <c r="D23" s="319" t="n">
        <f aca="false">+TradeSum!F65</f>
        <v>-849.658508345421</v>
      </c>
      <c r="E23" s="319" t="n">
        <f aca="false">+TradeSum!B156/TradeSum!CD26</f>
        <v>0</v>
      </c>
      <c r="F23" s="320"/>
      <c r="G23" s="363"/>
      <c r="H23" s="333"/>
      <c r="I23" s="333"/>
      <c r="J23" s="359" t="s">
        <v>121</v>
      </c>
      <c r="K23" s="324" t="n">
        <f aca="false">+TradeSum!I18</f>
        <v>27.9697678144588</v>
      </c>
      <c r="L23" s="367" t="n">
        <v>0.5</v>
      </c>
      <c r="M23" s="324" t="n">
        <f aca="false">+TradeSum!I65</f>
        <v>53.625</v>
      </c>
      <c r="N23" s="326" t="n">
        <f aca="false">+M23-K23</f>
        <v>25.6552321855412</v>
      </c>
      <c r="O23" s="336" t="n">
        <v>38.5371437072754</v>
      </c>
      <c r="P23" s="320"/>
      <c r="Q23" s="327"/>
      <c r="R23" s="327" t="n">
        <v>45.9356248810535</v>
      </c>
      <c r="T23" s="328" t="n">
        <v>37377</v>
      </c>
      <c r="U23" s="329" t="n">
        <f aca="false">+TradeSum!CD19</f>
        <v>352</v>
      </c>
      <c r="V23" s="329"/>
      <c r="W23" s="330" t="n">
        <f aca="false">+TradeSum!CE19</f>
        <v>0.972813010513454</v>
      </c>
      <c r="X23" s="313" t="n">
        <f aca="false">+U23*TradeSum!I19</f>
        <v>11000</v>
      </c>
      <c r="Y23" s="329"/>
      <c r="AB23" s="313" t="n">
        <f aca="false">+U23*TradeSum!I64</f>
        <v>14080</v>
      </c>
      <c r="AC23" s="329"/>
      <c r="AD23" s="16"/>
      <c r="AE23" s="16"/>
      <c r="AF23" s="313" t="n">
        <f aca="false">+Y23*TradeSum!M72</f>
        <v>0</v>
      </c>
      <c r="AG23" s="313" t="n">
        <f aca="false">SUM(AF22:AF23)</f>
        <v>0</v>
      </c>
      <c r="AH23" s="304"/>
      <c r="AI23" s="368" t="s">
        <v>158</v>
      </c>
      <c r="AJ23" s="369" t="n">
        <f aca="false">((TradeSum!G17*352)+(TradeSum!G18*320))/672</f>
        <v>27.9840538388207</v>
      </c>
      <c r="AK23" s="287"/>
      <c r="AL23" s="287"/>
      <c r="AM23" s="287"/>
      <c r="AN23" s="287"/>
      <c r="AO23" s="287"/>
      <c r="AP23" s="287"/>
      <c r="AQ23" s="287"/>
      <c r="AR23" s="288"/>
      <c r="AS23" s="331"/>
      <c r="AT23" s="287"/>
    </row>
    <row r="24" customFormat="false" ht="12.75" hidden="true" customHeight="false" outlineLevel="0" collapsed="false">
      <c r="A24" s="359" t="s">
        <v>198</v>
      </c>
      <c r="B24" s="318" t="n">
        <f aca="false">SUM(C24:H24)</f>
        <v>-2014.85898139555</v>
      </c>
      <c r="C24" s="319" t="n">
        <f aca="false">+TradeSum!F22</f>
        <v>-1165.26152109775</v>
      </c>
      <c r="D24" s="319" t="n">
        <f aca="false">+TradeSum!F66</f>
        <v>-849.597460297794</v>
      </c>
      <c r="E24" s="319" t="n">
        <f aca="false">+TradeSum!B157/TradeSum!CD27</f>
        <v>0</v>
      </c>
      <c r="F24" s="320"/>
      <c r="G24" s="363"/>
      <c r="H24" s="333"/>
      <c r="I24" s="333"/>
      <c r="J24" s="359" t="s">
        <v>198</v>
      </c>
      <c r="K24" s="324" t="n">
        <f aca="false">+TradeSum!I19</f>
        <v>31.25</v>
      </c>
      <c r="L24" s="367" t="n">
        <v>0.5</v>
      </c>
      <c r="M24" s="324" t="n">
        <f aca="false">+TradeSum!I66</f>
        <v>53.625</v>
      </c>
      <c r="N24" s="326" t="n">
        <f aca="false">+M24-K24</f>
        <v>22.375</v>
      </c>
      <c r="O24" s="336" t="n">
        <v>37.937141418457</v>
      </c>
      <c r="P24" s="320"/>
      <c r="Q24" s="327"/>
      <c r="R24" s="327"/>
      <c r="T24" s="328" t="n">
        <v>37408</v>
      </c>
      <c r="U24" s="329" t="n">
        <f aca="false">+TradeSum!CD20</f>
        <v>320</v>
      </c>
      <c r="V24" s="329"/>
      <c r="W24" s="330" t="n">
        <f aca="false">+TradeSum!CE20</f>
        <v>0.969950971788438</v>
      </c>
      <c r="X24" s="313" t="n">
        <f aca="false">+U24*TradeSum!I20</f>
        <v>13120</v>
      </c>
      <c r="Y24" s="329"/>
      <c r="AB24" s="313" t="n">
        <f aca="false">+U24*TradeSum!I65</f>
        <v>17160</v>
      </c>
      <c r="AC24" s="329"/>
      <c r="AD24" s="16"/>
      <c r="AE24" s="16"/>
      <c r="AF24" s="313" t="n">
        <f aca="false">+Y24*TradeSum!M73</f>
        <v>0</v>
      </c>
      <c r="AG24" s="313"/>
      <c r="AH24" s="304"/>
      <c r="AI24" s="359" t="s">
        <v>189</v>
      </c>
      <c r="AJ24" s="369"/>
      <c r="AK24" s="287"/>
      <c r="AL24" s="287"/>
      <c r="AM24" s="287"/>
      <c r="AN24" s="287"/>
      <c r="AO24" s="287"/>
      <c r="AP24" s="287"/>
      <c r="AQ24" s="287"/>
      <c r="AR24" s="288"/>
      <c r="AS24" s="331"/>
      <c r="AT24" s="287"/>
    </row>
    <row r="25" customFormat="false" ht="12.75" hidden="false" customHeight="false" outlineLevel="0" collapsed="false">
      <c r="A25" s="359" t="s">
        <v>158</v>
      </c>
      <c r="B25" s="318" t="n">
        <f aca="false">SUM(C25:F25)</f>
        <v>-393.34511281266</v>
      </c>
      <c r="C25" s="319" t="n">
        <f aca="false">AVERAGE(TradeSum!F15:F16)</f>
        <v>973.89429390581</v>
      </c>
      <c r="D25" s="319" t="n">
        <f aca="false">AVERAGE(TradeSum!F59:F60)</f>
        <v>-1220.03940671847</v>
      </c>
      <c r="E25" s="319" t="n">
        <v>-146</v>
      </c>
      <c r="F25" s="370" t="n">
        <f aca="false">+'EOL LINKS'!H36</f>
        <v>-1.2</v>
      </c>
      <c r="G25" s="371" t="n">
        <f aca="false">+K25/AVERAGE(U60:U61)</f>
        <v>9.17647058823529</v>
      </c>
      <c r="H25" s="333" t="n">
        <f aca="false">+G25*672*B25/10000</f>
        <v>-242.559734508099</v>
      </c>
      <c r="I25" s="333" t="n">
        <f aca="false">+H25+SUM(Total!T50:T51)</f>
        <v>1156.35829827879</v>
      </c>
      <c r="J25" s="368" t="s">
        <v>158</v>
      </c>
      <c r="K25" s="372" t="n">
        <f aca="false">+Z20</f>
        <v>29.25</v>
      </c>
      <c r="L25" s="349" t="n">
        <f aca="false">+S25</f>
        <v>-0.250000181652251</v>
      </c>
      <c r="M25" s="324" t="n">
        <f aca="false">+AD20</f>
        <v>27.0990962284134</v>
      </c>
      <c r="N25" s="326" t="n">
        <f aca="false">+M25-K25</f>
        <v>-2.15090377158658</v>
      </c>
      <c r="O25" s="336" t="n">
        <v>29.5000001816523</v>
      </c>
      <c r="P25" s="320" t="n">
        <f aca="false">+R25*672</f>
        <v>-98112</v>
      </c>
      <c r="Q25" s="320" t="n">
        <f aca="false">+P25*L25</f>
        <v>24528.0178222656</v>
      </c>
      <c r="R25" s="320" t="n">
        <f aca="false">+E25</f>
        <v>-146</v>
      </c>
      <c r="S25" s="16" t="n">
        <f aca="false">+'EOL LINKS'!H2-Master!O25</f>
        <v>-0.250000181652251</v>
      </c>
      <c r="T25" s="328" t="n">
        <v>37438</v>
      </c>
      <c r="U25" s="329" t="n">
        <f aca="false">+TradeSum!CD21</f>
        <v>352</v>
      </c>
      <c r="V25" s="329"/>
      <c r="W25" s="330" t="n">
        <f aca="false">+TradeSum!CE21</f>
        <v>0.966929766386753</v>
      </c>
      <c r="X25" s="313" t="n">
        <f aca="false">+U25*TradeSum!I21</f>
        <v>19316</v>
      </c>
      <c r="Y25" s="329"/>
      <c r="AB25" s="313" t="n">
        <f aca="false">+U25*TradeSum!I66</f>
        <v>18876</v>
      </c>
      <c r="AC25" s="329"/>
      <c r="AD25" s="16"/>
      <c r="AE25" s="16"/>
      <c r="AF25" s="313" t="n">
        <f aca="false">+Y25*TradeSum!M74</f>
        <v>0</v>
      </c>
      <c r="AG25" s="313"/>
      <c r="AH25" s="304"/>
      <c r="AI25" s="359" t="s">
        <v>199</v>
      </c>
      <c r="AJ25" s="369"/>
      <c r="AK25" s="287"/>
      <c r="AL25" s="287"/>
      <c r="AM25" s="287"/>
      <c r="AN25" s="287"/>
      <c r="AO25" s="287"/>
      <c r="AP25" s="287"/>
      <c r="AQ25" s="287"/>
      <c r="AR25" s="288"/>
      <c r="AS25" s="331"/>
      <c r="AT25" s="287"/>
    </row>
    <row r="26" customFormat="false" ht="12.75" hidden="true" customHeight="false" outlineLevel="0" collapsed="false">
      <c r="A26" s="359" t="s">
        <v>189</v>
      </c>
      <c r="B26" s="318" t="n">
        <f aca="false">SUM(C26:H26)</f>
        <v>-549.691694115878</v>
      </c>
      <c r="C26" s="319" t="n">
        <f aca="false">+TradeSum!F23</f>
        <v>-849.506710585405</v>
      </c>
      <c r="D26" s="319" t="n">
        <f aca="false">+TradeSum!F67</f>
        <v>299.815016469527</v>
      </c>
      <c r="E26" s="319" t="n">
        <f aca="false">+TradeSum!B158/TradeSum!CD28</f>
        <v>0</v>
      </c>
      <c r="F26" s="370"/>
      <c r="G26" s="373"/>
      <c r="H26" s="333"/>
      <c r="I26" s="333"/>
      <c r="J26" s="359" t="s">
        <v>189</v>
      </c>
      <c r="K26" s="372" t="n">
        <f aca="false">+TradeSum!I20</f>
        <v>41</v>
      </c>
      <c r="L26" s="349" t="n">
        <f aca="false">+S26</f>
        <v>0</v>
      </c>
      <c r="M26" s="324" t="n">
        <f aca="false">+TradeSum!I67</f>
        <v>27.2499942779541</v>
      </c>
      <c r="N26" s="326" t="n">
        <f aca="false">+M26-K26</f>
        <v>-13.7500057220459</v>
      </c>
      <c r="O26" s="336" t="n">
        <v>30.75</v>
      </c>
      <c r="P26" s="320"/>
      <c r="Q26" s="320" t="n">
        <f aca="false">+P26*L26</f>
        <v>0</v>
      </c>
      <c r="R26" s="320" t="n">
        <f aca="false">+E26</f>
        <v>0</v>
      </c>
      <c r="T26" s="328" t="n">
        <v>37469</v>
      </c>
      <c r="U26" s="329" t="n">
        <f aca="false">+TradeSum!CD22</f>
        <v>352</v>
      </c>
      <c r="V26" s="329" t="n">
        <f aca="false">SUM(U25:U26)</f>
        <v>704</v>
      </c>
      <c r="W26" s="330" t="n">
        <f aca="false">+TradeSum!CE22</f>
        <v>0.963775898189151</v>
      </c>
      <c r="X26" s="313" t="n">
        <f aca="false">+U26*TradeSum!I22</f>
        <v>19316</v>
      </c>
      <c r="Y26" s="329" t="n">
        <f aca="false">SUM(X25:X26)</f>
        <v>38632</v>
      </c>
      <c r="Z26" s="16" t="n">
        <f aca="false">+Y26/$V26</f>
        <v>54.875</v>
      </c>
      <c r="AB26" s="313" t="n">
        <f aca="false">+U26*TradeSum!I67</f>
        <v>9591.99798583984</v>
      </c>
      <c r="AC26" s="329" t="n">
        <f aca="false">SUM(AB25:AB26)</f>
        <v>28467.9979858398</v>
      </c>
      <c r="AD26" s="16" t="n">
        <f aca="false">+AC26/$V26</f>
        <v>40.4374971389771</v>
      </c>
      <c r="AE26" s="16"/>
      <c r="AF26" s="313" t="n">
        <f aca="false">+Y26*TradeSum!M75</f>
        <v>0</v>
      </c>
      <c r="AG26" s="313"/>
      <c r="AH26" s="304"/>
      <c r="AI26" s="359" t="s">
        <v>159</v>
      </c>
      <c r="AJ26" s="369" t="n">
        <f aca="false">((TradeSum!G19*336)+(TradeSum!G20*352))/688</f>
        <v>36.4302325581395</v>
      </c>
      <c r="AK26" s="287"/>
      <c r="AL26" s="287"/>
      <c r="AM26" s="287"/>
      <c r="AN26" s="287"/>
      <c r="AO26" s="287"/>
      <c r="AP26" s="287"/>
      <c r="AQ26" s="287"/>
      <c r="AR26" s="288"/>
      <c r="AS26" s="331"/>
      <c r="AT26" s="287"/>
    </row>
    <row r="27" customFormat="false" ht="12.75" hidden="true" customHeight="false" outlineLevel="0" collapsed="false">
      <c r="A27" s="359" t="s">
        <v>199</v>
      </c>
      <c r="B27" s="318" t="n">
        <f aca="false">SUM(C27:H27)</f>
        <v>96.7619766691259</v>
      </c>
      <c r="C27" s="319" t="n">
        <f aca="false">+TradeSum!F24</f>
        <v>596.377151287315</v>
      </c>
      <c r="D27" s="319" t="n">
        <f aca="false">+TradeSum!F68</f>
        <v>-499.615174618189</v>
      </c>
      <c r="E27" s="319" t="n">
        <f aca="false">+TradeSum!B159/TradeSum!CD29</f>
        <v>0</v>
      </c>
      <c r="F27" s="370"/>
      <c r="G27" s="371"/>
      <c r="H27" s="333"/>
      <c r="I27" s="333"/>
      <c r="J27" s="359" t="s">
        <v>199</v>
      </c>
      <c r="K27" s="372" t="n">
        <f aca="false">+TradeSum!I21</f>
        <v>54.875</v>
      </c>
      <c r="L27" s="349" t="n">
        <f aca="false">+S27</f>
        <v>0</v>
      </c>
      <c r="M27" s="324" t="n">
        <f aca="false">+TradeSum!I68</f>
        <v>28.2562481462955</v>
      </c>
      <c r="N27" s="326" t="n">
        <f aca="false">+M27-K27</f>
        <v>-26.6187518537045</v>
      </c>
      <c r="O27" s="336" t="n">
        <v>41</v>
      </c>
      <c r="P27" s="320"/>
      <c r="Q27" s="320" t="n">
        <f aca="false">+P27*L27</f>
        <v>0</v>
      </c>
      <c r="R27" s="320" t="n">
        <f aca="false">+E27</f>
        <v>0</v>
      </c>
      <c r="T27" s="328" t="n">
        <v>37500</v>
      </c>
      <c r="U27" s="329" t="n">
        <f aca="false">+TradeSum!CD23</f>
        <v>320</v>
      </c>
      <c r="V27" s="329"/>
      <c r="W27" s="330" t="n">
        <f aca="false">+TradeSum!CE23</f>
        <v>0.960683921746086</v>
      </c>
      <c r="X27" s="313" t="n">
        <f aca="false">+U27*TradeSum!I23</f>
        <v>9040</v>
      </c>
      <c r="Y27" s="329"/>
      <c r="AB27" s="313" t="n">
        <f aca="false">+U27*TradeSum!I68</f>
        <v>9041.99940681458</v>
      </c>
      <c r="AC27" s="329"/>
      <c r="AD27" s="16"/>
      <c r="AE27" s="16"/>
      <c r="AF27" s="313" t="n">
        <f aca="false">+Y27*TradeSum!M76</f>
        <v>0</v>
      </c>
      <c r="AG27" s="313" t="n">
        <f aca="false">SUM(AF26:AF27)</f>
        <v>0</v>
      </c>
      <c r="AH27" s="304"/>
      <c r="AI27" s="359" t="s">
        <v>124</v>
      </c>
      <c r="AJ27" s="369" t="n">
        <f aca="false">+TradeSum!G21</f>
        <v>55.375</v>
      </c>
      <c r="AK27" s="287"/>
      <c r="AL27" s="287"/>
      <c r="AM27" s="287"/>
      <c r="AN27" s="287"/>
      <c r="AO27" s="287"/>
      <c r="AP27" s="287"/>
      <c r="AQ27" s="287"/>
      <c r="AR27" s="288"/>
      <c r="AS27" s="331"/>
      <c r="AT27" s="287"/>
    </row>
    <row r="28" customFormat="false" ht="12.75" hidden="false" customHeight="false" outlineLevel="0" collapsed="false">
      <c r="A28" s="359" t="s">
        <v>159</v>
      </c>
      <c r="B28" s="318" t="n">
        <f aca="false">SUM(C28:F28)</f>
        <v>-343.25978283994</v>
      </c>
      <c r="C28" s="319" t="n">
        <f aca="false">AVERAGE(TradeSum!F17:F18)</f>
        <v>22.8306048592072</v>
      </c>
      <c r="D28" s="319" t="n">
        <f aca="false">AVERAGE(TradeSum!F61:F62)</f>
        <v>-169.990387699147</v>
      </c>
      <c r="E28" s="319" t="n">
        <v>-195</v>
      </c>
      <c r="F28" s="370" t="n">
        <f aca="false">+'EOL LINKS'!H37</f>
        <v>-1.1</v>
      </c>
      <c r="G28" s="371" t="n">
        <f aca="false">K28/AVERAGE(U62:U63)</f>
        <v>9.09090909090909</v>
      </c>
      <c r="H28" s="333" t="n">
        <f aca="false">+G28*688*B28/10000</f>
        <v>-214.693391448981</v>
      </c>
      <c r="I28" s="333" t="n">
        <f aca="false">+H28+SUM(Total!T52:T53)</f>
        <v>-1048.00486685882</v>
      </c>
      <c r="J28" s="374" t="s">
        <v>159</v>
      </c>
      <c r="K28" s="372" t="n">
        <f aca="false">+Z22</f>
        <v>27.75</v>
      </c>
      <c r="L28" s="349" t="n">
        <f aca="false">+S28</f>
        <v>-0.25000070971112</v>
      </c>
      <c r="M28" s="324" t="n">
        <f aca="false">+AD22</f>
        <v>28.7782567572503</v>
      </c>
      <c r="N28" s="326" t="n">
        <f aca="false">+M28-K28</f>
        <v>1.02825675725034</v>
      </c>
      <c r="O28" s="336" t="n">
        <v>28.0000007097111</v>
      </c>
      <c r="P28" s="320" t="n">
        <f aca="false">+R28*688</f>
        <v>-134160</v>
      </c>
      <c r="Q28" s="320" t="n">
        <f aca="false">+P28*L28</f>
        <v>33540.0952148439</v>
      </c>
      <c r="R28" s="320" t="n">
        <f aca="false">+E28</f>
        <v>-195</v>
      </c>
      <c r="S28" s="16" t="n">
        <f aca="false">+'EOL LINKS'!H3-Master!O28</f>
        <v>-0.25000070971112</v>
      </c>
      <c r="T28" s="328" t="n">
        <v>37530</v>
      </c>
      <c r="U28" s="329" t="n">
        <f aca="false">+TradeSum!CD24</f>
        <v>368</v>
      </c>
      <c r="V28" s="329"/>
      <c r="W28" s="330" t="n">
        <f aca="false">+TradeSum!CE24</f>
        <v>0.957412569646852</v>
      </c>
      <c r="X28" s="313" t="n">
        <f aca="false">+U28*TradeSum!I24</f>
        <v>10600.6997389793</v>
      </c>
      <c r="Y28" s="329"/>
      <c r="AB28" s="313" t="n">
        <f aca="false">+U28*TradeSum!I69</f>
        <v>10471.8988966942</v>
      </c>
      <c r="AC28" s="329"/>
      <c r="AD28" s="16"/>
      <c r="AE28" s="16"/>
      <c r="AF28" s="313" t="n">
        <f aca="false">+Y28*TradeSum!M77</f>
        <v>0</v>
      </c>
      <c r="AG28" s="313"/>
      <c r="AH28" s="304"/>
      <c r="AI28" s="359" t="s">
        <v>128</v>
      </c>
      <c r="AJ28" s="369" t="n">
        <f aca="false">+TradeSum!G22</f>
        <v>55.375</v>
      </c>
      <c r="AK28" s="287"/>
      <c r="AL28" s="287"/>
      <c r="AM28" s="287"/>
      <c r="AN28" s="287"/>
      <c r="AO28" s="287"/>
      <c r="AP28" s="287"/>
      <c r="AQ28" s="287"/>
      <c r="AR28" s="288"/>
      <c r="AS28" s="331"/>
      <c r="AT28" s="287"/>
    </row>
    <row r="29" customFormat="false" ht="12.75" hidden="false" customHeight="false" outlineLevel="0" collapsed="false">
      <c r="A29" s="359" t="s">
        <v>124</v>
      </c>
      <c r="B29" s="318" t="n">
        <f aca="false">SUM(C29:F29)</f>
        <v>-1050.74905891316</v>
      </c>
      <c r="C29" s="319" t="n">
        <f aca="false">+TradeSum!F19</f>
        <v>-487.153688222772</v>
      </c>
      <c r="D29" s="319" t="n">
        <f aca="false">+TradeSum!F63</f>
        <v>-419.945370690383</v>
      </c>
      <c r="E29" s="319" t="n">
        <v>-143</v>
      </c>
      <c r="F29" s="370" t="n">
        <f aca="false">+'EOL LINKS'!H38</f>
        <v>-0.65</v>
      </c>
      <c r="G29" s="371" t="n">
        <f aca="false">+K29/U64</f>
        <v>10.3476821192053</v>
      </c>
      <c r="H29" s="333" t="n">
        <f aca="false">+G29*352*B29/10000</f>
        <v>-382.723167153798</v>
      </c>
      <c r="I29" s="333" t="n">
        <f aca="false">+H29+Total!T54</f>
        <v>-866.35080181422</v>
      </c>
      <c r="J29" s="374" t="s">
        <v>124</v>
      </c>
      <c r="K29" s="372" t="n">
        <f aca="false">+TradeSum!I19</f>
        <v>31.25</v>
      </c>
      <c r="L29" s="349" t="n">
        <f aca="false">+S29</f>
        <v>0</v>
      </c>
      <c r="M29" s="324" t="n">
        <f aca="false">+TradeSum!S64</f>
        <v>40</v>
      </c>
      <c r="N29" s="326" t="n">
        <f aca="false">+M29-K29</f>
        <v>8.75</v>
      </c>
      <c r="O29" s="336" t="n">
        <v>31.25</v>
      </c>
      <c r="P29" s="320" t="n">
        <f aca="false">+R29*352</f>
        <v>-50336</v>
      </c>
      <c r="Q29" s="320" t="n">
        <f aca="false">+P29*L29</f>
        <v>-0</v>
      </c>
      <c r="R29" s="320" t="n">
        <f aca="false">+E29</f>
        <v>-143</v>
      </c>
      <c r="S29" s="16" t="n">
        <f aca="false">+'EOL LINKS'!H4-Master!O29</f>
        <v>0</v>
      </c>
      <c r="T29" s="328" t="n">
        <v>37561</v>
      </c>
      <c r="U29" s="329" t="n">
        <f aca="false">+TradeSum!CD25</f>
        <v>320</v>
      </c>
      <c r="V29" s="329"/>
      <c r="W29" s="330" t="n">
        <f aca="false">+TradeSum!CE25</f>
        <v>0.954089178150039</v>
      </c>
      <c r="X29" s="313" t="n">
        <f aca="false">+U29*TradeSum!I25</f>
        <v>9282.0006275177</v>
      </c>
      <c r="Y29" s="329"/>
      <c r="AB29" s="313" t="n">
        <f aca="false">+U29*TradeSum!I70</f>
        <v>9169.99928474426</v>
      </c>
      <c r="AC29" s="329"/>
      <c r="AD29" s="16"/>
      <c r="AE29" s="16"/>
      <c r="AF29" s="313" t="n">
        <f aca="false">+Y29*TradeSum!M78</f>
        <v>0</v>
      </c>
      <c r="AG29" s="313"/>
      <c r="AH29" s="304"/>
      <c r="AI29" s="359" t="s">
        <v>193</v>
      </c>
      <c r="AJ29" s="369" t="n">
        <f aca="false">+TradeSum!G23</f>
        <v>28.25</v>
      </c>
      <c r="AK29" s="287"/>
      <c r="AL29" s="287"/>
      <c r="AM29" s="287"/>
      <c r="AN29" s="287"/>
      <c r="AO29" s="287"/>
      <c r="AP29" s="287"/>
      <c r="AQ29" s="287"/>
      <c r="AR29" s="288"/>
      <c r="AS29" s="331"/>
      <c r="AT29" s="287"/>
    </row>
    <row r="30" customFormat="false" ht="12.75" hidden="false" customHeight="false" outlineLevel="0" collapsed="false">
      <c r="A30" s="359" t="s">
        <v>128</v>
      </c>
      <c r="B30" s="318" t="n">
        <f aca="false">SUM(C30:F30)</f>
        <v>-1502.59237034108</v>
      </c>
      <c r="C30" s="319" t="n">
        <f aca="false">+TradeSum!F20</f>
        <v>-1649.64497299409</v>
      </c>
      <c r="D30" s="319" t="n">
        <f aca="false">+TradeSum!F64</f>
        <v>-199.947397346989</v>
      </c>
      <c r="E30" s="319" t="n">
        <v>348</v>
      </c>
      <c r="F30" s="370" t="n">
        <f aca="false">+'EOL LINKS'!H39</f>
        <v>-1</v>
      </c>
      <c r="G30" s="371" t="n">
        <f aca="false">+K30/U65</f>
        <v>13.3986928104575</v>
      </c>
      <c r="H30" s="333" t="n">
        <f aca="false">+G30*336*B30/10000</f>
        <v>-676.461192608456</v>
      </c>
      <c r="I30" s="333" t="n">
        <f aca="false">+H30+Total!T55</f>
        <v>-905.088827268877</v>
      </c>
      <c r="J30" s="374" t="s">
        <v>128</v>
      </c>
      <c r="K30" s="372" t="n">
        <f aca="false">+TradeSum!I20</f>
        <v>41</v>
      </c>
      <c r="L30" s="349" t="n">
        <f aca="false">+S30</f>
        <v>-0.375</v>
      </c>
      <c r="M30" s="324" t="n">
        <f aca="false">+TradeSum!S65</f>
        <v>53.625</v>
      </c>
      <c r="N30" s="326" t="n">
        <f aca="false">+M30-K30</f>
        <v>12.625</v>
      </c>
      <c r="O30" s="336" t="n">
        <v>41.375</v>
      </c>
      <c r="P30" s="320" t="n">
        <f aca="false">+R30*336</f>
        <v>116928</v>
      </c>
      <c r="Q30" s="320" t="n">
        <f aca="false">+P30*L30</f>
        <v>-43848</v>
      </c>
      <c r="R30" s="320" t="n">
        <f aca="false">+E30</f>
        <v>348</v>
      </c>
      <c r="S30" s="16" t="n">
        <f aca="false">+'EOL LINKS'!H5-Master!O30</f>
        <v>-0.375</v>
      </c>
      <c r="T30" s="328" t="n">
        <v>37591</v>
      </c>
      <c r="U30" s="329" t="n">
        <f aca="false">+TradeSum!CD26</f>
        <v>336</v>
      </c>
      <c r="V30" s="329" t="n">
        <f aca="false">SUM(U28:U30)</f>
        <v>1024</v>
      </c>
      <c r="W30" s="330" t="n">
        <f aca="false">+TradeSum!CE26</f>
        <v>0.950636103476229</v>
      </c>
      <c r="X30" s="313" t="n">
        <f aca="false">+U30*TradeSum!I26</f>
        <v>9813.29963350296</v>
      </c>
      <c r="Y30" s="329" t="n">
        <f aca="false">SUM(X28:X30)</f>
        <v>29696</v>
      </c>
      <c r="Z30" s="16" t="n">
        <f aca="false">+Y30/$V30</f>
        <v>29</v>
      </c>
      <c r="AA30" s="16" t="n">
        <f aca="false">SUM(X19:X30)/SUM($U19:$U30)</f>
        <v>34.371568627451</v>
      </c>
      <c r="AB30" s="313" t="n">
        <f aca="false">+U30*TradeSum!I71</f>
        <v>9889.72665405273</v>
      </c>
      <c r="AC30" s="329" t="n">
        <f aca="false">SUM(AB28:AB30)</f>
        <v>29531.6248354912</v>
      </c>
      <c r="AD30" s="16" t="n">
        <f aca="false">+AC30/$V30</f>
        <v>28.8394773784094</v>
      </c>
      <c r="AE30" s="16" t="n">
        <f aca="false">SUM(AB19:AB30)/SUM($U19:$U30)</f>
        <v>33.4048175349578</v>
      </c>
      <c r="AF30" s="313" t="n">
        <f aca="false">+Y30*TradeSum!M79</f>
        <v>0</v>
      </c>
      <c r="AG30" s="313"/>
      <c r="AH30" s="304"/>
      <c r="AI30" s="359" t="s">
        <v>133</v>
      </c>
      <c r="AJ30" s="369" t="n">
        <f aca="false">+TradeSum!G25</f>
        <v>29.0062522888184</v>
      </c>
      <c r="AK30" s="287"/>
      <c r="AL30" s="287"/>
      <c r="AM30" s="287"/>
      <c r="AN30" s="287"/>
      <c r="AO30" s="287"/>
      <c r="AP30" s="287"/>
      <c r="AQ30" s="287"/>
      <c r="AR30" s="288"/>
      <c r="AS30" s="323"/>
      <c r="AT30" s="287"/>
    </row>
    <row r="31" customFormat="false" ht="12.75" hidden="false" customHeight="false" outlineLevel="0" collapsed="false">
      <c r="A31" s="359" t="s">
        <v>193</v>
      </c>
      <c r="B31" s="318" t="n">
        <f aca="false">SUM(C31:F31)</f>
        <v>1007.60868591516</v>
      </c>
      <c r="C31" s="319" t="n">
        <f aca="false">AVERAGE(TradeSum!F21:F22)</f>
        <v>-1149.51332976323</v>
      </c>
      <c r="D31" s="319" t="n">
        <f aca="false">AVERAGE(TradeSum!F65:F66)</f>
        <v>-849.627984321607</v>
      </c>
      <c r="E31" s="319" t="n">
        <v>3008</v>
      </c>
      <c r="F31" s="370" t="n">
        <f aca="false">+'EOL LINKS'!H40</f>
        <v>-1.25</v>
      </c>
      <c r="G31" s="371" t="n">
        <f aca="false">+K31/AVERAGE(U66:U67)</f>
        <v>17.4344718030183</v>
      </c>
      <c r="H31" s="333" t="n">
        <f aca="false">+G31*704*B31/10000</f>
        <v>1236.72561570371</v>
      </c>
      <c r="I31" s="333" t="n">
        <f aca="false">+H31+SUM(Total!T56:T57)</f>
        <v>759.470346382872</v>
      </c>
      <c r="J31" s="374" t="s">
        <v>193</v>
      </c>
      <c r="K31" s="372" t="n">
        <f aca="false">+Z26</f>
        <v>54.875</v>
      </c>
      <c r="L31" s="349" t="n">
        <f aca="false">+S31</f>
        <v>-0.5</v>
      </c>
      <c r="M31" s="324" t="n">
        <f aca="false">+AD26</f>
        <v>40.4374971389771</v>
      </c>
      <c r="N31" s="326" t="n">
        <f aca="false">+M31-K31</f>
        <v>-14.437502861023</v>
      </c>
      <c r="O31" s="336" t="n">
        <v>55.375</v>
      </c>
      <c r="P31" s="320" t="n">
        <f aca="false">+R31*704</f>
        <v>2117632</v>
      </c>
      <c r="Q31" s="320" t="n">
        <f aca="false">+P31*L31</f>
        <v>-1058816</v>
      </c>
      <c r="R31" s="320" t="n">
        <f aca="false">+E31</f>
        <v>3008</v>
      </c>
      <c r="S31" s="16" t="n">
        <f aca="false">+'EOL LINKS'!H6-Master!O31</f>
        <v>-0.5</v>
      </c>
      <c r="T31" s="328" t="n">
        <v>37622</v>
      </c>
      <c r="U31" s="329" t="n">
        <f aca="false">+TradeSum!CD27</f>
        <v>352</v>
      </c>
      <c r="V31" s="329"/>
      <c r="W31" s="330" t="n">
        <f aca="false">+TradeSum!CE27</f>
        <v>0.947058501643835</v>
      </c>
      <c r="X31" s="313" t="n">
        <f aca="false">+U31*TradeSum!I27</f>
        <v>10660.5724516369</v>
      </c>
      <c r="Y31" s="329"/>
      <c r="AB31" s="313" t="n">
        <f aca="false">+U31*TradeSum!I72</f>
        <v>10150.1647978283</v>
      </c>
      <c r="AC31" s="329"/>
      <c r="AD31" s="16"/>
      <c r="AE31" s="16"/>
      <c r="AF31" s="313" t="n">
        <f aca="false">+Y31*TradeSum!M80</f>
        <v>0</v>
      </c>
      <c r="AG31" s="313" t="n">
        <f aca="false">SUM(AF29:AF31)</f>
        <v>0</v>
      </c>
      <c r="AH31" s="304"/>
      <c r="AI31" s="375" t="s">
        <v>135</v>
      </c>
      <c r="AJ31" s="369" t="n">
        <f aca="false">((TradeSum!G26*368)+(TradeSum!G27*320)+(TradeSum!G28*336))/1024</f>
        <v>29.7009062767029</v>
      </c>
      <c r="AK31" s="287"/>
      <c r="AL31" s="287"/>
      <c r="AM31" s="287"/>
      <c r="AN31" s="287"/>
      <c r="AO31" s="287"/>
      <c r="AP31" s="287"/>
      <c r="AQ31" s="287"/>
      <c r="AR31" s="288"/>
      <c r="AS31" s="323"/>
      <c r="AT31" s="287"/>
    </row>
    <row r="32" customFormat="false" ht="12.75" hidden="false" customHeight="true" outlineLevel="0" collapsed="false">
      <c r="A32" s="359" t="s">
        <v>133</v>
      </c>
      <c r="B32" s="318" t="n">
        <f aca="false">SUM(C32:F32)</f>
        <v>-490.691694115878</v>
      </c>
      <c r="C32" s="319" t="n">
        <f aca="false">+TradeSum!F23</f>
        <v>-849.506710585405</v>
      </c>
      <c r="D32" s="319" t="n">
        <f aca="false">+TradeSum!F67</f>
        <v>299.815016469527</v>
      </c>
      <c r="E32" s="319" t="n">
        <v>60</v>
      </c>
      <c r="F32" s="370" t="n">
        <f aca="false">+'EOL LINKS'!H41</f>
        <v>-1</v>
      </c>
      <c r="G32" s="371" t="n">
        <f aca="false">K32/U68</f>
        <v>8.96825396825397</v>
      </c>
      <c r="H32" s="333" t="n">
        <f aca="false">+G32*350*B32/10000</f>
        <v>-154.022670653039</v>
      </c>
      <c r="I32" s="333" t="n">
        <f aca="false">+H32+Total!T58</f>
        <v>-381.650305313461</v>
      </c>
      <c r="J32" s="374" t="s">
        <v>133</v>
      </c>
      <c r="K32" s="372" t="n">
        <f aca="false">+TradeSum!I23</f>
        <v>28.25</v>
      </c>
      <c r="L32" s="349" t="n">
        <f aca="false">+S32</f>
        <v>0</v>
      </c>
      <c r="M32" s="324" t="n">
        <f aca="false">+TradeSum!S68</f>
        <v>28.2562481462955</v>
      </c>
      <c r="N32" s="326" t="n">
        <f aca="false">+M32-K32</f>
        <v>0.00624814629554749</v>
      </c>
      <c r="O32" s="336" t="n">
        <v>28.25</v>
      </c>
      <c r="P32" s="320" t="n">
        <f aca="false">+R32*304</f>
        <v>18240</v>
      </c>
      <c r="Q32" s="320" t="n">
        <f aca="false">+P32*L32</f>
        <v>0</v>
      </c>
      <c r="R32" s="320" t="n">
        <f aca="false">+E32</f>
        <v>60</v>
      </c>
      <c r="S32" s="16" t="n">
        <f aca="false">+'EOL LINKS'!H7-Master!O32</f>
        <v>0</v>
      </c>
      <c r="T32" s="328" t="n">
        <v>37653</v>
      </c>
      <c r="U32" s="329" t="n">
        <f aca="false">+TradeSum!CD28</f>
        <v>320</v>
      </c>
      <c r="V32" s="329" t="n">
        <f aca="false">SUM(U31:U32)</f>
        <v>672</v>
      </c>
      <c r="W32" s="330" t="n">
        <f aca="false">+TradeSum!CE28</f>
        <v>0.943643503396813</v>
      </c>
      <c r="X32" s="313" t="n">
        <f aca="false">+U32*TradeSum!I28</f>
        <v>9499.4275483631</v>
      </c>
      <c r="Y32" s="329" t="n">
        <f aca="false">SUM(X31:X32)</f>
        <v>20160</v>
      </c>
      <c r="Z32" s="16" t="n">
        <f aca="false">+Y32/$V32</f>
        <v>30</v>
      </c>
      <c r="AB32" s="313" t="n">
        <f aca="false">+U32*TradeSum!I73</f>
        <v>8831.26023403434</v>
      </c>
      <c r="AC32" s="329" t="n">
        <f aca="false">SUM(AB31:AB32)</f>
        <v>18981.4250318627</v>
      </c>
      <c r="AD32" s="16" t="n">
        <f aca="false">+AC32/$V32</f>
        <v>28.2461682021766</v>
      </c>
      <c r="AE32" s="16"/>
      <c r="AF32" s="313" t="n">
        <f aca="false">+Y32*TradeSum!M81</f>
        <v>0</v>
      </c>
      <c r="AG32" s="313"/>
      <c r="AH32" s="304"/>
      <c r="AI32" s="352" t="s">
        <v>16</v>
      </c>
      <c r="AJ32" s="369" t="n">
        <f aca="false">((AJ23*672)+(AJ26*688)+(AJ27*352)+(AJ28*320)+(AJ29*704)+(AJ30*320)+(AJ31*1024))/4080</f>
        <v>34.4767188577091</v>
      </c>
      <c r="AK32" s="287"/>
      <c r="AL32" s="287"/>
      <c r="AM32" s="287"/>
      <c r="AN32" s="287"/>
      <c r="AO32" s="287"/>
      <c r="AP32" s="287"/>
      <c r="AQ32" s="287"/>
      <c r="AR32" s="288"/>
      <c r="AS32" s="323"/>
      <c r="AT32" s="287"/>
    </row>
    <row r="33" customFormat="false" ht="12.75" hidden="false" customHeight="true" outlineLevel="0" collapsed="false">
      <c r="A33" s="359" t="s">
        <v>135</v>
      </c>
      <c r="B33" s="318" t="n">
        <f aca="false">SUM(C33:F33)</f>
        <v>251.196754588422</v>
      </c>
      <c r="C33" s="319" t="n">
        <f aca="false">AVERAGE(TradeSum!F24:F26)</f>
        <v>596.310166457111</v>
      </c>
      <c r="D33" s="319" t="n">
        <f aca="false">AVERAGE(TradeSum!F68:F70)</f>
        <v>-499.563411868689</v>
      </c>
      <c r="E33" s="319" t="n">
        <v>155</v>
      </c>
      <c r="F33" s="370" t="n">
        <f aca="false">+'EOL LINKS'!H42</f>
        <v>-0.55</v>
      </c>
      <c r="G33" s="371" t="n">
        <f aca="false">K33/AVERAGE(U69:U71)</f>
        <v>8.74371859296483</v>
      </c>
      <c r="H33" s="333" t="n">
        <f aca="false">+G33*1024*B33/10000</f>
        <v>224.91071831933</v>
      </c>
      <c r="I33" s="333" t="n">
        <f aca="false">+H33+SUM(Total!T59:T61)</f>
        <v>110.742100052351</v>
      </c>
      <c r="J33" s="376" t="s">
        <v>135</v>
      </c>
      <c r="K33" s="372" t="n">
        <f aca="false">+Z30</f>
        <v>29</v>
      </c>
      <c r="L33" s="349" t="n">
        <f aca="false">+S33</f>
        <v>-3.27825546264648E-007</v>
      </c>
      <c r="M33" s="324" t="n">
        <f aca="false">+AD30</f>
        <v>28.8394773784094</v>
      </c>
      <c r="N33" s="326" t="n">
        <f aca="false">+M33-K33</f>
        <v>-0.160522621590644</v>
      </c>
      <c r="O33" s="336" t="n">
        <v>29.0000003278255</v>
      </c>
      <c r="P33" s="320" t="n">
        <f aca="false">+R33*1024</f>
        <v>158720</v>
      </c>
      <c r="Q33" s="320" t="n">
        <f aca="false">+P33*L33</f>
        <v>-0.052032470703125</v>
      </c>
      <c r="R33" s="320" t="n">
        <f aca="false">+E33</f>
        <v>155</v>
      </c>
      <c r="S33" s="16" t="n">
        <f aca="false">+'EOL LINKS'!H8-Master!O33</f>
        <v>-3.27825546264648E-007</v>
      </c>
      <c r="T33" s="328" t="n">
        <v>37681</v>
      </c>
      <c r="U33" s="329" t="n">
        <f aca="false">+TradeSum!CD29</f>
        <v>336</v>
      </c>
      <c r="V33" s="329"/>
      <c r="W33" s="330" t="n">
        <f aca="false">+TradeSum!CE29</f>
        <v>0.939946567398907</v>
      </c>
      <c r="X33" s="313" t="n">
        <f aca="false">+U33*TradeSum!I29</f>
        <v>9541.6197850427</v>
      </c>
      <c r="Y33" s="329"/>
      <c r="AB33" s="313" t="n">
        <f aca="false">+U33*TradeSum!I74</f>
        <v>9340.02093860715</v>
      </c>
      <c r="AC33" s="329"/>
      <c r="AD33" s="16"/>
      <c r="AE33" s="16"/>
      <c r="AF33" s="313" t="n">
        <f aca="false">+Y33*TradeSum!M82</f>
        <v>0</v>
      </c>
      <c r="AG33" s="313" t="n">
        <f aca="false">SUM(AF32:AF33)</f>
        <v>0</v>
      </c>
      <c r="AH33" s="304"/>
      <c r="AI33" s="304"/>
      <c r="AJ33" s="369"/>
      <c r="AK33" s="287"/>
      <c r="AL33" s="287"/>
      <c r="AM33" s="287"/>
      <c r="AN33" s="287"/>
      <c r="AO33" s="287"/>
      <c r="AP33" s="287"/>
      <c r="AQ33" s="287"/>
      <c r="AR33" s="288"/>
      <c r="AS33" s="323"/>
      <c r="AT33" s="287"/>
    </row>
    <row r="34" customFormat="false" ht="12.75" hidden="false" customHeight="true" outlineLevel="0" collapsed="false">
      <c r="A34" s="352" t="s">
        <v>16</v>
      </c>
      <c r="B34" s="344" t="n">
        <f aca="false">+C34+D34+E34</f>
        <v>-144.752939923311</v>
      </c>
      <c r="C34" s="344" t="n">
        <f aca="false">(C25+C25+C28+C28+C29+C30+C31+C31+C32+C33+C33+C33)/12</f>
        <v>-125.245977868948</v>
      </c>
      <c r="D34" s="344" t="n">
        <f aca="false">(D25+D25+D28+D28+D29+D30+D31+D31+D32+D33+D33+D33)/12</f>
        <v>-524.840295387697</v>
      </c>
      <c r="E34" s="344" t="n">
        <f aca="false">(E25+E25+E28+E28+E29+E30+E31+E31+E32+E33+E33+E33)/12</f>
        <v>505.333333333333</v>
      </c>
      <c r="F34" s="377" t="n">
        <f aca="false">((F25*672)+(F28*688)+(F29*352)+(F30*320)+(F31*704)+(F32*320)+(F33*1024))/4080</f>
        <v>-0.949803921568627</v>
      </c>
      <c r="G34" s="354" t="n">
        <f aca="false">+K34/L2</f>
        <v>10.8770786795731</v>
      </c>
      <c r="H34" s="344" t="n">
        <f aca="false">SUM(H25:H33)</f>
        <v>-208.823822349328</v>
      </c>
      <c r="I34" s="355" t="n">
        <f aca="false">+I33+I32+I31+I30+I29+I28+I25</f>
        <v>-1174.52405654136</v>
      </c>
      <c r="J34" s="378" t="s">
        <v>16</v>
      </c>
      <c r="K34" s="335" t="n">
        <f aca="false">+AA30</f>
        <v>34.371568627451</v>
      </c>
      <c r="L34" s="311" t="n">
        <f aca="false">+K34-O34</f>
        <v>-0.188431372549019</v>
      </c>
      <c r="M34" s="358" t="n">
        <f aca="false">+AE30</f>
        <v>33.4048175349578</v>
      </c>
      <c r="N34" s="358" t="n">
        <f aca="false">+M34-K34</f>
        <v>-0.966751092493226</v>
      </c>
      <c r="O34" s="358" t="n">
        <v>34.56</v>
      </c>
      <c r="P34" s="358"/>
      <c r="Q34" s="379"/>
      <c r="R34" s="358" t="n">
        <v>37.74</v>
      </c>
      <c r="T34" s="328" t="n">
        <v>37712</v>
      </c>
      <c r="U34" s="329" t="n">
        <f aca="false">+TradeSum!CD30</f>
        <v>352</v>
      </c>
      <c r="V34" s="329" t="n">
        <f aca="false">SUM(U33:U34)</f>
        <v>688</v>
      </c>
      <c r="W34" s="330" t="n">
        <f aca="false">+TradeSum!CE30</f>
        <v>0.936233082562254</v>
      </c>
      <c r="X34" s="313" t="n">
        <f aca="false">+U34*TradeSum!I30</f>
        <v>10066.3802149573</v>
      </c>
      <c r="Y34" s="329" t="n">
        <f aca="false">SUM(X33:X34)</f>
        <v>19608</v>
      </c>
      <c r="Z34" s="16" t="n">
        <f aca="false">+Y34/$V34</f>
        <v>28.5</v>
      </c>
      <c r="AB34" s="313" t="n">
        <f aca="false">+U34*TradeSum!I75</f>
        <v>10471.9986572266</v>
      </c>
      <c r="AC34" s="329" t="n">
        <f aca="false">SUM(AB33:AB34)</f>
        <v>19812.0195958337</v>
      </c>
      <c r="AD34" s="16" t="n">
        <f aca="false">+AC34/$V34</f>
        <v>28.7965401102234</v>
      </c>
      <c r="AE34" s="16"/>
      <c r="AF34" s="313" t="n">
        <f aca="false">+Y34*TradeSum!M83</f>
        <v>0</v>
      </c>
      <c r="AG34" s="313"/>
      <c r="AH34" s="304"/>
      <c r="AI34" s="304"/>
      <c r="AJ34" s="369"/>
      <c r="AK34" s="287"/>
      <c r="AL34" s="287"/>
      <c r="AM34" s="287"/>
      <c r="AN34" s="287"/>
      <c r="AO34" s="287"/>
      <c r="AP34" s="287"/>
      <c r="AQ34" s="287"/>
      <c r="AR34" s="288"/>
      <c r="AS34" s="323"/>
      <c r="AT34" s="287"/>
    </row>
    <row r="35" customFormat="false" ht="12.75" hidden="true" customHeight="true" outlineLevel="0" collapsed="false">
      <c r="A35" s="380" t="s">
        <v>195</v>
      </c>
      <c r="B35" s="360" t="n">
        <f aca="false">SUM(C35:H35)</f>
        <v>0</v>
      </c>
      <c r="C35" s="361" t="n">
        <v>0</v>
      </c>
      <c r="D35" s="361" t="n">
        <v>0</v>
      </c>
      <c r="E35" s="361" t="n">
        <v>0</v>
      </c>
      <c r="F35" s="381" t="n">
        <v>0</v>
      </c>
      <c r="G35" s="363"/>
      <c r="H35" s="382"/>
      <c r="I35" s="383"/>
      <c r="J35" s="384" t="s">
        <v>195</v>
      </c>
      <c r="K35" s="324"/>
      <c r="L35" s="364"/>
      <c r="M35" s="324"/>
      <c r="N35" s="365"/>
      <c r="O35" s="366"/>
      <c r="P35" s="366"/>
      <c r="Q35" s="366"/>
      <c r="R35" s="366"/>
      <c r="T35" s="328" t="n">
        <v>37742</v>
      </c>
      <c r="U35" s="329" t="n">
        <f aca="false">+TradeSum!CD31</f>
        <v>336</v>
      </c>
      <c r="V35" s="329"/>
      <c r="W35" s="330" t="n">
        <f aca="false">+TradeSum!CE31</f>
        <v>0.932415600004263</v>
      </c>
      <c r="X35" s="313" t="n">
        <f aca="false">+U35*TradeSum!I31</f>
        <v>10248</v>
      </c>
      <c r="Y35" s="329"/>
      <c r="AB35" s="313" t="n">
        <f aca="false">+U35*TradeSum!I76</f>
        <v>13062</v>
      </c>
      <c r="AC35" s="329"/>
      <c r="AD35" s="16"/>
      <c r="AE35" s="16"/>
      <c r="AF35" s="313" t="n">
        <f aca="false">+Y35*TradeSum!M84</f>
        <v>0</v>
      </c>
      <c r="AG35" s="313" t="n">
        <f aca="false">SUM(AF34:AF35)</f>
        <v>0</v>
      </c>
      <c r="AH35" s="304"/>
      <c r="AI35" s="304"/>
      <c r="AJ35" s="369"/>
      <c r="AK35" s="287"/>
      <c r="AL35" s="287"/>
      <c r="AM35" s="287"/>
      <c r="AN35" s="287"/>
      <c r="AO35" s="287"/>
      <c r="AP35" s="287"/>
      <c r="AQ35" s="287"/>
      <c r="AR35" s="288"/>
      <c r="AS35" s="287"/>
      <c r="AT35" s="287"/>
    </row>
    <row r="36" customFormat="false" ht="12.75" hidden="true" customHeight="true" outlineLevel="0" collapsed="false">
      <c r="A36" s="380" t="s">
        <v>121</v>
      </c>
      <c r="B36" s="318" t="n">
        <f aca="false">SUM(C36:H36)</f>
        <v>-907.041935863315</v>
      </c>
      <c r="C36" s="319" t="n">
        <f aca="false">+TradeSum!F33</f>
        <v>-8.34301797676985</v>
      </c>
      <c r="D36" s="319" t="n">
        <f aca="false">+TradeSum!F77</f>
        <v>-898.698917886545</v>
      </c>
      <c r="E36" s="319" t="n">
        <f aca="false">+TradeSum!B169/TradeSum!CD39</f>
        <v>0</v>
      </c>
      <c r="F36" s="337" t="n">
        <v>0</v>
      </c>
      <c r="G36" s="363"/>
      <c r="H36" s="382"/>
      <c r="I36" s="383"/>
      <c r="J36" s="384" t="s">
        <v>121</v>
      </c>
      <c r="K36" s="324" t="n">
        <f aca="false">+TradeSum!I30</f>
        <v>28.5976710652196</v>
      </c>
      <c r="L36" s="367" t="n">
        <v>-0.251428331647603</v>
      </c>
      <c r="M36" s="324" t="n">
        <f aca="false">+TradeSum!I77</f>
        <v>48.875</v>
      </c>
      <c r="N36" s="326" t="n">
        <f aca="false">+M36-K36</f>
        <v>20.2773289347804</v>
      </c>
      <c r="O36" s="327" t="n">
        <v>28.2476787567139</v>
      </c>
      <c r="P36" s="327"/>
      <c r="Q36" s="327"/>
      <c r="R36" s="327"/>
      <c r="T36" s="328" t="n">
        <v>37773</v>
      </c>
      <c r="U36" s="329" t="n">
        <f aca="false">+TradeSum!CD32</f>
        <v>336</v>
      </c>
      <c r="V36" s="329"/>
      <c r="W36" s="330" t="n">
        <f aca="false">+TradeSum!CE32</f>
        <v>0.92861852935736</v>
      </c>
      <c r="X36" s="313" t="n">
        <f aca="false">+U36*TradeSum!I32</f>
        <v>13398</v>
      </c>
      <c r="Y36" s="329"/>
      <c r="AB36" s="313" t="n">
        <f aca="false">+U36*TradeSum!I77</f>
        <v>16422</v>
      </c>
      <c r="AC36" s="329"/>
      <c r="AD36" s="16"/>
      <c r="AE36" s="16"/>
      <c r="AF36" s="313" t="n">
        <f aca="false">+Y36*TradeSum!M85</f>
        <v>0</v>
      </c>
      <c r="AG36" s="313"/>
      <c r="AH36" s="304"/>
      <c r="AI36" s="380" t="s">
        <v>158</v>
      </c>
      <c r="AJ36" s="369" t="n">
        <f aca="false">((TradeSum!G29*352)+(TradeSum!G30*320))/672</f>
        <v>28.7429132007417</v>
      </c>
      <c r="AK36" s="287"/>
      <c r="AL36" s="287"/>
      <c r="AM36" s="287"/>
      <c r="AN36" s="287"/>
      <c r="AO36" s="287"/>
      <c r="AP36" s="287"/>
      <c r="AQ36" s="287"/>
      <c r="AR36" s="288"/>
      <c r="AS36" s="287"/>
      <c r="AT36" s="287"/>
    </row>
    <row r="37" customFormat="false" ht="12.75" hidden="true" customHeight="true" outlineLevel="0" collapsed="false">
      <c r="A37" s="380" t="s">
        <v>198</v>
      </c>
      <c r="B37" s="318" t="n">
        <f aca="false">SUM(C37:H37)</f>
        <v>-932.709785526134</v>
      </c>
      <c r="C37" s="319" t="n">
        <f aca="false">+TradeSum!F34</f>
        <v>-34.0561739679392</v>
      </c>
      <c r="D37" s="319" t="n">
        <f aca="false">+TradeSum!F78</f>
        <v>-898.653611558195</v>
      </c>
      <c r="E37" s="319" t="n">
        <f aca="false">+TradeSum!B170/TradeSum!CD40</f>
        <v>0</v>
      </c>
      <c r="F37" s="337" t="n">
        <v>0</v>
      </c>
      <c r="G37" s="363"/>
      <c r="H37" s="382"/>
      <c r="I37" s="383"/>
      <c r="J37" s="384" t="s">
        <v>198</v>
      </c>
      <c r="K37" s="324" t="n">
        <f aca="false">+TradeSum!I31</f>
        <v>30.5</v>
      </c>
      <c r="L37" s="367" t="n">
        <v>-0.251428331647603</v>
      </c>
      <c r="M37" s="324" t="n">
        <f aca="false">+TradeSum!I78</f>
        <v>48.875</v>
      </c>
      <c r="N37" s="326" t="n">
        <f aca="false">+M37-K37</f>
        <v>18.375</v>
      </c>
      <c r="O37" s="327" t="n">
        <v>28.4476718902588</v>
      </c>
      <c r="P37" s="327"/>
      <c r="Q37" s="327"/>
      <c r="R37" s="327"/>
      <c r="T37" s="328" t="n">
        <v>37803</v>
      </c>
      <c r="U37" s="329" t="n">
        <f aca="false">+TradeSum!CD33</f>
        <v>352</v>
      </c>
      <c r="V37" s="329"/>
      <c r="W37" s="330" t="n">
        <f aca="false">+TradeSum!CE33</f>
        <v>0.924693294257474</v>
      </c>
      <c r="X37" s="313" t="n">
        <f aca="false">+U37*TradeSum!I33</f>
        <v>17468</v>
      </c>
      <c r="Y37" s="329"/>
      <c r="AB37" s="313" t="n">
        <f aca="false">+U37*TradeSum!I78</f>
        <v>17204</v>
      </c>
      <c r="AC37" s="329"/>
      <c r="AD37" s="16"/>
      <c r="AE37" s="16"/>
      <c r="AF37" s="313" t="n">
        <f aca="false">+Y37*TradeSum!M86</f>
        <v>0</v>
      </c>
      <c r="AG37" s="313"/>
      <c r="AH37" s="304"/>
      <c r="AI37" s="380" t="s">
        <v>189</v>
      </c>
      <c r="AJ37" s="369"/>
      <c r="AK37" s="287"/>
      <c r="AL37" s="287"/>
      <c r="AM37" s="287"/>
      <c r="AN37" s="287"/>
      <c r="AO37" s="287"/>
      <c r="AP37" s="287"/>
      <c r="AQ37" s="287"/>
      <c r="AR37" s="288"/>
      <c r="AS37" s="287"/>
      <c r="AT37" s="287"/>
    </row>
    <row r="38" customFormat="false" ht="15" hidden="false" customHeight="true" outlineLevel="0" collapsed="false">
      <c r="A38" s="380" t="s">
        <v>158</v>
      </c>
      <c r="B38" s="318" t="n">
        <f aca="false">SUM(C38:F38)</f>
        <v>-1112.63253503065</v>
      </c>
      <c r="C38" s="319" t="n">
        <f aca="false">AVERAGE(TradeSum!F27:F28)</f>
        <v>-1198.63540617271</v>
      </c>
      <c r="D38" s="319" t="n">
        <f aca="false">AVERAGE(TradeSum!F71:F72)</f>
        <v>-749.147128857943</v>
      </c>
      <c r="E38" s="319" t="n">
        <v>836</v>
      </c>
      <c r="F38" s="370" t="n">
        <f aca="false">+'EOL LINKS'!H43</f>
        <v>-0.85</v>
      </c>
      <c r="G38" s="371" t="n">
        <f aca="false">+G25-0.3</f>
        <v>8.87647058823529</v>
      </c>
      <c r="H38" s="333" t="n">
        <f aca="false">+G38*672*B38/10000</f>
        <v>-663.68399816633</v>
      </c>
      <c r="I38" s="333" t="n">
        <f aca="false">+H38+SUM(Total!T62:T63)</f>
        <v>-546.68399816633</v>
      </c>
      <c r="J38" s="385" t="s">
        <v>158</v>
      </c>
      <c r="K38" s="372" t="n">
        <f aca="false">+Z32</f>
        <v>30</v>
      </c>
      <c r="L38" s="349" t="n">
        <f aca="false">+S38</f>
        <v>1.81652250574871E-007</v>
      </c>
      <c r="M38" s="372" t="n">
        <f aca="false">+AD32</f>
        <v>28.2461682021766</v>
      </c>
      <c r="N38" s="326" t="n">
        <f aca="false">+M38-K38</f>
        <v>-1.75383179782344</v>
      </c>
      <c r="O38" s="336" t="n">
        <v>29.9999998183478</v>
      </c>
      <c r="P38" s="320" t="n">
        <f aca="false">+R38*672</f>
        <v>373632</v>
      </c>
      <c r="Q38" s="320" t="n">
        <f aca="false">+P38*L38</f>
        <v>0.0678710936867901</v>
      </c>
      <c r="R38" s="320" t="n">
        <v>556</v>
      </c>
      <c r="S38" s="16" t="n">
        <f aca="false">+'EOL LINKS'!H29-Master!O38</f>
        <v>1.81652250574871E-007</v>
      </c>
      <c r="T38" s="328" t="n">
        <v>37834</v>
      </c>
      <c r="U38" s="329" t="n">
        <f aca="false">+TradeSum!CD34</f>
        <v>336</v>
      </c>
      <c r="V38" s="329" t="n">
        <f aca="false">SUM(U37:U38)</f>
        <v>688</v>
      </c>
      <c r="W38" s="330" t="n">
        <f aca="false">+TradeSum!CE34</f>
        <v>0.920688784530308</v>
      </c>
      <c r="X38" s="313" t="n">
        <f aca="false">+U38*TradeSum!I34</f>
        <v>16674</v>
      </c>
      <c r="Y38" s="329" t="n">
        <f aca="false">SUM(X37:X38)</f>
        <v>34142</v>
      </c>
      <c r="Z38" s="16" t="n">
        <f aca="false">+Y38/$V38</f>
        <v>49.625</v>
      </c>
      <c r="AB38" s="313" t="n">
        <f aca="false">+U38*TradeSum!I79</f>
        <v>9122.39859008789</v>
      </c>
      <c r="AC38" s="329" t="n">
        <f aca="false">SUM(AB37:AB38)</f>
        <v>26326.3985900879</v>
      </c>
      <c r="AD38" s="16" t="n">
        <f aca="false">+AC38/$V38</f>
        <v>38.2651142297789</v>
      </c>
      <c r="AE38" s="16"/>
      <c r="AF38" s="313" t="n">
        <f aca="false">+Y38*TradeSum!M87</f>
        <v>0</v>
      </c>
      <c r="AG38" s="313"/>
      <c r="AH38" s="304"/>
      <c r="AI38" s="380" t="s">
        <v>199</v>
      </c>
      <c r="AJ38" s="369"/>
      <c r="AK38" s="287"/>
      <c r="AL38" s="287"/>
      <c r="AM38" s="287"/>
      <c r="AN38" s="287"/>
      <c r="AO38" s="287"/>
      <c r="AP38" s="287"/>
      <c r="AQ38" s="287"/>
      <c r="AR38" s="288"/>
      <c r="AS38" s="287"/>
      <c r="AT38" s="287"/>
    </row>
    <row r="39" customFormat="false" ht="12.75" hidden="true" customHeight="true" outlineLevel="0" collapsed="false">
      <c r="A39" s="380" t="s">
        <v>189</v>
      </c>
      <c r="B39" s="318" t="n">
        <f aca="false">SUM(C39:H39)</f>
        <v>-898.659296591206</v>
      </c>
      <c r="C39" s="319" t="n">
        <f aca="false">+TradeSum!F35</f>
        <v>-399.404134636471</v>
      </c>
      <c r="D39" s="319" t="n">
        <f aca="false">+TradeSum!F79</f>
        <v>-499.255161954735</v>
      </c>
      <c r="E39" s="319" t="n">
        <v>0</v>
      </c>
      <c r="F39" s="370"/>
      <c r="G39" s="373"/>
      <c r="H39" s="333"/>
      <c r="I39" s="333"/>
      <c r="J39" s="384" t="s">
        <v>189</v>
      </c>
      <c r="K39" s="372" t="n">
        <f aca="false">+TradeSum!I32</f>
        <v>39.875</v>
      </c>
      <c r="L39" s="349" t="n">
        <f aca="false">+S39</f>
        <v>0</v>
      </c>
      <c r="M39" s="324" t="n">
        <f aca="false">+TradeSum!I79</f>
        <v>27.149995803833</v>
      </c>
      <c r="N39" s="326" t="n">
        <f aca="false">+M39-K39</f>
        <v>-12.725004196167</v>
      </c>
      <c r="O39" s="336" t="n">
        <v>30.75</v>
      </c>
      <c r="P39" s="320"/>
      <c r="Q39" s="320"/>
      <c r="R39" s="320" t="n">
        <v>0</v>
      </c>
      <c r="T39" s="328" t="n">
        <v>37865</v>
      </c>
      <c r="U39" s="329" t="n">
        <f aca="false">+TradeSum!CD35</f>
        <v>336</v>
      </c>
      <c r="V39" s="329"/>
      <c r="W39" s="330" t="n">
        <f aca="false">+TradeSum!CE35</f>
        <v>0.916733288190573</v>
      </c>
      <c r="X39" s="313" t="n">
        <f aca="false">+U39*TradeSum!I35</f>
        <v>9492</v>
      </c>
      <c r="Y39" s="329"/>
      <c r="AB39" s="313" t="n">
        <f aca="false">+U39*TradeSum!I80</f>
        <v>9544.60650444031</v>
      </c>
      <c r="AC39" s="329"/>
      <c r="AD39" s="16"/>
      <c r="AE39" s="16"/>
      <c r="AF39" s="313" t="n">
        <f aca="false">+Y39*TradeSum!M88</f>
        <v>0</v>
      </c>
      <c r="AG39" s="313" t="n">
        <f aca="false">SUM(AF38:AF39)</f>
        <v>0</v>
      </c>
      <c r="AH39" s="304"/>
      <c r="AI39" s="380" t="s">
        <v>159</v>
      </c>
      <c r="AJ39" s="369" t="n">
        <f aca="false">((TradeSum!G31*336)+(TradeSum!G32*352))/688</f>
        <v>35.5523255813954</v>
      </c>
      <c r="AK39" s="287"/>
      <c r="AL39" s="287"/>
      <c r="AM39" s="287"/>
      <c r="AN39" s="287"/>
      <c r="AO39" s="287"/>
      <c r="AP39" s="287"/>
      <c r="AQ39" s="287"/>
      <c r="AR39" s="288"/>
      <c r="AS39" s="287"/>
      <c r="AT39" s="287"/>
    </row>
    <row r="40" customFormat="false" ht="12.75" hidden="true" customHeight="true" outlineLevel="0" collapsed="false">
      <c r="A40" s="380" t="s">
        <v>199</v>
      </c>
      <c r="B40" s="318" t="n">
        <f aca="false">SUM(C40:H40)</f>
        <v>-1447.74514082384</v>
      </c>
      <c r="C40" s="319" t="n">
        <f aca="false">+TradeSum!F36</f>
        <v>-948.522680074999</v>
      </c>
      <c r="D40" s="319" t="n">
        <f aca="false">+TradeSum!F80</f>
        <v>-499.222460748844</v>
      </c>
      <c r="E40" s="319" t="n">
        <v>0</v>
      </c>
      <c r="F40" s="370"/>
      <c r="G40" s="371"/>
      <c r="H40" s="333"/>
      <c r="I40" s="333"/>
      <c r="J40" s="384" t="s">
        <v>199</v>
      </c>
      <c r="K40" s="372" t="n">
        <f aca="false">+TradeSum!I33</f>
        <v>49.625</v>
      </c>
      <c r="L40" s="349" t="n">
        <f aca="false">+S40</f>
        <v>0</v>
      </c>
      <c r="M40" s="324" t="n">
        <f aca="false">+TradeSum!I80</f>
        <v>28.4065669775009</v>
      </c>
      <c r="N40" s="326" t="n">
        <f aca="false">+M40-K40</f>
        <v>-21.2184330224991</v>
      </c>
      <c r="O40" s="336" t="n">
        <v>40.625</v>
      </c>
      <c r="P40" s="320"/>
      <c r="Q40" s="320"/>
      <c r="R40" s="320" t="n">
        <v>0</v>
      </c>
      <c r="T40" s="328" t="n">
        <v>37895</v>
      </c>
      <c r="U40" s="329" t="n">
        <f aca="false">+TradeSum!CD36</f>
        <v>368</v>
      </c>
      <c r="V40" s="329"/>
      <c r="W40" s="330" t="n">
        <f aca="false">+TradeSum!CE36</f>
        <v>0.912671058430691</v>
      </c>
      <c r="X40" s="313" t="n">
        <f aca="false">+U40*TradeSum!I36</f>
        <v>10729.6152439117</v>
      </c>
      <c r="Y40" s="329"/>
      <c r="AB40" s="313" t="n">
        <f aca="false">+U40*TradeSum!I81</f>
        <v>10490.4146823883</v>
      </c>
      <c r="AC40" s="329"/>
      <c r="AD40" s="16"/>
      <c r="AE40" s="16"/>
      <c r="AF40" s="313" t="n">
        <f aca="false">+Y40*TradeSum!M89</f>
        <v>0</v>
      </c>
      <c r="AG40" s="313"/>
      <c r="AH40" s="304"/>
      <c r="AI40" s="380" t="s">
        <v>124</v>
      </c>
      <c r="AJ40" s="369" t="n">
        <f aca="false">+TradeSum!G33</f>
        <v>50.125</v>
      </c>
      <c r="AK40" s="287"/>
      <c r="AL40" s="287"/>
      <c r="AM40" s="287"/>
      <c r="AN40" s="287"/>
      <c r="AO40" s="287"/>
      <c r="AP40" s="287"/>
      <c r="AQ40" s="287"/>
      <c r="AR40" s="288"/>
      <c r="AS40" s="287"/>
      <c r="AT40" s="287"/>
    </row>
    <row r="41" customFormat="false" ht="13.5" hidden="false" customHeight="true" outlineLevel="0" collapsed="false">
      <c r="A41" s="380" t="s">
        <v>159</v>
      </c>
      <c r="B41" s="318" t="n">
        <f aca="false">SUM(C41:F41)</f>
        <v>-922.453150316534</v>
      </c>
      <c r="C41" s="319" t="n">
        <f aca="false">AVERAGE(TradeSum!F29:F30)</f>
        <v>-1298.39426985654</v>
      </c>
      <c r="D41" s="319" t="n">
        <f aca="false">AVERAGE(TradeSum!F73:F74)</f>
        <v>-599.258880459999</v>
      </c>
      <c r="E41" s="319" t="n">
        <v>976</v>
      </c>
      <c r="F41" s="370" t="n">
        <f aca="false">+'EOL LINKS'!H44</f>
        <v>-0.8</v>
      </c>
      <c r="G41" s="371" t="n">
        <f aca="false">+G28-0.3</f>
        <v>8.79090909090909</v>
      </c>
      <c r="H41" s="333" t="n">
        <f aca="false">+G41*688*B41/10000</f>
        <v>-557.913082811808</v>
      </c>
      <c r="I41" s="333" t="n">
        <f aca="false">H41+SUM(Total!T64:T65)</f>
        <v>-438.913082811808</v>
      </c>
      <c r="J41" s="384" t="s">
        <v>159</v>
      </c>
      <c r="K41" s="372" t="n">
        <f aca="false">+Z34</f>
        <v>28.5</v>
      </c>
      <c r="L41" s="349" t="n">
        <f aca="false">+S41</f>
        <v>-0.250000443569448</v>
      </c>
      <c r="M41" s="324" t="n">
        <f aca="false">+AD34</f>
        <v>28.7965401102234</v>
      </c>
      <c r="N41" s="326" t="n">
        <f aca="false">+M41-K41</f>
        <v>0.296540110223422</v>
      </c>
      <c r="O41" s="336" t="n">
        <v>28.7500004435694</v>
      </c>
      <c r="P41" s="320" t="n">
        <f aca="false">+R41*688</f>
        <v>473344</v>
      </c>
      <c r="Q41" s="320" t="n">
        <f aca="false">+P41*L41</f>
        <v>-118336.209960937</v>
      </c>
      <c r="R41" s="320" t="n">
        <v>688</v>
      </c>
      <c r="S41" s="16" t="n">
        <f aca="false">+'EOL LINKS'!H30-Master!O41</f>
        <v>-0.250000443569448</v>
      </c>
      <c r="T41" s="328" t="n">
        <v>37926</v>
      </c>
      <c r="U41" s="329" t="n">
        <f aca="false">+TradeSum!CD37</f>
        <v>304</v>
      </c>
      <c r="V41" s="329"/>
      <c r="W41" s="330" t="n">
        <f aca="false">+TradeSum!CE37</f>
        <v>0.908658343334863</v>
      </c>
      <c r="X41" s="313" t="n">
        <f aca="false">+U41*TradeSum!I37</f>
        <v>8893.99473762512</v>
      </c>
      <c r="Y41" s="329"/>
      <c r="AB41" s="313" t="n">
        <f aca="false">+U41*TradeSum!I82</f>
        <v>8696.39485359192</v>
      </c>
      <c r="AC41" s="329"/>
      <c r="AD41" s="16"/>
      <c r="AE41" s="16"/>
      <c r="AF41" s="313" t="n">
        <f aca="false">+Y41*TradeSum!M90</f>
        <v>0</v>
      </c>
      <c r="AG41" s="313"/>
      <c r="AH41" s="304"/>
      <c r="AI41" s="380" t="s">
        <v>128</v>
      </c>
      <c r="AJ41" s="369" t="n">
        <f aca="false">+TradeSum!G34</f>
        <v>50.125</v>
      </c>
      <c r="AK41" s="287"/>
      <c r="AL41" s="287"/>
      <c r="AM41" s="287"/>
      <c r="AN41" s="287"/>
      <c r="AO41" s="287"/>
      <c r="AP41" s="287"/>
      <c r="AQ41" s="287"/>
      <c r="AR41" s="288"/>
      <c r="AS41" s="287"/>
      <c r="AT41" s="287"/>
    </row>
    <row r="42" customFormat="false" ht="12.75" hidden="false" customHeight="true" outlineLevel="0" collapsed="false">
      <c r="A42" s="380" t="s">
        <v>124</v>
      </c>
      <c r="B42" s="318" t="n">
        <f aca="false">SUM(C42:F42)</f>
        <v>-739.079047580495</v>
      </c>
      <c r="C42" s="319" t="n">
        <f aca="false">+TradeSum!F31</f>
        <v>-1036.12453428606</v>
      </c>
      <c r="D42" s="319" t="n">
        <f aca="false">+TradeSum!F75</f>
        <v>-599.204513294433</v>
      </c>
      <c r="E42" s="319" t="n">
        <v>897</v>
      </c>
      <c r="F42" s="370" t="n">
        <f aca="false">+'EOL LINKS'!H45</f>
        <v>-0.75</v>
      </c>
      <c r="G42" s="371" t="n">
        <f aca="false">+G29-0.4</f>
        <v>9.9476821192053</v>
      </c>
      <c r="H42" s="333" t="n">
        <f aca="false">+G42*336*B42/10000</f>
        <v>-247.031347123538</v>
      </c>
      <c r="I42" s="333" t="n">
        <f aca="false">+H42+Total!T66</f>
        <v>-187.031347123538</v>
      </c>
      <c r="J42" s="384" t="s">
        <v>124</v>
      </c>
      <c r="K42" s="372" t="n">
        <f aca="false">+TradeSum!I31</f>
        <v>30.5</v>
      </c>
      <c r="L42" s="349" t="n">
        <f aca="false">+S42</f>
        <v>0</v>
      </c>
      <c r="M42" s="324" t="n">
        <f aca="false">+TradeSum!I76</f>
        <v>38.875</v>
      </c>
      <c r="N42" s="326" t="n">
        <f aca="false">+M42-K42</f>
        <v>8.375</v>
      </c>
      <c r="O42" s="336" t="n">
        <v>30.5</v>
      </c>
      <c r="P42" s="320" t="n">
        <f aca="false">+R42*352</f>
        <v>128832</v>
      </c>
      <c r="Q42" s="320" t="n">
        <f aca="false">+P42*L42</f>
        <v>0</v>
      </c>
      <c r="R42" s="320" t="n">
        <v>366</v>
      </c>
      <c r="S42" s="16" t="n">
        <f aca="false">+'EOL LINKS'!H31-Master!O42</f>
        <v>0</v>
      </c>
      <c r="T42" s="328" t="n">
        <v>37956</v>
      </c>
      <c r="U42" s="329" t="n">
        <f aca="false">+TradeSum!CD38</f>
        <v>352</v>
      </c>
      <c r="V42" s="329" t="n">
        <f aca="false">SUM(U40:U42)</f>
        <v>1024</v>
      </c>
      <c r="W42" s="330" t="n">
        <f aca="false">+TradeSum!CE38</f>
        <v>0.904523844054776</v>
      </c>
      <c r="X42" s="313" t="n">
        <f aca="false">+U42*TradeSum!I38</f>
        <v>10333.5091590881</v>
      </c>
      <c r="Y42" s="329" t="n">
        <f aca="false">SUM(X40:X42)</f>
        <v>29957.119140625</v>
      </c>
      <c r="Z42" s="16" t="n">
        <f aca="false">+Y42/$V42</f>
        <v>29.2549991607666</v>
      </c>
      <c r="AA42" s="16" t="n">
        <f aca="false">SUM(X31:X42)/SUM($U31:$U42)</f>
        <v>33.5796860638787</v>
      </c>
      <c r="AB42" s="313" t="n">
        <f aca="false">+U42*TradeSum!I83</f>
        <v>10703.8674955822</v>
      </c>
      <c r="AC42" s="329" t="n">
        <f aca="false">SUM(AB40:AB42)</f>
        <v>29890.6770315624</v>
      </c>
      <c r="AD42" s="16" t="n">
        <f aca="false">+AC42/$V42</f>
        <v>29.1901142886352</v>
      </c>
      <c r="AE42" s="16" t="n">
        <f aca="false">SUM(AB31:AB42)/SUM($U31:$U42)</f>
        <v>32.852727145536</v>
      </c>
      <c r="AF42" s="313" t="n">
        <f aca="false">+Y42*TradeSum!M91</f>
        <v>0</v>
      </c>
      <c r="AG42" s="313"/>
      <c r="AH42" s="304"/>
      <c r="AI42" s="380" t="s">
        <v>193</v>
      </c>
      <c r="AJ42" s="369" t="n">
        <f aca="false">+TradeSum!G35</f>
        <v>28.25</v>
      </c>
      <c r="AK42" s="287"/>
      <c r="AL42" s="287"/>
      <c r="AM42" s="287"/>
      <c r="AN42" s="287"/>
      <c r="AO42" s="287"/>
      <c r="AP42" s="287"/>
      <c r="AQ42" s="287"/>
      <c r="AR42" s="288"/>
      <c r="AS42" s="287"/>
      <c r="AT42" s="287"/>
    </row>
    <row r="43" customFormat="false" ht="12.75" hidden="false" customHeight="true" outlineLevel="0" collapsed="false">
      <c r="A43" s="380" t="s">
        <v>128</v>
      </c>
      <c r="B43" s="318" t="n">
        <f aca="false">SUM(C43:F43)</f>
        <v>146.085458474968</v>
      </c>
      <c r="C43" s="319" t="n">
        <f aca="false">TradeSum!F32</f>
        <v>-199.728638511107</v>
      </c>
      <c r="D43" s="319" t="n">
        <f aca="false">+TradeSum!F76</f>
        <v>-599.185903013925</v>
      </c>
      <c r="E43" s="319" t="n">
        <v>946</v>
      </c>
      <c r="F43" s="370" t="n">
        <f aca="false">+'EOL LINKS'!H46</f>
        <v>-1</v>
      </c>
      <c r="G43" s="371" t="n">
        <f aca="false">+G30-0.4</f>
        <v>12.9986928104575</v>
      </c>
      <c r="H43" s="333" t="n">
        <f aca="false">+G43*336*B43/10000</f>
        <v>63.8037119593761</v>
      </c>
      <c r="I43" s="333" t="n">
        <f aca="false">+H43+Total!T67</f>
        <v>140.803711959376</v>
      </c>
      <c r="J43" s="384" t="s">
        <v>128</v>
      </c>
      <c r="K43" s="372" t="n">
        <f aca="false">+TradeSum!I32</f>
        <v>39.875</v>
      </c>
      <c r="L43" s="349" t="n">
        <f aca="false">+S43</f>
        <v>-0.5</v>
      </c>
      <c r="M43" s="324" t="n">
        <f aca="false">+TradeSum!I77</f>
        <v>48.875</v>
      </c>
      <c r="N43" s="326" t="n">
        <f aca="false">+M43-K43</f>
        <v>9</v>
      </c>
      <c r="O43" s="336" t="n">
        <v>40.375</v>
      </c>
      <c r="P43" s="320" t="n">
        <f aca="false">+R43*336</f>
        <v>122640</v>
      </c>
      <c r="Q43" s="320" t="n">
        <f aca="false">+P43*L43</f>
        <v>-61320</v>
      </c>
      <c r="R43" s="320" t="n">
        <v>365</v>
      </c>
      <c r="S43" s="16" t="n">
        <f aca="false">+'EOL LINKS'!H20-Master!O43</f>
        <v>-0.5</v>
      </c>
      <c r="T43" s="328"/>
      <c r="U43" s="329"/>
      <c r="V43" s="329"/>
      <c r="W43" s="330"/>
      <c r="X43" s="313"/>
      <c r="Y43" s="329"/>
      <c r="AB43" s="313"/>
      <c r="AC43" s="329"/>
      <c r="AD43" s="16"/>
      <c r="AE43" s="16"/>
      <c r="AF43" s="313"/>
      <c r="AG43" s="313"/>
      <c r="AH43" s="16"/>
      <c r="AI43" s="380" t="s">
        <v>133</v>
      </c>
      <c r="AJ43" s="369" t="n">
        <f aca="false">+TradeSum!G37</f>
        <v>29.6215629577637</v>
      </c>
      <c r="AR43" s="288"/>
      <c r="AS43" s="287"/>
      <c r="AT43" s="287"/>
    </row>
    <row r="44" customFormat="false" ht="12.75" hidden="false" customHeight="true" outlineLevel="0" collapsed="false">
      <c r="A44" s="380" t="s">
        <v>193</v>
      </c>
      <c r="B44" s="318" t="n">
        <f aca="false">SUM(C44:F44)</f>
        <v>-405.625860694725</v>
      </c>
      <c r="C44" s="319" t="n">
        <f aca="false">AVERAGE(TradeSum!F33:F34)</f>
        <v>-21.1995959723545</v>
      </c>
      <c r="D44" s="319" t="n">
        <f aca="false">AVERAGE(TradeSum!F77:F78)</f>
        <v>-898.67626472237</v>
      </c>
      <c r="E44" s="319" t="n">
        <v>515</v>
      </c>
      <c r="F44" s="370" t="n">
        <f aca="false">+'EOL LINKS'!H47</f>
        <v>-0.75</v>
      </c>
      <c r="G44" s="371" t="n">
        <f aca="false">+G31-1.5</f>
        <v>15.9344718030183</v>
      </c>
      <c r="H44" s="333" t="n">
        <f aca="false">+G44*688*B44/10000</f>
        <v>-444.684248179279</v>
      </c>
      <c r="I44" s="333" t="n">
        <f aca="false">+H44+SUM(Total!T68:T69)</f>
        <v>-326.684248179279</v>
      </c>
      <c r="J44" s="384" t="s">
        <v>193</v>
      </c>
      <c r="K44" s="372" t="n">
        <f aca="false">+Z38</f>
        <v>49.625</v>
      </c>
      <c r="L44" s="349" t="n">
        <f aca="false">+S44</f>
        <v>-0.5</v>
      </c>
      <c r="M44" s="372" t="n">
        <f aca="false">+AD38</f>
        <v>38.2651142297789</v>
      </c>
      <c r="N44" s="326" t="n">
        <f aca="false">+M44-K44</f>
        <v>-11.3598857702211</v>
      </c>
      <c r="O44" s="336" t="n">
        <v>50.125</v>
      </c>
      <c r="P44" s="320" t="n">
        <f aca="false">+R44*704</f>
        <v>129536</v>
      </c>
      <c r="Q44" s="320" t="n">
        <f aca="false">+P44*L44</f>
        <v>-64768</v>
      </c>
      <c r="R44" s="320" t="n">
        <v>184</v>
      </c>
      <c r="S44" s="16" t="n">
        <f aca="false">+'EOL LINKS'!H21-Master!O44</f>
        <v>-0.5</v>
      </c>
      <c r="T44" s="328"/>
      <c r="U44" s="329"/>
      <c r="V44" s="329"/>
      <c r="W44" s="330"/>
      <c r="X44" s="313"/>
      <c r="Y44" s="329"/>
      <c r="AB44" s="313"/>
      <c r="AC44" s="329"/>
      <c r="AD44" s="16"/>
      <c r="AE44" s="16"/>
      <c r="AF44" s="313"/>
      <c r="AG44" s="313"/>
      <c r="AH44" s="16"/>
      <c r="AI44" s="380" t="s">
        <v>135</v>
      </c>
      <c r="AJ44" s="369" t="n">
        <f aca="false">((TradeSum!G38*368)+(TradeSum!G39*304)+(TradeSum!G40*352))/1024</f>
        <v>30.5013298988342</v>
      </c>
      <c r="AR44" s="288"/>
      <c r="AS44" s="287"/>
      <c r="AT44" s="287"/>
    </row>
    <row r="45" customFormat="false" ht="12.75" hidden="false" customHeight="true" outlineLevel="0" collapsed="false">
      <c r="A45" s="380" t="s">
        <v>133</v>
      </c>
      <c r="B45" s="318" t="n">
        <f aca="false">SUM(C45:F45)</f>
        <v>-203.409296591206</v>
      </c>
      <c r="C45" s="319" t="n">
        <f aca="false">+TradeSum!F35</f>
        <v>-399.404134636471</v>
      </c>
      <c r="D45" s="319" t="n">
        <f aca="false">+TradeSum!F79</f>
        <v>-499.255161954735</v>
      </c>
      <c r="E45" s="319" t="n">
        <v>696</v>
      </c>
      <c r="F45" s="370" t="n">
        <f aca="false">+'EOL LINKS'!H48</f>
        <v>-0.75</v>
      </c>
      <c r="G45" s="371" t="n">
        <f aca="false">+G32-0.1</f>
        <v>8.86825396825397</v>
      </c>
      <c r="H45" s="333" t="n">
        <f aca="false">+G45*336*B45/10000</f>
        <v>-60.6105461362703</v>
      </c>
      <c r="I45" s="333" t="n">
        <f aca="false">+H45+Total!T70</f>
        <v>-2.61054613627025</v>
      </c>
      <c r="J45" s="384" t="s">
        <v>133</v>
      </c>
      <c r="K45" s="372" t="n">
        <f aca="false">+TradeSum!I35</f>
        <v>28.25</v>
      </c>
      <c r="L45" s="349" t="n">
        <f aca="false">+S45</f>
        <v>0</v>
      </c>
      <c r="M45" s="324" t="n">
        <f aca="false">+TradeSum!I80</f>
        <v>28.4065669775009</v>
      </c>
      <c r="N45" s="326" t="n">
        <f aca="false">+M45-K45</f>
        <v>0.156566977500916</v>
      </c>
      <c r="O45" s="336" t="n">
        <v>28.25</v>
      </c>
      <c r="P45" s="320" t="n">
        <f aca="false">+R45*304</f>
        <v>109440</v>
      </c>
      <c r="Q45" s="320" t="n">
        <f aca="false">+P45*L45</f>
        <v>0</v>
      </c>
      <c r="R45" s="320" t="n">
        <v>360</v>
      </c>
      <c r="S45" s="16" t="n">
        <f aca="false">+'EOL LINKS'!H32-Master!O45</f>
        <v>0</v>
      </c>
      <c r="T45" s="328"/>
      <c r="U45" s="329"/>
      <c r="V45" s="329"/>
      <c r="W45" s="330"/>
      <c r="X45" s="313"/>
      <c r="Y45" s="329"/>
      <c r="AB45" s="313"/>
      <c r="AC45" s="329"/>
      <c r="AD45" s="16"/>
      <c r="AE45" s="16"/>
      <c r="AF45" s="313"/>
      <c r="AG45" s="313"/>
      <c r="AH45" s="16"/>
      <c r="AI45" s="352" t="s">
        <v>18</v>
      </c>
      <c r="AJ45" s="369" t="n">
        <f aca="false">((AJ36*672)+(AJ39*688)+(AJ40*336)+(AJ41*336)+(AJ42*688)+(AJ43*336)+(AJ44*1024))/4080</f>
        <v>33.8434913336062</v>
      </c>
    </row>
    <row r="46" customFormat="false" ht="12.75" hidden="false" customHeight="true" outlineLevel="0" collapsed="false">
      <c r="A46" s="380" t="s">
        <v>135</v>
      </c>
      <c r="B46" s="318" t="n">
        <f aca="false">SUM(C46:F46)</f>
        <v>-422.247993148077</v>
      </c>
      <c r="C46" s="319" t="n">
        <f aca="false">AVERAGE(TradeSum!F36:F38)</f>
        <v>-948.491784425621</v>
      </c>
      <c r="D46" s="319" t="n">
        <f aca="false">AVERAGE(TradeSum!F80:F82)</f>
        <v>-499.206208722457</v>
      </c>
      <c r="E46" s="319" t="n">
        <v>1026</v>
      </c>
      <c r="F46" s="370" t="n">
        <f aca="false">+'EOL LINKS'!H49</f>
        <v>-0.55</v>
      </c>
      <c r="G46" s="371" t="n">
        <f aca="false">+G33-0.5</f>
        <v>8.24371859296483</v>
      </c>
      <c r="H46" s="333" t="n">
        <f aca="false">+G46*1024*B46/10000</f>
        <v>-356.443507912385</v>
      </c>
      <c r="I46" s="333" t="n">
        <f aca="false">+H46+SUM(Total!T71:T73)</f>
        <v>-182.443507912385</v>
      </c>
      <c r="J46" s="386" t="s">
        <v>135</v>
      </c>
      <c r="K46" s="372" t="n">
        <f aca="false">+Z42</f>
        <v>29.2549991607666</v>
      </c>
      <c r="L46" s="349" t="n">
        <f aca="false">+S46</f>
        <v>-0.365001320838928</v>
      </c>
      <c r="M46" s="372" t="n">
        <f aca="false">+AD42</f>
        <v>29.1901142886352</v>
      </c>
      <c r="N46" s="326" t="n">
        <f aca="false">+M46-K46</f>
        <v>-0.0648848721314046</v>
      </c>
      <c r="O46" s="336" t="n">
        <v>29.6150013208389</v>
      </c>
      <c r="P46" s="320" t="n">
        <f aca="false">+R46*1024</f>
        <v>546816</v>
      </c>
      <c r="Q46" s="320" t="n">
        <f aca="false">+P46*L46</f>
        <v>-199588.562255859</v>
      </c>
      <c r="R46" s="320" t="n">
        <v>534</v>
      </c>
      <c r="S46" s="16" t="n">
        <f aca="false">+'EOL LINKS'!H33-Master!O46</f>
        <v>-0.365001320838928</v>
      </c>
      <c r="T46" s="328"/>
      <c r="U46" s="329"/>
      <c r="V46" s="329"/>
      <c r="W46" s="330"/>
    </row>
    <row r="47" customFormat="false" ht="12.75" hidden="false" customHeight="false" outlineLevel="0" collapsed="false">
      <c r="A47" s="352" t="s">
        <v>18</v>
      </c>
      <c r="B47" s="344" t="n">
        <f aca="false">+C47+D47+E47</f>
        <v>-577.968329768732</v>
      </c>
      <c r="C47" s="344" t="n">
        <f aca="false">(C38+C38+C41+C41+C42+C43+C44+C44+C45+C46+C46+C46)/12</f>
        <v>-793.099267059475</v>
      </c>
      <c r="D47" s="344" t="n">
        <f aca="false">(D38+D38+D41+D41+D42+D43+D44+D44+D45+D46+D46+D46)/12</f>
        <v>-640.785729375924</v>
      </c>
      <c r="E47" s="344" t="n">
        <f aca="false">(E38+E38+E41+E41+E42+E43+E44+E44+E45+E46+E46+E46)/12</f>
        <v>855.916666666667</v>
      </c>
      <c r="F47" s="377" t="n">
        <f aca="false">((F38*672)+(F41*688)+(F42*336)+(F43*336)+(F44*688)+(F45*336)+(F46*1024))/4080</f>
        <v>-0.745294117647059</v>
      </c>
      <c r="G47" s="354" t="n">
        <f aca="false">+K47/L3</f>
        <v>10.2065915087777</v>
      </c>
      <c r="H47" s="344" t="n">
        <f aca="false">SUM(H38:H46)</f>
        <v>-2266.56301837023</v>
      </c>
      <c r="I47" s="355" t="n">
        <f aca="false">+I46+I45+I44+I43+I42+I41+I38</f>
        <v>-1543.56301837023</v>
      </c>
      <c r="J47" s="378" t="s">
        <v>18</v>
      </c>
      <c r="K47" s="335" t="n">
        <f aca="false">+AA42</f>
        <v>33.5796860638787</v>
      </c>
      <c r="L47" s="311" t="n">
        <f aca="false">+K47-O47</f>
        <v>-0.250313936121323</v>
      </c>
      <c r="M47" s="358" t="n">
        <f aca="false">+AE42</f>
        <v>32.852727145536</v>
      </c>
      <c r="N47" s="358" t="n">
        <f aca="false">+M47-K47</f>
        <v>-0.726958918342646</v>
      </c>
      <c r="O47" s="358" t="n">
        <v>33.83</v>
      </c>
      <c r="P47" s="358"/>
      <c r="Q47" s="344" t="n">
        <f aca="false">+Q17+Q18+SUM(Q25:Q33)+SUM(Q38:Q46)</f>
        <v>-1519430.80818481</v>
      </c>
      <c r="R47" s="358" t="n">
        <v>36.5</v>
      </c>
      <c r="U47" s="309" t="s">
        <v>200</v>
      </c>
      <c r="V47" s="387" t="s">
        <v>201</v>
      </c>
      <c r="W47" s="388"/>
      <c r="X47" s="389"/>
      <c r="Y47" s="390"/>
      <c r="Z47" s="391"/>
      <c r="AA47" s="391"/>
      <c r="AB47" s="389"/>
      <c r="AC47" s="389"/>
      <c r="AD47" s="390"/>
      <c r="AE47" s="390"/>
      <c r="AF47" s="390"/>
      <c r="AG47" s="389"/>
      <c r="AH47" s="390"/>
      <c r="AI47" s="390"/>
      <c r="AJ47" s="390"/>
      <c r="AK47" s="390"/>
      <c r="AL47" s="309"/>
      <c r="AM47" s="309"/>
      <c r="AN47" s="390"/>
      <c r="AO47" s="309"/>
    </row>
    <row r="48" customFormat="false" ht="3.75" hidden="false" customHeight="true" outlineLevel="0" collapsed="false">
      <c r="A48" s="287"/>
      <c r="B48" s="323"/>
      <c r="C48" s="323"/>
      <c r="D48" s="323"/>
      <c r="E48" s="323"/>
      <c r="F48" s="323"/>
      <c r="G48" s="323"/>
      <c r="H48" s="323"/>
      <c r="I48" s="323"/>
      <c r="J48" s="287"/>
      <c r="K48" s="304"/>
      <c r="L48" s="392"/>
      <c r="M48" s="392"/>
      <c r="N48" s="392"/>
      <c r="O48" s="304"/>
      <c r="P48" s="304"/>
      <c r="Q48" s="304"/>
      <c r="R48" s="304"/>
      <c r="T48" s="393" t="s">
        <v>198</v>
      </c>
      <c r="U48" s="394"/>
      <c r="V48" s="395" t="str">
        <f aca="false">DDE("TWINDDE","RSFRecord","NGG1 NET.CHNG")</f>
        <v>+NA+</v>
      </c>
      <c r="AL48" s="394" t="str">
        <f aca="false">DDE("TWINDDE","RSFRecord","NGG1 LAST")</f>
        <v>+NA+</v>
      </c>
      <c r="AM48" s="394" t="str">
        <f aca="false">DDE("TWINDDE","RSFRecord","NGG1 CLS")</f>
        <v>+NA+</v>
      </c>
      <c r="AN48" s="396"/>
      <c r="AO48" s="395" t="n">
        <v>0</v>
      </c>
      <c r="AP48" s="396"/>
    </row>
    <row r="49" customFormat="false" ht="12.75" hidden="false" customHeight="false" outlineLevel="0" collapsed="false">
      <c r="A49" s="287"/>
      <c r="B49" s="323"/>
      <c r="C49" s="323"/>
      <c r="D49" s="323" t="n">
        <f aca="false">+D50*D52</f>
        <v>7.2795</v>
      </c>
      <c r="E49" s="323" t="n">
        <f aca="false">+E50*E52</f>
        <v>-3.56</v>
      </c>
      <c r="F49" s="323" t="n">
        <f aca="false">+F50*F52</f>
        <v>-0.305</v>
      </c>
      <c r="G49" s="323" t="n">
        <f aca="false">+G50*G52</f>
        <v>0.45</v>
      </c>
      <c r="H49" s="323" t="n">
        <f aca="false">+H50*H52</f>
        <v>-8.065</v>
      </c>
      <c r="I49" s="323" t="n">
        <f aca="false">+I50*I52</f>
        <v>0.272</v>
      </c>
      <c r="J49" s="323" t="n">
        <f aca="false">+J50*J52</f>
        <v>-0</v>
      </c>
      <c r="K49" s="323"/>
      <c r="L49" s="323"/>
      <c r="M49" s="323"/>
      <c r="N49" s="323"/>
      <c r="O49" s="323"/>
      <c r="P49" s="323"/>
      <c r="Q49" s="323"/>
      <c r="R49" s="323"/>
      <c r="T49" s="397" t="s">
        <v>189</v>
      </c>
      <c r="U49" s="394"/>
      <c r="V49" s="395" t="str">
        <f aca="false">DDE("TWINDDE","RSFRecord","NGH1 NET.CHNG")</f>
        <v>+NA+</v>
      </c>
      <c r="AL49" s="394" t="str">
        <f aca="false">DDE("TWINDDE","RSFRecord","NGH1 LAST")</f>
        <v>+NA+</v>
      </c>
      <c r="AM49" s="394" t="str">
        <f aca="false">DDE("TWINDDE","RSFRecord","NGH1 CLS")</f>
        <v>+NA+</v>
      </c>
      <c r="AN49" s="30"/>
      <c r="AO49" s="395" t="n">
        <v>0</v>
      </c>
      <c r="AP49" s="30"/>
      <c r="AQ49" s="396"/>
    </row>
    <row r="50" customFormat="false" ht="12.75" hidden="false" customHeight="false" outlineLevel="0" collapsed="false">
      <c r="A50" s="398" t="s">
        <v>170</v>
      </c>
      <c r="B50" s="263"/>
      <c r="C50" s="392"/>
      <c r="D50" s="392" t="n">
        <f aca="false">+E50</f>
        <v>0.005</v>
      </c>
      <c r="E50" s="392" t="n">
        <f aca="false">+V57</f>
        <v>0.005</v>
      </c>
      <c r="F50" s="392" t="n">
        <f aca="false">+V58</f>
        <v>-0.005</v>
      </c>
      <c r="G50" s="392" t="n">
        <f aca="false">+V59</f>
        <v>-0.01</v>
      </c>
      <c r="H50" s="392" t="n">
        <f aca="false">+V60</f>
        <v>-0.005</v>
      </c>
      <c r="I50" s="392" t="n">
        <f aca="false">+V61</f>
        <v>-0.002</v>
      </c>
      <c r="J50" s="392" t="n">
        <f aca="false">+V62</f>
        <v>0</v>
      </c>
      <c r="K50" s="392"/>
      <c r="L50" s="399" t="s">
        <v>202</v>
      </c>
      <c r="M50" s="400" t="n">
        <f aca="false">+'EOL LINKS'!H71</f>
        <v>25.775</v>
      </c>
      <c r="N50" s="392" t="s">
        <v>203</v>
      </c>
      <c r="O50" s="392"/>
      <c r="P50" s="392"/>
      <c r="Q50" s="392"/>
      <c r="R50" s="392"/>
      <c r="T50" s="397" t="s">
        <v>199</v>
      </c>
      <c r="U50" s="394" t="str">
        <f aca="false">IF(DDE("TWINDDE","RSFRecord","NGJ1 LAST")=0,AM50+W50,DDE("TWINDDE","RSFRecord","NGJ1 LAST"))</f>
        <v>+NA+</v>
      </c>
      <c r="V50" s="395" t="str">
        <f aca="false">DDE("TWINDDE","RSFRecord","NGJ1 NET.CHNG")</f>
        <v>+NA+</v>
      </c>
      <c r="AL50" s="394" t="str">
        <f aca="false">DDE("TWINDDE","RSFRecord","NGJ1 LAST")</f>
        <v>+NA+</v>
      </c>
      <c r="AM50" s="394" t="str">
        <f aca="false">DDE("TWINDDE","RSFRecord","NGJ1 CLS")</f>
        <v>+NA+</v>
      </c>
      <c r="AN50" s="30"/>
      <c r="AO50" s="395" t="n">
        <v>0</v>
      </c>
      <c r="AP50" s="30"/>
      <c r="AQ50" s="30"/>
    </row>
    <row r="51" customFormat="false" ht="12.75" hidden="false" customHeight="false" outlineLevel="0" collapsed="false">
      <c r="A51" s="323" t="n">
        <f aca="false">SUM(D49:J49)*10000</f>
        <v>-39285</v>
      </c>
      <c r="B51" s="401" t="s">
        <v>204</v>
      </c>
      <c r="C51" s="402" t="s">
        <v>205</v>
      </c>
      <c r="D51" s="401" t="n">
        <v>37135</v>
      </c>
      <c r="E51" s="401" t="n">
        <v>37165</v>
      </c>
      <c r="F51" s="401" t="n">
        <v>37196</v>
      </c>
      <c r="G51" s="401" t="n">
        <v>37226</v>
      </c>
      <c r="H51" s="401" t="n">
        <v>37257</v>
      </c>
      <c r="I51" s="401" t="n">
        <v>37288</v>
      </c>
      <c r="J51" s="401" t="n">
        <v>37316</v>
      </c>
      <c r="K51" s="401"/>
      <c r="L51" s="403"/>
      <c r="M51" s="404" t="n">
        <f aca="false">+TradeSum!CW18</f>
        <v>25.746875</v>
      </c>
      <c r="N51" s="401" t="s">
        <v>206</v>
      </c>
      <c r="O51" s="401"/>
      <c r="P51" s="401"/>
      <c r="Q51" s="401"/>
      <c r="R51" s="401"/>
      <c r="S51" s="396"/>
      <c r="T51" s="397" t="s">
        <v>124</v>
      </c>
      <c r="U51" s="394" t="n">
        <f aca="false">+C50</f>
        <v>0</v>
      </c>
      <c r="V51" s="395" t="str">
        <f aca="false">DDE("TWINDDE","RSFRecord","NGK1 NET.CHNG")</f>
        <v>+NA+</v>
      </c>
      <c r="AL51" s="394" t="str">
        <f aca="false">DDE("TWINDDE","RSFRecord","NGK1 LAST")</f>
        <v>+NA+</v>
      </c>
      <c r="AM51" s="394" t="str">
        <f aca="false">DDE("TWINDDE","RSFRecord","NGK1 CLS")</f>
        <v>+NA+</v>
      </c>
      <c r="AN51" s="30"/>
      <c r="AO51" s="395" t="n">
        <v>0</v>
      </c>
      <c r="AP51" s="30"/>
      <c r="AQ51" s="30"/>
      <c r="AS51" s="396"/>
      <c r="AT51" s="396"/>
      <c r="AU51" s="396"/>
      <c r="AV51" s="396"/>
      <c r="AW51" s="396"/>
      <c r="AX51" s="396"/>
      <c r="AY51" s="396"/>
      <c r="AZ51" s="396"/>
      <c r="BA51" s="396"/>
      <c r="BB51" s="396"/>
      <c r="BC51" s="396"/>
      <c r="BD51" s="396"/>
      <c r="BE51" s="396"/>
      <c r="BF51" s="396"/>
      <c r="BG51" s="396"/>
      <c r="BH51" s="396"/>
      <c r="BI51" s="396"/>
      <c r="BJ51" s="396"/>
      <c r="BK51" s="396"/>
      <c r="BL51" s="396"/>
      <c r="BM51" s="396"/>
      <c r="BN51" s="396"/>
      <c r="BO51" s="396"/>
      <c r="BP51" s="396"/>
      <c r="BQ51" s="396"/>
      <c r="BR51" s="396"/>
      <c r="BS51" s="396"/>
      <c r="BT51" s="396"/>
      <c r="BU51" s="396"/>
      <c r="BV51" s="396"/>
      <c r="BW51" s="396"/>
      <c r="BX51" s="396"/>
      <c r="BY51" s="396"/>
      <c r="BZ51" s="396"/>
      <c r="CA51" s="396"/>
      <c r="CB51" s="396"/>
      <c r="CC51" s="396"/>
      <c r="CD51" s="396"/>
      <c r="CE51" s="396"/>
      <c r="CF51" s="396"/>
      <c r="CG51" s="396"/>
      <c r="CH51" s="396"/>
      <c r="CI51" s="396"/>
      <c r="CJ51" s="396"/>
      <c r="CK51" s="396"/>
      <c r="CL51" s="396"/>
      <c r="CM51" s="396"/>
      <c r="CN51" s="396"/>
      <c r="CO51" s="396"/>
      <c r="CP51" s="396"/>
      <c r="CQ51" s="396"/>
      <c r="CR51" s="396"/>
      <c r="CS51" s="396"/>
      <c r="CT51" s="396"/>
      <c r="CU51" s="396"/>
      <c r="CV51" s="396"/>
      <c r="CW51" s="396"/>
      <c r="CX51" s="396"/>
      <c r="CY51" s="396"/>
      <c r="CZ51" s="396"/>
      <c r="DA51" s="396"/>
      <c r="DB51" s="396"/>
      <c r="DC51" s="396"/>
      <c r="DD51" s="396"/>
      <c r="DE51" s="396"/>
      <c r="DF51" s="396"/>
      <c r="DG51" s="396"/>
      <c r="DH51" s="396"/>
      <c r="DI51" s="396"/>
      <c r="DJ51" s="396"/>
      <c r="DK51" s="396"/>
      <c r="DL51" s="396"/>
      <c r="DM51" s="396"/>
      <c r="DN51" s="396"/>
      <c r="DO51" s="396"/>
      <c r="DP51" s="396"/>
      <c r="DQ51" s="396"/>
      <c r="DR51" s="396"/>
      <c r="DS51" s="396"/>
      <c r="DT51" s="396"/>
      <c r="DU51" s="396"/>
      <c r="DV51" s="396"/>
      <c r="DW51" s="396"/>
      <c r="DX51" s="396"/>
      <c r="DY51" s="396"/>
      <c r="DZ51" s="396"/>
      <c r="EA51" s="396"/>
      <c r="EB51" s="396"/>
      <c r="EC51" s="396"/>
      <c r="ED51" s="396"/>
      <c r="EE51" s="396"/>
      <c r="EF51" s="396"/>
      <c r="EG51" s="396"/>
      <c r="EH51" s="396"/>
      <c r="EI51" s="396"/>
      <c r="EJ51" s="396"/>
      <c r="EK51" s="396"/>
      <c r="EL51" s="396"/>
      <c r="EM51" s="396"/>
      <c r="EN51" s="396"/>
      <c r="EO51" s="396"/>
      <c r="EP51" s="396"/>
      <c r="EQ51" s="396"/>
      <c r="ER51" s="396"/>
      <c r="ES51" s="396"/>
      <c r="ET51" s="396"/>
      <c r="EU51" s="396"/>
      <c r="EV51" s="396"/>
      <c r="EW51" s="396"/>
      <c r="EX51" s="396"/>
      <c r="EY51" s="396"/>
      <c r="EZ51" s="396"/>
      <c r="FA51" s="396"/>
      <c r="FB51" s="396"/>
      <c r="FC51" s="396"/>
      <c r="FD51" s="396"/>
      <c r="FE51" s="396"/>
      <c r="FF51" s="396"/>
      <c r="FG51" s="396"/>
      <c r="FH51" s="396"/>
      <c r="FI51" s="396"/>
      <c r="FJ51" s="396"/>
      <c r="FK51" s="396"/>
      <c r="FL51" s="396"/>
      <c r="FM51" s="396"/>
      <c r="FN51" s="396"/>
      <c r="FO51" s="396"/>
      <c r="FP51" s="396"/>
      <c r="FQ51" s="396"/>
      <c r="FR51" s="396"/>
      <c r="FS51" s="396"/>
      <c r="FT51" s="396"/>
      <c r="FU51" s="396"/>
      <c r="FV51" s="396"/>
      <c r="FW51" s="396"/>
      <c r="FX51" s="396"/>
      <c r="FY51" s="396"/>
      <c r="FZ51" s="396"/>
      <c r="GA51" s="396"/>
      <c r="GB51" s="396"/>
      <c r="GC51" s="396"/>
      <c r="GD51" s="396"/>
      <c r="GE51" s="396"/>
      <c r="GF51" s="396"/>
      <c r="GG51" s="396"/>
      <c r="GH51" s="396"/>
      <c r="GI51" s="396"/>
      <c r="GJ51" s="396"/>
      <c r="GK51" s="396"/>
      <c r="GL51" s="396"/>
      <c r="GM51" s="396"/>
      <c r="GN51" s="396"/>
      <c r="GO51" s="396"/>
      <c r="GP51" s="396"/>
      <c r="GQ51" s="396"/>
      <c r="GR51" s="396"/>
      <c r="GS51" s="396"/>
      <c r="GT51" s="396"/>
      <c r="GU51" s="396"/>
      <c r="GV51" s="396"/>
      <c r="GW51" s="396"/>
      <c r="GX51" s="396"/>
      <c r="GY51" s="396"/>
      <c r="GZ51" s="396"/>
      <c r="HA51" s="396"/>
      <c r="HB51" s="396"/>
      <c r="HC51" s="396"/>
      <c r="HD51" s="396"/>
      <c r="HE51" s="396"/>
      <c r="HF51" s="396"/>
      <c r="HG51" s="396"/>
      <c r="HH51" s="396"/>
      <c r="HI51" s="396"/>
      <c r="HJ51" s="396"/>
      <c r="HK51" s="396"/>
      <c r="HL51" s="396"/>
      <c r="HM51" s="396"/>
      <c r="HN51" s="396"/>
      <c r="HO51" s="396"/>
      <c r="HP51" s="396"/>
      <c r="HQ51" s="396"/>
      <c r="HR51" s="396"/>
      <c r="HS51" s="396"/>
      <c r="HT51" s="396"/>
      <c r="HU51" s="396"/>
      <c r="HV51" s="396"/>
      <c r="HW51" s="396"/>
      <c r="HX51" s="396"/>
      <c r="HY51" s="396"/>
      <c r="HZ51" s="396"/>
      <c r="IA51" s="396"/>
      <c r="IB51" s="396"/>
      <c r="IC51" s="396"/>
      <c r="ID51" s="396"/>
      <c r="IE51" s="396"/>
      <c r="IF51" s="396"/>
      <c r="IG51" s="396"/>
      <c r="IH51" s="396"/>
      <c r="II51" s="396"/>
      <c r="IJ51" s="396"/>
      <c r="IK51" s="396"/>
      <c r="IL51" s="396"/>
      <c r="IM51" s="396"/>
      <c r="IN51" s="396"/>
      <c r="IO51" s="396"/>
      <c r="IP51" s="396"/>
      <c r="IQ51" s="396"/>
      <c r="IR51" s="396"/>
      <c r="IS51" s="396"/>
      <c r="IT51" s="396"/>
      <c r="IU51" s="396"/>
      <c r="IV51" s="396"/>
      <c r="IW51" s="396"/>
    </row>
    <row r="52" customFormat="false" ht="12.75" hidden="false" customHeight="false" outlineLevel="0" collapsed="false">
      <c r="A52" s="323" t="n">
        <f aca="false">(+D78+I78+N78+D96+I96+N96)*10000</f>
        <v>-31428.571428236</v>
      </c>
      <c r="B52" s="323" t="s">
        <v>207</v>
      </c>
      <c r="C52" s="405" t="n">
        <f aca="false">+Term!H21</f>
        <v>1955.15878220142</v>
      </c>
      <c r="D52" s="323" t="n">
        <f aca="false">63.3*23</f>
        <v>1455.9</v>
      </c>
      <c r="E52" s="323" t="n">
        <v>-712</v>
      </c>
      <c r="F52" s="323" t="n">
        <v>61</v>
      </c>
      <c r="G52" s="323" t="n">
        <v>-45</v>
      </c>
      <c r="H52" s="323" t="n">
        <v>1613</v>
      </c>
      <c r="I52" s="323" t="n">
        <v>-136</v>
      </c>
      <c r="J52" s="323" t="n">
        <v>-156</v>
      </c>
      <c r="K52" s="323"/>
      <c r="L52" s="399" t="s">
        <v>208</v>
      </c>
      <c r="M52" s="400" t="n">
        <f aca="false">+'EOL LINKS'!H67</f>
        <v>33.875</v>
      </c>
      <c r="N52" s="323" t="s">
        <v>203</v>
      </c>
      <c r="O52" s="323"/>
      <c r="P52" s="323"/>
      <c r="Q52" s="323"/>
      <c r="R52" s="323"/>
      <c r="S52" s="30"/>
      <c r="T52" s="397" t="s">
        <v>128</v>
      </c>
      <c r="U52" s="394" t="str">
        <f aca="false">IF(DDE("TWINDDE","RSFRecord","NGM1 LAST")=0,AM52+W52,DDE("TWINDDE","RSFRecord","NGM1 LAST"))</f>
        <v>+NA+</v>
      </c>
      <c r="V52" s="395" t="str">
        <f aca="false">DDE("TWINDDE","RSFRecord","NGM1 NET.CHNG")</f>
        <v>+NA+</v>
      </c>
      <c r="AL52" s="394" t="str">
        <f aca="false">DDE("TWINDDE","RSFRecord","NGM1 LAST")</f>
        <v>+NA+</v>
      </c>
      <c r="AM52" s="394" t="str">
        <f aca="false">DDE("TWINDDE","RSFRecord","NGM1 CLS")</f>
        <v>+NA+</v>
      </c>
      <c r="AN52" s="30"/>
      <c r="AO52" s="395" t="n">
        <v>0</v>
      </c>
      <c r="AP52" s="30"/>
      <c r="AQ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2.75" hidden="true" customHeight="false" outlineLevel="0" collapsed="false">
      <c r="A53" s="323" t="s">
        <v>131</v>
      </c>
      <c r="B53" s="382"/>
      <c r="C53" s="323"/>
      <c r="D53" s="323" t="n">
        <f aca="false">+D77</f>
        <v>2E-012</v>
      </c>
      <c r="E53" s="323"/>
      <c r="F53" s="323"/>
      <c r="G53" s="323"/>
      <c r="H53" s="323"/>
      <c r="I53" s="323"/>
      <c r="J53" s="323"/>
      <c r="K53" s="323"/>
      <c r="L53" s="321"/>
      <c r="M53" s="31"/>
      <c r="N53" s="323"/>
      <c r="O53" s="323"/>
      <c r="P53" s="323"/>
      <c r="Q53" s="323"/>
      <c r="R53" s="323"/>
      <c r="S53" s="30"/>
      <c r="T53" s="397" t="s">
        <v>190</v>
      </c>
      <c r="U53" s="394" t="str">
        <f aca="false">IF(DDE("TWINDDE","RSFRecord","NGN1 LAST")=0,AM53+W53,DDE("TWINDDE","RSFRecord","NGN1 LAST"))</f>
        <v>+NA+</v>
      </c>
      <c r="V53" s="395" t="str">
        <f aca="false">DDE("TWINDDE","RSFRecord","NGN1 NET.CHNG")</f>
        <v>+NA+</v>
      </c>
      <c r="AL53" s="394" t="str">
        <f aca="false">DDE("TWINDDE","RSFRecord","NGN1 LAST")</f>
        <v>+NA+</v>
      </c>
      <c r="AM53" s="394" t="str">
        <f aca="false">DDE("TWINDDE","RSFRecord","NGN1 CLS")</f>
        <v>+NA+</v>
      </c>
      <c r="AN53" s="30"/>
      <c r="AO53" s="395" t="n">
        <v>0</v>
      </c>
      <c r="AP53" s="30"/>
      <c r="AQ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2.75" hidden="true" customHeight="false" outlineLevel="0" collapsed="false">
      <c r="A54" s="323" t="s">
        <v>134</v>
      </c>
      <c r="B54" s="382"/>
      <c r="C54" s="323"/>
      <c r="D54" s="323"/>
      <c r="E54" s="323" t="n">
        <f aca="false">+I77</f>
        <v>2E-012</v>
      </c>
      <c r="F54" s="323"/>
      <c r="G54" s="323"/>
      <c r="H54" s="323"/>
      <c r="I54" s="323"/>
      <c r="J54" s="323"/>
      <c r="K54" s="323"/>
      <c r="L54" s="321"/>
      <c r="M54" s="31"/>
      <c r="N54" s="323"/>
      <c r="O54" s="323"/>
      <c r="P54" s="323"/>
      <c r="Q54" s="323"/>
      <c r="R54" s="323"/>
      <c r="S54" s="30"/>
      <c r="T54" s="397" t="s">
        <v>192</v>
      </c>
      <c r="U54" s="394" t="str">
        <f aca="false">IF(DDE("TWINDDE","RSFRecord","NGQ1 LAST")=0,AM54+W54,DDE("TWINDDE","RSFRecord","NGQ1 LAST"))</f>
        <v>+NA+</v>
      </c>
      <c r="V54" s="395" t="str">
        <f aca="false">DDE("TWINDDE","RSFRecord","NGQ1 NET.CHNG")</f>
        <v>+NA+</v>
      </c>
      <c r="AL54" s="394" t="str">
        <f aca="false">DDE("TWINDDE","RSFRecord","NGQ1 LAST")</f>
        <v>+NA+</v>
      </c>
      <c r="AM54" s="394" t="str">
        <f aca="false">DDE("TWINDDE","RSFRecord","NGQ1 CLS")</f>
        <v>+NA+</v>
      </c>
      <c r="AN54" s="30"/>
      <c r="AO54" s="395" t="n">
        <v>0</v>
      </c>
      <c r="AP54" s="30"/>
      <c r="AQ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2.75" hidden="true" customHeight="false" outlineLevel="0" collapsed="false">
      <c r="A55" s="323" t="s">
        <v>136</v>
      </c>
      <c r="B55" s="382"/>
      <c r="C55" s="323"/>
      <c r="D55" s="323"/>
      <c r="E55" s="323"/>
      <c r="F55" s="323" t="n">
        <f aca="false">+N77</f>
        <v>2E-012</v>
      </c>
      <c r="G55" s="323"/>
      <c r="H55" s="323"/>
      <c r="I55" s="323"/>
      <c r="J55" s="323"/>
      <c r="K55" s="323"/>
      <c r="L55" s="321"/>
      <c r="M55" s="31"/>
      <c r="N55" s="323"/>
      <c r="O55" s="323"/>
      <c r="P55" s="323"/>
      <c r="Q55" s="323"/>
      <c r="R55" s="323"/>
      <c r="S55" s="30"/>
      <c r="T55" s="397"/>
      <c r="U55" s="394"/>
      <c r="V55" s="395"/>
      <c r="AL55" s="394"/>
      <c r="AM55" s="394"/>
      <c r="AN55" s="30"/>
      <c r="AO55" s="395"/>
      <c r="AP55" s="30"/>
      <c r="AQ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2.75" hidden="true" customHeight="false" outlineLevel="0" collapsed="false">
      <c r="A56" s="323" t="s">
        <v>209</v>
      </c>
      <c r="B56" s="382"/>
      <c r="C56" s="323"/>
      <c r="D56" s="323"/>
      <c r="E56" s="323"/>
      <c r="F56" s="323" t="n">
        <f aca="false">+$D95/5</f>
        <v>4E-013</v>
      </c>
      <c r="G56" s="323" t="n">
        <f aca="false">+$D95/5</f>
        <v>4E-013</v>
      </c>
      <c r="H56" s="323" t="n">
        <f aca="false">+$D95/5</f>
        <v>4E-013</v>
      </c>
      <c r="I56" s="323" t="n">
        <f aca="false">+$D95/5</f>
        <v>4E-013</v>
      </c>
      <c r="J56" s="323" t="n">
        <f aca="false">+$D95/5</f>
        <v>4E-013</v>
      </c>
      <c r="K56" s="323"/>
      <c r="L56" s="321"/>
      <c r="M56" s="31"/>
      <c r="N56" s="323"/>
      <c r="O56" s="323"/>
      <c r="P56" s="323"/>
      <c r="Q56" s="323"/>
      <c r="R56" s="323"/>
      <c r="S56" s="30"/>
      <c r="T56" s="397" t="s">
        <v>133</v>
      </c>
      <c r="U56" s="394" t="str">
        <f aca="false">IF(DDE("TWINDDE","RSFRecord","NGU1 LAST")=0,AM56+W56,DDE("TWINDDE","RSFRecord","NGU1 LAST"))</f>
        <v>+NA+</v>
      </c>
      <c r="V56" s="395" t="str">
        <f aca="false">DDE("TWINDDE","RSFRecord","NGU1 NET.CHNG")</f>
        <v>+NA+</v>
      </c>
      <c r="AL56" s="394" t="str">
        <f aca="false">DDE("TWINDDE","RSFRecord","NGU1 LAST")</f>
        <v>+NA+</v>
      </c>
      <c r="AM56" s="394" t="str">
        <f aca="false">DDE("TWINDDE","RSFRecord","NGU1 CLS")</f>
        <v>+NA+</v>
      </c>
      <c r="AN56" s="30"/>
      <c r="AO56" s="395" t="n">
        <v>0</v>
      </c>
      <c r="AP56" s="30"/>
      <c r="AQ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2.75" hidden="true" customHeight="false" outlineLevel="0" collapsed="false">
      <c r="A57" s="323" t="s">
        <v>210</v>
      </c>
      <c r="B57" s="382"/>
      <c r="C57" s="323"/>
      <c r="D57" s="323"/>
      <c r="E57" s="323"/>
      <c r="F57" s="323"/>
      <c r="G57" s="323"/>
      <c r="H57" s="323"/>
      <c r="I57" s="323"/>
      <c r="J57" s="323"/>
      <c r="K57" s="323"/>
      <c r="L57" s="321"/>
      <c r="M57" s="31"/>
      <c r="N57" s="323"/>
      <c r="O57" s="323"/>
      <c r="P57" s="323"/>
      <c r="Q57" s="323"/>
      <c r="R57" s="323"/>
      <c r="S57" s="30"/>
      <c r="T57" s="397" t="s">
        <v>194</v>
      </c>
      <c r="U57" s="394" t="n">
        <f aca="false">IF(DDE("TWINDDE","RSFRecord","NGV1 LAST")=0,AM57+W57,DDE("TWINDDE","RSFRecord","NGV1 LAST"))</f>
        <v>2.445</v>
      </c>
      <c r="V57" s="395" t="n">
        <f aca="false">DDE("TWINDDE","RSFRecord","NGV1 NET.CHNG")</f>
        <v>0.005</v>
      </c>
      <c r="AL57" s="394" t="n">
        <f aca="false">DDE("TWINDDE","RSFRecord","NGV1 LAST")</f>
        <v>2.445</v>
      </c>
      <c r="AM57" s="394" t="n">
        <f aca="false">DDE("TWINDDE","RSFRecord","NGV1 CLS")</f>
        <v>2.44</v>
      </c>
      <c r="AN57" s="30"/>
      <c r="AO57" s="395" t="n">
        <v>0</v>
      </c>
      <c r="AP57" s="30"/>
      <c r="AQ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2.75" hidden="true" customHeight="false" outlineLevel="0" collapsed="false">
      <c r="A58" s="323" t="s">
        <v>139</v>
      </c>
      <c r="B58" s="406"/>
      <c r="C58" s="407"/>
      <c r="D58" s="407"/>
      <c r="E58" s="407"/>
      <c r="F58" s="407"/>
      <c r="G58" s="407" t="n">
        <f aca="false">+N95</f>
        <v>2E-012</v>
      </c>
      <c r="H58" s="407"/>
      <c r="I58" s="407"/>
      <c r="J58" s="407"/>
      <c r="K58" s="407"/>
      <c r="L58" s="408"/>
      <c r="M58" s="31"/>
      <c r="N58" s="323"/>
      <c r="O58" s="323"/>
      <c r="P58" s="323"/>
      <c r="Q58" s="323"/>
      <c r="R58" s="323"/>
      <c r="S58" s="30"/>
      <c r="T58" s="397" t="s">
        <v>116</v>
      </c>
      <c r="U58" s="394" t="n">
        <f aca="false">IF(DDE("TWINDDE","RSFRecord","NGX1 LAST")=0,AM58+W58,DDE("TWINDDE","RSFRecord","NGX1 LAST"))</f>
        <v>2.735</v>
      </c>
      <c r="V58" s="395" t="n">
        <f aca="false">DDE("TWINDDE","RSFRecord","NGX1 NET.CHNG")</f>
        <v>-0.005</v>
      </c>
      <c r="AL58" s="394" t="n">
        <f aca="false">DDE("TWINDDE","RSFRecord","NGX1 LAST")</f>
        <v>2.735</v>
      </c>
      <c r="AM58" s="394" t="n">
        <f aca="false">DDE("TWINDDE","RSFRecord","NGX1 CLS")</f>
        <v>2.74</v>
      </c>
      <c r="AN58" s="30"/>
      <c r="AO58" s="395" t="n">
        <f aca="false">DDE("TWINDDE","RSFRecord","NGX1 NET.CHNG")</f>
        <v>-0.005</v>
      </c>
      <c r="AQ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2.75" hidden="true" customHeight="false" outlineLevel="0" collapsed="false">
      <c r="A59" s="323"/>
      <c r="B59" s="323"/>
      <c r="C59" s="323"/>
      <c r="D59" s="323"/>
      <c r="E59" s="323"/>
      <c r="F59" s="323"/>
      <c r="G59" s="323"/>
      <c r="H59" s="323"/>
      <c r="I59" s="323"/>
      <c r="J59" s="323"/>
      <c r="K59" s="323"/>
      <c r="L59" s="321"/>
      <c r="M59" s="31"/>
      <c r="N59" s="323"/>
      <c r="O59" s="323"/>
      <c r="P59" s="323"/>
      <c r="Q59" s="323"/>
      <c r="R59" s="323"/>
      <c r="S59" s="30"/>
      <c r="T59" s="397" t="s">
        <v>195</v>
      </c>
      <c r="U59" s="394" t="n">
        <f aca="false">IF(DDE("TWINDDE","RSFRecord","NGZ1 LAST")=0,AM59+W59,DDE("TWINDDE","RSFRecord","NGZ1 LAST"))</f>
        <v>3.05</v>
      </c>
      <c r="V59" s="395" t="n">
        <f aca="false">DDE("TWINDDE","RSFRecord","NGZ1 NET.CHNG")</f>
        <v>-0.01</v>
      </c>
      <c r="AL59" s="394" t="n">
        <f aca="false">DDE("TWINDDE","RSFRecord","NGZ1 LAST")</f>
        <v>3.05</v>
      </c>
      <c r="AM59" s="394" t="n">
        <f aca="false">DDE("TWINDDE","RSFRecord","NGZ1 CLS")</f>
        <v>3.06</v>
      </c>
      <c r="AN59" s="30"/>
      <c r="AO59" s="395" t="n">
        <f aca="false">DDE("TWINDDE","RSFRecord","NGZ1 NET.CHNG")</f>
        <v>-0.01</v>
      </c>
      <c r="AQ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2.75" hidden="false" customHeight="false" outlineLevel="0" collapsed="false">
      <c r="A60" s="323" t="s">
        <v>211</v>
      </c>
      <c r="B60" s="323" t="n">
        <f aca="false">SUM(C60:R60)</f>
        <v>2001.67038733527</v>
      </c>
      <c r="C60" s="323"/>
      <c r="D60" s="323" t="n">
        <f aca="false">SUM(D52:D58)</f>
        <v>1455.9</v>
      </c>
      <c r="E60" s="323" t="n">
        <f aca="false">SUM(E52:E58)</f>
        <v>-711.999999999998</v>
      </c>
      <c r="F60" s="323" t="n">
        <f aca="false">SUM(F52:F58)</f>
        <v>61.0000000000024</v>
      </c>
      <c r="G60" s="323" t="n">
        <f aca="false">SUM(G52:G58)</f>
        <v>-44.9999999999976</v>
      </c>
      <c r="H60" s="323" t="n">
        <f aca="false">SUM(H52:H58)+Total!V50</f>
        <v>1647.72950819672</v>
      </c>
      <c r="I60" s="323" t="n">
        <f aca="false">SUM(I52:I58)+Total!V51</f>
        <v>-209.770491803278</v>
      </c>
      <c r="J60" s="323" t="n">
        <f aca="false">SUM(J52:J58)+Total!V52</f>
        <v>-229.770491803278</v>
      </c>
      <c r="K60" s="323"/>
      <c r="L60" s="408"/>
      <c r="M60" s="404" t="n">
        <f aca="false">+TradeSum!CR28</f>
        <v>33.581862745098</v>
      </c>
      <c r="N60" s="323" t="s">
        <v>206</v>
      </c>
      <c r="O60" s="323"/>
      <c r="P60" s="323"/>
      <c r="Q60" s="323"/>
      <c r="R60" s="323"/>
      <c r="S60" s="30"/>
      <c r="T60" s="397" t="s">
        <v>212</v>
      </c>
      <c r="U60" s="394" t="n">
        <f aca="false">IF(DDE("TWINDDE","RSFRecord","NGF2 LAST")=0,AM60+W60,DDE("TWINDDE","RSFRecord","NGF2 LAST"))</f>
        <v>3.2</v>
      </c>
      <c r="V60" s="395" t="n">
        <f aca="false">DDE("TWINDDE","RSFRecord","NGF2 NET.CHNG")</f>
        <v>-0.005</v>
      </c>
      <c r="AL60" s="394" t="n">
        <f aca="false">DDE("TWINDDE","RSFRecord","NGF2 LAST")</f>
        <v>3.2</v>
      </c>
      <c r="AM60" s="394" t="n">
        <f aca="false">DDE("TWINDDE","RSFRecord","NGF2 CLS")</f>
        <v>3.205</v>
      </c>
      <c r="AN60" s="30"/>
      <c r="AO60" s="395" t="n">
        <f aca="false">DDE("TWINDDE","RSFRecord","NGF2 NET.CHNG")</f>
        <v>-0.005</v>
      </c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2.75" hidden="true" customHeight="false" outlineLevel="0" collapsed="false">
      <c r="A61" s="323"/>
      <c r="B61" s="323"/>
      <c r="C61" s="323"/>
      <c r="D61" s="323"/>
      <c r="E61" s="323"/>
      <c r="F61" s="323"/>
      <c r="G61" s="323"/>
      <c r="H61" s="323"/>
      <c r="I61" s="323"/>
      <c r="J61" s="323"/>
      <c r="K61" s="323"/>
      <c r="L61" s="323"/>
      <c r="M61" s="323"/>
      <c r="N61" s="323"/>
      <c r="O61" s="323"/>
      <c r="P61" s="323"/>
      <c r="Q61" s="323"/>
      <c r="R61" s="323"/>
      <c r="S61" s="30"/>
      <c r="T61" s="397" t="s">
        <v>213</v>
      </c>
      <c r="U61" s="394" t="n">
        <f aca="false">IF(DDE("TWINDDE","RSFRecord","NGG2 LAST")=0,AM61+W61,DDE("TWINDDE","RSFRecord","NGG2 LAST"))</f>
        <v>3.175</v>
      </c>
      <c r="V61" s="395" t="n">
        <f aca="false">DDE("TWINDDE","RSFRecord","NGG2 NET.CHNG")</f>
        <v>-0.002</v>
      </c>
      <c r="AL61" s="394" t="n">
        <f aca="false">DDE("TWINDDE","RSFRecord","NGG2 LAST")</f>
        <v>3.175</v>
      </c>
      <c r="AM61" s="394" t="n">
        <f aca="false">DDE("TWINDDE","RSFRecord","NGG2 CLS")</f>
        <v>3.177</v>
      </c>
      <c r="AN61" s="30"/>
      <c r="AO61" s="395" t="n">
        <f aca="false">DDE("TWINDDE","RSFRecord","NGG2 NET.CHNG")</f>
        <v>-0.002</v>
      </c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</row>
    <row r="62" customFormat="false" ht="12.75" hidden="true" customHeight="false" outlineLevel="0" collapsed="false">
      <c r="A62" s="287"/>
      <c r="B62" s="323"/>
      <c r="C62" s="323"/>
      <c r="D62" s="323"/>
      <c r="E62" s="323"/>
      <c r="F62" s="323"/>
      <c r="G62" s="323"/>
      <c r="H62" s="323"/>
      <c r="I62" s="323"/>
      <c r="J62" s="287"/>
      <c r="K62" s="304"/>
      <c r="L62" s="304"/>
      <c r="M62" s="304"/>
      <c r="N62" s="304"/>
      <c r="O62" s="304"/>
      <c r="P62" s="304"/>
      <c r="Q62" s="304"/>
      <c r="R62" s="304"/>
      <c r="T62" s="397" t="s">
        <v>214</v>
      </c>
      <c r="U62" s="394" t="n">
        <f aca="false">IF(DDE("TWINDDE","RSFRecord","NGH2 LAST")=0,AM62+W62,DDE("TWINDDE","RSFRecord","NGH2 LAST"))</f>
        <v>3.105</v>
      </c>
      <c r="V62" s="395" t="n">
        <f aca="false">DDE("TWINDDE","RSFRecord","NGH2 NET.CHNG")</f>
        <v>0</v>
      </c>
      <c r="AL62" s="394" t="n">
        <f aca="false">DDE("TWINDDE","RSFRecord","NGH2 LAST")</f>
        <v>3.105</v>
      </c>
      <c r="AM62" s="394" t="n">
        <f aca="false">DDE("TWINDDE","RSFRecord","NGH2 CLS")</f>
        <v>3.105</v>
      </c>
      <c r="AN62" s="30"/>
      <c r="AO62" s="395" t="n">
        <f aca="false">DDE("TWINDDE","RSFRecord","NGH2 NET.CHNG")</f>
        <v>0</v>
      </c>
    </row>
    <row r="63" customFormat="false" ht="7.5" hidden="false" customHeight="true" outlineLevel="0" collapsed="false">
      <c r="A63" s="287"/>
      <c r="B63" s="323"/>
      <c r="C63" s="323"/>
      <c r="D63" s="323"/>
      <c r="E63" s="280"/>
      <c r="F63" s="323"/>
      <c r="G63" s="323"/>
      <c r="H63" s="323"/>
      <c r="I63" s="323"/>
      <c r="J63" s="287"/>
      <c r="K63" s="304"/>
      <c r="L63" s="304"/>
      <c r="M63" s="304"/>
      <c r="N63" s="304"/>
      <c r="O63" s="304"/>
      <c r="P63" s="304"/>
      <c r="Q63" s="304"/>
      <c r="R63" s="304"/>
      <c r="T63" s="397" t="s">
        <v>215</v>
      </c>
      <c r="U63" s="394" t="n">
        <f aca="false">IF(DDE("TWINDDE","RSFRecord","NGJ2 LAST")=0,AM63+W63,DDE("TWINDDE","RSFRecord","NGJ2 LAST"))</f>
        <v>3</v>
      </c>
      <c r="V63" s="395" t="n">
        <f aca="false">DDE("TWINDDE","RSFRecord","NGJ2 NET.CHNG")</f>
        <v>-0.012</v>
      </c>
      <c r="Z63" s="16" t="s">
        <v>192</v>
      </c>
      <c r="AA63" s="263" t="n">
        <v>3.153</v>
      </c>
      <c r="AB63" s="263" t="n">
        <f aca="false">+I65</f>
        <v>2.445</v>
      </c>
      <c r="AC63" s="263" t="n">
        <f aca="false">+AB63-AA63</f>
        <v>-0.708</v>
      </c>
      <c r="AD63" s="263"/>
      <c r="AL63" s="394" t="n">
        <f aca="false">DDE("TWINDDE","RSFRecord","NGJ2 LAST")</f>
        <v>3</v>
      </c>
      <c r="AM63" s="394" t="n">
        <f aca="false">DDE("TWINDDE","RSFRecord","NGJ2 CLS")</f>
        <v>3.012</v>
      </c>
      <c r="AN63" s="30"/>
      <c r="AO63" s="395" t="n">
        <f aca="false">DDE("TWINDDE","RSFRecord","NGJ2 NET.CHNG")</f>
        <v>-0.012</v>
      </c>
    </row>
    <row r="64" customFormat="false" ht="12.75" hidden="false" customHeight="false" outlineLevel="0" collapsed="false">
      <c r="A64" s="287"/>
      <c r="B64" s="369"/>
      <c r="C64" s="369"/>
      <c r="D64" s="409" t="s">
        <v>131</v>
      </c>
      <c r="E64" s="410" t="s">
        <v>216</v>
      </c>
      <c r="F64" s="411"/>
      <c r="G64" s="412" t="s">
        <v>217</v>
      </c>
      <c r="H64" s="411"/>
      <c r="I64" s="409" t="s">
        <v>134</v>
      </c>
      <c r="J64" s="410" t="s">
        <v>216</v>
      </c>
      <c r="K64" s="411"/>
      <c r="L64" s="412" t="s">
        <v>217</v>
      </c>
      <c r="M64" s="411"/>
      <c r="N64" s="409" t="s">
        <v>136</v>
      </c>
      <c r="O64" s="410" t="s">
        <v>216</v>
      </c>
      <c r="P64" s="411"/>
      <c r="Q64" s="412" t="s">
        <v>217</v>
      </c>
      <c r="R64" s="411"/>
      <c r="T64" s="397" t="s">
        <v>218</v>
      </c>
      <c r="U64" s="394" t="n">
        <f aca="false">IF(DDE("TWINDDE","RSFRecord","NGK2 LAST")=0,AM64+W64,DDE("TWINDDE","RSFRecord","NGK2 LAST"))</f>
        <v>3.02</v>
      </c>
      <c r="V64" s="395" t="n">
        <f aca="false">DDE("TWINDDE","RSFRecord","NGK2 NET.CHNG")</f>
        <v>-0.015</v>
      </c>
      <c r="Z64" s="16" t="s">
        <v>133</v>
      </c>
      <c r="AA64" s="263" t="n">
        <v>3.229</v>
      </c>
      <c r="AB64" s="263" t="n">
        <f aca="false">+I83</f>
        <v>3.09714285714286</v>
      </c>
      <c r="AC64" s="263" t="n">
        <f aca="false">+AB64-AA64</f>
        <v>-0.131857142857143</v>
      </c>
      <c r="AD64" s="263"/>
      <c r="AL64" s="394" t="n">
        <f aca="false">DDE("TWINDDE","RSFRecord","NGK2 LAST")</f>
        <v>3.02</v>
      </c>
      <c r="AM64" s="394" t="n">
        <f aca="false">DDE("TWINDDE","RSFRecord","NGK2 CLS")</f>
        <v>3.035</v>
      </c>
      <c r="AN64" s="30"/>
      <c r="AO64" s="395" t="n">
        <f aca="false">DDE("TWINDDE","RSFRecord","NGK2 NET.CHNG")</f>
        <v>-0.015</v>
      </c>
    </row>
    <row r="65" customFormat="false" ht="12.75" hidden="false" customHeight="false" outlineLevel="0" collapsed="false">
      <c r="A65" s="287" t="s">
        <v>134</v>
      </c>
      <c r="B65" s="304" t="n">
        <f aca="false">+'EOL LINKS'!H52</f>
        <v>17.5</v>
      </c>
      <c r="C65" s="369"/>
      <c r="D65" s="413" t="n">
        <f aca="false">+I65-0.1</f>
        <v>2.345</v>
      </c>
      <c r="E65" s="414"/>
      <c r="F65" s="415"/>
      <c r="G65" s="414"/>
      <c r="H65" s="416"/>
      <c r="I65" s="413" t="n">
        <f aca="false">+U57</f>
        <v>2.445</v>
      </c>
      <c r="J65" s="414"/>
      <c r="K65" s="415"/>
      <c r="L65" s="414"/>
      <c r="M65" s="416"/>
      <c r="N65" s="413" t="n">
        <f aca="false">+U58</f>
        <v>2.735</v>
      </c>
      <c r="O65" s="414"/>
      <c r="P65" s="415"/>
      <c r="Q65" s="414"/>
      <c r="R65" s="416"/>
      <c r="T65" s="397" t="s">
        <v>219</v>
      </c>
      <c r="U65" s="394" t="n">
        <f aca="false">IF(DDE("TWINDDE","RSFRecord","NGM2 LAST")=0,AM65+W65,DDE("TWINDDE","RSFRecord","NGM2 LAST"))</f>
        <v>3.06</v>
      </c>
      <c r="V65" s="395" t="n">
        <f aca="false">DDE("TWINDDE","RSFRecord","NGM2 NET.CHNG")</f>
        <v>-0.01</v>
      </c>
      <c r="Z65" s="16" t="s">
        <v>194</v>
      </c>
      <c r="AA65" s="263" t="n">
        <v>3.319</v>
      </c>
      <c r="AB65" s="263" t="n">
        <f aca="false">+N83</f>
        <v>3.05</v>
      </c>
      <c r="AC65" s="263" t="n">
        <f aca="false">+AB65-AA65</f>
        <v>-0.269</v>
      </c>
      <c r="AD65" s="263"/>
      <c r="AL65" s="394" t="n">
        <f aca="false">DDE("TWINDDE","RSFRecord","NGM2 LAST")</f>
        <v>3.06</v>
      </c>
      <c r="AM65" s="394" t="n">
        <f aca="false">DDE("TWINDDE","RSFRecord","NGM2 CLS")</f>
        <v>3.07</v>
      </c>
      <c r="AN65" s="30"/>
      <c r="AO65" s="395" t="n">
        <f aca="false">DDE("TWINDDE","RSFRecord","NGM2 NET.CHNG")</f>
        <v>-0.01</v>
      </c>
    </row>
    <row r="66" customFormat="false" ht="12.75" hidden="false" customHeight="false" outlineLevel="0" collapsed="false">
      <c r="A66" s="287" t="s">
        <v>136</v>
      </c>
      <c r="B66" s="304" t="n">
        <f aca="false">+'EOL LINKS'!H53</f>
        <v>15.05</v>
      </c>
      <c r="C66" s="369"/>
      <c r="D66" s="382"/>
      <c r="E66" s="414"/>
      <c r="F66" s="415"/>
      <c r="G66" s="414"/>
      <c r="H66" s="416"/>
      <c r="I66" s="323"/>
      <c r="J66" s="414"/>
      <c r="K66" s="415"/>
      <c r="L66" s="414"/>
      <c r="M66" s="416"/>
      <c r="N66" s="323"/>
      <c r="O66" s="414"/>
      <c r="P66" s="415"/>
      <c r="Q66" s="414"/>
      <c r="R66" s="416"/>
      <c r="T66" s="397" t="s">
        <v>220</v>
      </c>
      <c r="U66" s="394" t="n">
        <f aca="false">IF(DDE("TWINDDE","RSFRecord","NGN2 LAST")=0,AM66+W66,DDE("TWINDDE","RSFRecord","NGN2 LAST"))</f>
        <v>3.135</v>
      </c>
      <c r="V66" s="395" t="n">
        <f aca="false">DDE("TWINDDE","RSFRecord","NGN2 NET.CHNG")</f>
        <v>0.023</v>
      </c>
      <c r="Z66" s="16" t="s">
        <v>116</v>
      </c>
      <c r="AA66" s="263" t="n">
        <v>3.63</v>
      </c>
      <c r="AC66" s="263" t="n">
        <f aca="false">+AC65+0.005</f>
        <v>-0.264</v>
      </c>
      <c r="AD66" s="263"/>
      <c r="AL66" s="394" t="n">
        <f aca="false">DDE("TWINDDE","RSFRecord","NGN2 LAST")</f>
        <v>3.135</v>
      </c>
      <c r="AM66" s="394" t="n">
        <f aca="false">DDE("TWINDDE","RSFRecord","NGN2 CLS")</f>
        <v>3.112</v>
      </c>
      <c r="AN66" s="30"/>
      <c r="AO66" s="395" t="n">
        <f aca="false">DDE("TWINDDE","RSFRecord","NGN2 NET.CHNG")</f>
        <v>0.023</v>
      </c>
    </row>
    <row r="67" customFormat="false" ht="12.75" hidden="false" customHeight="false" outlineLevel="0" collapsed="false">
      <c r="A67" s="287" t="s">
        <v>139</v>
      </c>
      <c r="B67" s="304" t="n">
        <f aca="false">+'EOL LINKS'!H54</f>
        <v>18.625</v>
      </c>
      <c r="C67" s="369"/>
      <c r="D67" s="323"/>
      <c r="E67" s="336"/>
      <c r="F67" s="417"/>
      <c r="G67" s="414"/>
      <c r="H67" s="416"/>
      <c r="I67" s="323"/>
      <c r="J67" s="336"/>
      <c r="K67" s="417"/>
      <c r="L67" s="414"/>
      <c r="M67" s="416"/>
      <c r="N67" s="323"/>
      <c r="O67" s="336"/>
      <c r="P67" s="417"/>
      <c r="Q67" s="414"/>
      <c r="R67" s="416"/>
      <c r="T67" s="397" t="s">
        <v>142</v>
      </c>
      <c r="U67" s="394" t="n">
        <f aca="false">IF(DDE("TWINDDE","RSFRecord","NGQ2 LAST")=0,AM67+W67,DDE("TWINDDE","RSFRecord","NGQ2 LAST"))</f>
        <v>3.16</v>
      </c>
      <c r="V67" s="395" t="n">
        <f aca="false">DDE("TWINDDE","RSFRecord","NGQ2 NET.CHNG")</f>
        <v>0.013</v>
      </c>
      <c r="Z67" s="16" t="s">
        <v>195</v>
      </c>
      <c r="AA67" s="263" t="n">
        <v>3.93</v>
      </c>
      <c r="AC67" s="263" t="n">
        <f aca="false">+AC66</f>
        <v>-0.264</v>
      </c>
      <c r="AD67" s="263"/>
      <c r="AL67" s="394" t="n">
        <f aca="false">DDE("TWINDDE","RSFRecord","NGQ2 LAST")</f>
        <v>3.16</v>
      </c>
      <c r="AM67" s="394" t="n">
        <f aca="false">DDE("TWINDDE","RSFRecord","NGQ2 CLS")</f>
        <v>3.147</v>
      </c>
      <c r="AN67" s="30"/>
      <c r="AO67" s="395" t="n">
        <f aca="false">DDE("TWINDDE","RSFRecord","NGQ2 NET.CHNG")</f>
        <v>0.013</v>
      </c>
    </row>
    <row r="68" customFormat="false" ht="12.75" hidden="false" customHeight="false" outlineLevel="0" collapsed="false">
      <c r="A68" s="287" t="s">
        <v>221</v>
      </c>
      <c r="B68" s="335" t="n">
        <f aca="false">((B65*Total!AI50)+(B66*Total!AI51)+(B67*Total!AI52))/SUM(Total!AI50:AI52)</f>
        <v>17.108277027027</v>
      </c>
      <c r="C68" s="335" t="n">
        <f aca="false">+'EOL LINKS'!H55</f>
        <v>16.875</v>
      </c>
      <c r="D68" s="323"/>
      <c r="E68" s="414"/>
      <c r="F68" s="415"/>
      <c r="G68" s="414"/>
      <c r="H68" s="416"/>
      <c r="I68" s="323"/>
      <c r="J68" s="414"/>
      <c r="K68" s="415"/>
      <c r="L68" s="414"/>
      <c r="M68" s="416"/>
      <c r="N68" s="323"/>
      <c r="O68" s="414"/>
      <c r="P68" s="415"/>
      <c r="Q68" s="414"/>
      <c r="R68" s="416"/>
      <c r="T68" s="397" t="s">
        <v>222</v>
      </c>
      <c r="U68" s="394" t="n">
        <f aca="false">IF(DDE("TWINDDE","RSFRecord","NGU2 LAST")=0,AM68+W68,DDE("TWINDDE","RSFRecord","NGU2 LAST"))</f>
        <v>3.15</v>
      </c>
      <c r="V68" s="395" t="n">
        <f aca="false">DDE("TWINDDE","RSFRecord","NGU2 NET.CHNG")</f>
        <v>0.004</v>
      </c>
      <c r="Z68" s="16" t="s">
        <v>212</v>
      </c>
      <c r="AA68" s="263" t="n">
        <v>4.04</v>
      </c>
      <c r="AC68" s="263" t="n">
        <f aca="false">+AC67</f>
        <v>-0.264</v>
      </c>
      <c r="AD68" s="418"/>
      <c r="AL68" s="394" t="n">
        <f aca="false">DDE("TWINDDE","RSFRecord","NGU2 LAST")</f>
        <v>3.15</v>
      </c>
      <c r="AM68" s="394" t="n">
        <f aca="false">DDE("TWINDDE","RSFRecord","NGU2 CLS")</f>
        <v>3.146</v>
      </c>
      <c r="AN68" s="30"/>
      <c r="AO68" s="395" t="n">
        <f aca="false">DDE("TWINDDE","RSFRecord","NGU2 NET.CHNG")</f>
        <v>0.004</v>
      </c>
    </row>
    <row r="69" customFormat="false" ht="12.75" hidden="true" customHeight="false" outlineLevel="0" collapsed="false">
      <c r="A69" s="287"/>
      <c r="B69" s="419"/>
      <c r="C69" s="323"/>
      <c r="D69" s="304"/>
      <c r="E69" s="414"/>
      <c r="F69" s="415"/>
      <c r="G69" s="414"/>
      <c r="H69" s="416"/>
      <c r="I69" s="323"/>
      <c r="J69" s="414"/>
      <c r="K69" s="415"/>
      <c r="L69" s="414"/>
      <c r="M69" s="416"/>
      <c r="N69" s="323"/>
      <c r="O69" s="414"/>
      <c r="P69" s="415"/>
      <c r="Q69" s="414"/>
      <c r="R69" s="416"/>
      <c r="T69" s="397" t="s">
        <v>223</v>
      </c>
      <c r="U69" s="394" t="n">
        <f aca="false">IF(DDE("TWINDDE","RSFRecord","NGV2 LAST")=0,AM69+W69,DDE("TWINDDE","RSFRecord","NGV2 LAST"))</f>
        <v>3.155</v>
      </c>
      <c r="V69" s="395" t="n">
        <f aca="false">DDE("TWINDDE","RSFRecord","NGV2 NET.CHNG")</f>
        <v>-0.002</v>
      </c>
      <c r="Z69" s="16" t="s">
        <v>213</v>
      </c>
      <c r="AA69" s="263" t="n">
        <v>3.945</v>
      </c>
      <c r="AC69" s="263" t="n">
        <f aca="false">+AC68</f>
        <v>-0.264</v>
      </c>
      <c r="AD69" s="263"/>
      <c r="AL69" s="394" t="n">
        <f aca="false">DDE("TWINDDE","RSFRecord","NGV2 LAST")</f>
        <v>3.155</v>
      </c>
      <c r="AM69" s="394" t="n">
        <f aca="false">DDE("TWINDDE","RSFRecord","NGV2 CLS")</f>
        <v>3.157</v>
      </c>
      <c r="AN69" s="30"/>
      <c r="AO69" s="395" t="n">
        <f aca="false">DDE("TWINDDE","RSFRecord","NGV2 NET.CHNG")</f>
        <v>-0.002</v>
      </c>
    </row>
    <row r="70" customFormat="false" ht="12.75" hidden="true" customHeight="false" outlineLevel="0" collapsed="false">
      <c r="A70" s="261" t="s">
        <v>224</v>
      </c>
      <c r="B70" s="16" t="n">
        <f aca="false">+'EOL LINKS'!J22</f>
        <v>3.38836477987421</v>
      </c>
      <c r="D70" s="304"/>
      <c r="E70" s="414"/>
      <c r="F70" s="415"/>
      <c r="G70" s="414"/>
      <c r="H70" s="416"/>
      <c r="I70" s="323"/>
      <c r="J70" s="414"/>
      <c r="K70" s="415"/>
      <c r="L70" s="414"/>
      <c r="M70" s="416"/>
      <c r="N70" s="323"/>
      <c r="O70" s="414"/>
      <c r="P70" s="415"/>
      <c r="Q70" s="414"/>
      <c r="R70" s="416"/>
      <c r="T70" s="397" t="s">
        <v>225</v>
      </c>
      <c r="U70" s="394" t="n">
        <f aca="false">IF(DDE("TWINDDE","RSFRecord","NGX2 LAST")=0,AM70+W70,DDE("TWINDDE","RSFRecord","NGX2 LAST"))</f>
        <v>3.317</v>
      </c>
      <c r="V70" s="395" t="n">
        <f aca="false">DDE("TWINDDE","RSFRecord","NGX2 NET.CHNG")</f>
        <v>0.019</v>
      </c>
      <c r="Z70" s="16" t="s">
        <v>214</v>
      </c>
      <c r="AA70" s="263" t="n">
        <v>3.79</v>
      </c>
      <c r="AC70" s="263" t="n">
        <f aca="false">+AC69</f>
        <v>-0.264</v>
      </c>
      <c r="AD70" s="263" t="n">
        <f aca="false">AVERAGE(AA66:AA70)+AVERAGE(AC66:AC70)</f>
        <v>3.603</v>
      </c>
      <c r="AL70" s="394" t="n">
        <f aca="false">DDE("TWINDDE","RSFRecord","NGX2 LAST")</f>
        <v>0</v>
      </c>
      <c r="AM70" s="394" t="n">
        <f aca="false">DDE("TWINDDE","RSFRecord","NGX2 CLS")</f>
        <v>3.317</v>
      </c>
      <c r="AN70" s="30"/>
      <c r="AO70" s="395" t="n">
        <f aca="false">DDE("TWINDDE","RSFRecord","NGX2 NET.CHNG")</f>
        <v>0.019</v>
      </c>
    </row>
    <row r="71" customFormat="false" ht="12.75" hidden="true" customHeight="false" outlineLevel="0" collapsed="false">
      <c r="A71" s="261" t="s">
        <v>226</v>
      </c>
      <c r="B71" s="16" t="n">
        <f aca="false">+'EOL LINKS'!J23</f>
        <v>7.97955974842767</v>
      </c>
      <c r="D71" s="304"/>
      <c r="E71" s="414"/>
      <c r="F71" s="415"/>
      <c r="G71" s="414"/>
      <c r="H71" s="416"/>
      <c r="I71" s="323"/>
      <c r="J71" s="414"/>
      <c r="K71" s="415"/>
      <c r="L71" s="414"/>
      <c r="M71" s="416"/>
      <c r="N71" s="323"/>
      <c r="O71" s="414"/>
      <c r="P71" s="415"/>
      <c r="Q71" s="414"/>
      <c r="R71" s="416"/>
      <c r="T71" s="397" t="s">
        <v>227</v>
      </c>
      <c r="U71" s="394" t="n">
        <f aca="false">IF(DDE("TWINDDE","RSFRecord","NGZ2 LAST")=0,AM71+W71,DDE("TWINDDE","RSFRecord","NGZ2 LAST"))</f>
        <v>3.478</v>
      </c>
      <c r="V71" s="395" t="n">
        <f aca="false">DDE("TWINDDE","RSFRecord","NGZ2 NET.CHNG")</f>
        <v>0.01</v>
      </c>
      <c r="Z71" s="16" t="s">
        <v>215</v>
      </c>
      <c r="AA71" s="263" t="n">
        <v>3.56</v>
      </c>
      <c r="AD71" s="263"/>
      <c r="AL71" s="394" t="n">
        <f aca="false">DDE("TWINDDE","RSFRecord","NGZ2 LAST")</f>
        <v>0</v>
      </c>
      <c r="AM71" s="394" t="n">
        <f aca="false">DDE("TWINDDE","RSFRecord","NGZ2 CLS")</f>
        <v>3.478</v>
      </c>
      <c r="AN71" s="30"/>
      <c r="AO71" s="395" t="n">
        <f aca="false">DDE("TWINDDE","RSFRecord","NGZ2 NET.CHNG")</f>
        <v>0.01</v>
      </c>
    </row>
    <row r="72" customFormat="false" ht="12.75" hidden="true" customHeight="false" outlineLevel="0" collapsed="false">
      <c r="A72" s="261" t="s">
        <v>228</v>
      </c>
      <c r="B72" s="16" t="n">
        <f aca="false">+'EOL LINKS'!J24</f>
        <v>3.37657232704403</v>
      </c>
      <c r="D72" s="16"/>
      <c r="E72" s="414"/>
      <c r="F72" s="415"/>
      <c r="G72" s="414"/>
      <c r="H72" s="416"/>
      <c r="J72" s="414"/>
      <c r="K72" s="415"/>
      <c r="L72" s="414"/>
      <c r="M72" s="416"/>
      <c r="O72" s="414"/>
      <c r="P72" s="415"/>
      <c r="Q72" s="414"/>
      <c r="R72" s="416"/>
      <c r="T72" s="397" t="s">
        <v>229</v>
      </c>
      <c r="U72" s="394" t="n">
        <f aca="false">AVERAGE(U50:U57)</f>
        <v>1.2225</v>
      </c>
      <c r="V72" s="420"/>
      <c r="Z72" s="16" t="s">
        <v>218</v>
      </c>
      <c r="AA72" s="263" t="n">
        <v>3.56</v>
      </c>
      <c r="AD72" s="263"/>
      <c r="AL72" s="394"/>
      <c r="AM72" s="394"/>
      <c r="AN72" s="30"/>
      <c r="AO72" s="395"/>
    </row>
    <row r="73" customFormat="false" ht="12.75" hidden="true" customHeight="false" outlineLevel="0" collapsed="false">
      <c r="A73" s="261" t="s">
        <v>230</v>
      </c>
      <c r="B73" s="16" t="n">
        <f aca="false">+'EOL LINKS'!J25</f>
        <v>2.77692307692308</v>
      </c>
      <c r="E73" s="414"/>
      <c r="F73" s="415"/>
      <c r="G73" s="414"/>
      <c r="H73" s="416"/>
      <c r="J73" s="414"/>
      <c r="K73" s="415"/>
      <c r="L73" s="414"/>
      <c r="M73" s="416"/>
      <c r="O73" s="414"/>
      <c r="P73" s="415"/>
      <c r="Q73" s="414"/>
      <c r="R73" s="416"/>
      <c r="T73" s="397" t="s">
        <v>231</v>
      </c>
      <c r="U73" s="421" t="n">
        <f aca="false">AVERAGE(U58:U62)</f>
        <v>3.053</v>
      </c>
      <c r="Z73" s="16" t="s">
        <v>219</v>
      </c>
      <c r="AA73" s="263" t="n">
        <v>3.61</v>
      </c>
      <c r="AD73" s="263"/>
      <c r="AL73" s="394"/>
      <c r="AM73" s="394"/>
      <c r="AN73" s="30"/>
      <c r="AO73" s="395"/>
    </row>
    <row r="74" customFormat="false" ht="12.75" hidden="true" customHeight="false" outlineLevel="0" collapsed="false">
      <c r="E74" s="414"/>
      <c r="F74" s="415"/>
      <c r="G74" s="414"/>
      <c r="H74" s="416"/>
      <c r="J74" s="414"/>
      <c r="K74" s="415"/>
      <c r="L74" s="414"/>
      <c r="M74" s="416"/>
      <c r="O74" s="414"/>
      <c r="P74" s="415"/>
      <c r="Q74" s="414"/>
      <c r="R74" s="416"/>
      <c r="T74" s="397" t="s">
        <v>232</v>
      </c>
      <c r="U74" s="394" t="n">
        <f aca="false">IF(DDE("TWINDDE","RSFRecord","NGF3 LAST")=0,AM74+W74,DDE("TWINDDE","RSFRecord","NGF3 LAST"))</f>
        <v>0</v>
      </c>
      <c r="V74" s="395" t="n">
        <f aca="false">DDE("TWINDDE","RSFRecord","NGH2 NET.CHNG")</f>
        <v>0</v>
      </c>
      <c r="Z74" s="16" t="s">
        <v>220</v>
      </c>
      <c r="AA74" s="263" t="n">
        <v>3.66</v>
      </c>
      <c r="AD74" s="263"/>
      <c r="AL74" s="394"/>
      <c r="AM74" s="394"/>
      <c r="AN74" s="30"/>
      <c r="AO74" s="395"/>
    </row>
    <row r="75" customFormat="false" ht="12.75" hidden="true" customHeight="false" outlineLevel="0" collapsed="false">
      <c r="E75" s="414"/>
      <c r="F75" s="415"/>
      <c r="G75" s="414"/>
      <c r="H75" s="416"/>
      <c r="J75" s="414"/>
      <c r="K75" s="415"/>
      <c r="L75" s="414"/>
      <c r="M75" s="416"/>
      <c r="O75" s="414"/>
      <c r="P75" s="415"/>
      <c r="Q75" s="414"/>
      <c r="R75" s="416"/>
      <c r="T75" s="397" t="s">
        <v>233</v>
      </c>
      <c r="U75" s="394" t="e">
        <f aca="false">IF(DDE("TWINDDE","RSFRecord","NGG3 LAST")=0,AM75+W75,DDE("TWINDDE","RSFRecord","NGG3 LAST"))</f>
        <v>#DIV/0!</v>
      </c>
      <c r="V75" s="395" t="n">
        <f aca="false">DDE("TWINDDE","RSFRecord","NGH2 NET.CHNG")</f>
        <v>0</v>
      </c>
      <c r="Z75" s="16" t="s">
        <v>142</v>
      </c>
      <c r="AA75" s="263" t="n">
        <v>3.693</v>
      </c>
      <c r="AD75" s="263"/>
      <c r="AL75" s="394" t="e">
        <f aca="false">AVERAGE(AL48:AL49)</f>
        <v>#DIV/0!</v>
      </c>
      <c r="AM75" s="394" t="e">
        <f aca="false">AVERAGE(AM48:AM49)</f>
        <v>#DIV/0!</v>
      </c>
      <c r="AO75" s="420"/>
    </row>
    <row r="76" customFormat="false" ht="12.75" hidden="false" customHeight="false" outlineLevel="0" collapsed="false">
      <c r="D76" s="341" t="s">
        <v>10</v>
      </c>
      <c r="E76" s="414"/>
      <c r="F76" s="415"/>
      <c r="G76" s="414"/>
      <c r="H76" s="416"/>
      <c r="I76" s="341" t="s">
        <v>10</v>
      </c>
      <c r="J76" s="414"/>
      <c r="K76" s="415"/>
      <c r="L76" s="414"/>
      <c r="M76" s="416"/>
      <c r="N76" s="341" t="s">
        <v>10</v>
      </c>
      <c r="O76" s="414"/>
      <c r="P76" s="415"/>
      <c r="Q76" s="414"/>
      <c r="R76" s="416"/>
      <c r="T76" s="397" t="s">
        <v>234</v>
      </c>
      <c r="U76" s="394" t="n">
        <f aca="false">IF(DDE("TWINDDE","RSFRecord","NGH3 LAST")=0,AM76+W76,DDE("TWINDDE","RSFRecord","NGH3 LAST"))</f>
        <v>2.44</v>
      </c>
      <c r="V76" s="395" t="n">
        <f aca="false">DDE("TWINDDE","RSFRecord","NGH2 NET.CHNG")</f>
        <v>0</v>
      </c>
      <c r="Z76" s="16" t="s">
        <v>222</v>
      </c>
      <c r="AA76" s="263" t="n">
        <v>3.715</v>
      </c>
      <c r="AD76" s="263"/>
      <c r="AL76" s="394" t="n">
        <f aca="false">AVERAGE(AL50:AL57)</f>
        <v>2.445</v>
      </c>
      <c r="AM76" s="394" t="n">
        <f aca="false">AVERAGE(AM50:AM57)</f>
        <v>2.44</v>
      </c>
      <c r="AO76" s="420"/>
    </row>
    <row r="77" customFormat="false" ht="12.75" hidden="false" customHeight="false" outlineLevel="0" collapsed="false">
      <c r="D77" s="422" t="n">
        <f aca="false">+E77+G77</f>
        <v>2E-012</v>
      </c>
      <c r="E77" s="423" t="n">
        <f aca="false">SUM(E65:E76)*30+0.000000000001</f>
        <v>1E-012</v>
      </c>
      <c r="F77" s="424" t="n">
        <f aca="false">+E191</f>
        <v>0</v>
      </c>
      <c r="G77" s="423" t="n">
        <f aca="false">SUM(G65:G76)*30+0.000000000001</f>
        <v>1E-012</v>
      </c>
      <c r="H77" s="425" t="n">
        <f aca="false">+G191</f>
        <v>0</v>
      </c>
      <c r="I77" s="422" t="n">
        <f aca="false">+J77+L77</f>
        <v>2E-012</v>
      </c>
      <c r="J77" s="423" t="n">
        <f aca="false">SUM(J65:J76)*31+0.000000000001</f>
        <v>1E-012</v>
      </c>
      <c r="K77" s="424" t="n">
        <f aca="false">+J191</f>
        <v>0</v>
      </c>
      <c r="L77" s="423" t="n">
        <f aca="false">SUM(L65:L76)*31+0.000000000001</f>
        <v>1E-012</v>
      </c>
      <c r="M77" s="425" t="n">
        <f aca="false">+L191</f>
        <v>0</v>
      </c>
      <c r="N77" s="422" t="n">
        <f aca="false">+O77+Q77</f>
        <v>2E-012</v>
      </c>
      <c r="O77" s="423" t="n">
        <f aca="false">SUM(O65:O76)*30+0.000000000001</f>
        <v>1E-012</v>
      </c>
      <c r="P77" s="424" t="n">
        <f aca="false">+O191</f>
        <v>0</v>
      </c>
      <c r="Q77" s="423" t="n">
        <f aca="false">SUM(Q65:Q76)*30+0.000000000001</f>
        <v>1E-012</v>
      </c>
      <c r="R77" s="425" t="n">
        <f aca="false">+Q191</f>
        <v>0</v>
      </c>
      <c r="T77" s="397" t="s">
        <v>235</v>
      </c>
      <c r="U77" s="394" t="n">
        <f aca="false">IF(DDE("TWINDDE","RSFRecord","NGJ3 LAST")=0,AM77+W77,DDE("TWINDDE","RSFRecord","NGJ3 LAST"))</f>
        <v>0</v>
      </c>
      <c r="V77" s="395" t="n">
        <f aca="false">DDE("TWINDDE","RSFRecord","NGH2 NET.CHNG")</f>
        <v>0</v>
      </c>
      <c r="Z77" s="16" t="s">
        <v>223</v>
      </c>
      <c r="AA77" s="263" t="n">
        <v>3.755</v>
      </c>
      <c r="AD77" s="263"/>
    </row>
    <row r="78" customFormat="false" ht="12.75" hidden="false" customHeight="false" outlineLevel="0" collapsed="false">
      <c r="D78" s="426" t="n">
        <f aca="false">SUM(E78:H78)</f>
        <v>4.69E-012</v>
      </c>
      <c r="E78" s="382" t="n">
        <f aca="false">(D65-F77)*E77</f>
        <v>2.345E-012</v>
      </c>
      <c r="F78" s="323"/>
      <c r="G78" s="304" t="n">
        <f aca="false">(D65-H77)*G77</f>
        <v>2.345E-012</v>
      </c>
      <c r="H78" s="323"/>
      <c r="I78" s="426" t="n">
        <f aca="false">SUM(J78:M78)</f>
        <v>4.89E-012</v>
      </c>
      <c r="J78" s="382" t="n">
        <f aca="false">(I65-K77)*J77</f>
        <v>2.445E-012</v>
      </c>
      <c r="K78" s="323"/>
      <c r="L78" s="304" t="n">
        <f aca="false">(I65-M77)*L77</f>
        <v>2.445E-012</v>
      </c>
      <c r="M78" s="323"/>
      <c r="N78" s="426" t="n">
        <f aca="false">SUM(O78:R78)</f>
        <v>5.47E-012</v>
      </c>
      <c r="O78" s="382" t="n">
        <f aca="false">(N65-P77)*O77</f>
        <v>2.735E-012</v>
      </c>
      <c r="P78" s="323"/>
      <c r="Q78" s="304" t="n">
        <f aca="false">(N65-R77)*Q77</f>
        <v>2.735E-012</v>
      </c>
      <c r="R78" s="323"/>
      <c r="T78" s="397" t="s">
        <v>236</v>
      </c>
      <c r="U78" s="394" t="n">
        <f aca="false">IF(DDE("TWINDDE","RSFRecord","NGK3 LAST")=0,AM78+W78,DDE("TWINDDE","RSFRecord","NGK3 LAST"))</f>
        <v>0</v>
      </c>
      <c r="V78" s="395" t="n">
        <f aca="false">DDE("TWINDDE","RSFRecord","NGH2 NET.CHNG")</f>
        <v>0</v>
      </c>
      <c r="Z78" s="16" t="s">
        <v>225</v>
      </c>
      <c r="AA78" s="263" t="n">
        <v>3.919</v>
      </c>
      <c r="AD78" s="263"/>
    </row>
    <row r="79" customFormat="false" ht="12.75" hidden="false" customHeight="false" outlineLevel="0" collapsed="false">
      <c r="D79" s="315"/>
      <c r="E79" s="304"/>
      <c r="F79" s="427"/>
      <c r="G79" s="304"/>
      <c r="H79" s="427"/>
      <c r="I79" s="315"/>
      <c r="J79" s="304"/>
      <c r="K79" s="427"/>
      <c r="L79" s="304"/>
      <c r="M79" s="427"/>
      <c r="N79" s="315"/>
      <c r="O79" s="304"/>
      <c r="P79" s="427"/>
      <c r="Q79" s="304"/>
      <c r="R79" s="427"/>
      <c r="T79" s="397" t="s">
        <v>237</v>
      </c>
      <c r="U79" s="394" t="n">
        <f aca="false">IF(DDE("TWINDDE","RSFRecord","NGM3 LAST")=0,AM79+W79,DDE("TWINDDE","RSFRecord","NGM3 LAST"))</f>
        <v>0</v>
      </c>
      <c r="V79" s="395" t="n">
        <f aca="false">DDE("TWINDDE","RSFRecord","NGH2 NET.CHNG")</f>
        <v>0</v>
      </c>
      <c r="Z79" s="16" t="s">
        <v>227</v>
      </c>
      <c r="AA79" s="263" t="n">
        <v>4.088</v>
      </c>
      <c r="AD79" s="263"/>
    </row>
    <row r="80" customFormat="false" ht="12.75" hidden="false" customHeight="false" outlineLevel="0" collapsed="false">
      <c r="D80" s="315"/>
      <c r="E80" s="304"/>
      <c r="F80" s="427"/>
      <c r="G80" s="304"/>
      <c r="H80" s="427"/>
      <c r="I80" s="315"/>
      <c r="J80" s="304"/>
      <c r="K80" s="427"/>
      <c r="L80" s="304"/>
      <c r="M80" s="427"/>
      <c r="N80" s="315"/>
      <c r="O80" s="304"/>
      <c r="P80" s="427"/>
      <c r="Q80" s="304"/>
      <c r="R80" s="427"/>
      <c r="T80" s="397" t="s">
        <v>238</v>
      </c>
      <c r="U80" s="394" t="n">
        <f aca="false">IF(DDE("TWINDDE","RSFRecord","NGN3 LAST")=0,AM80+W80,DDE("TWINDDE","RSFRecord","NGN3 LAST"))</f>
        <v>0</v>
      </c>
      <c r="V80" s="395" t="n">
        <f aca="false">DDE("TWINDDE","RSFRecord","NGH2 NET.CHNG")</f>
        <v>0</v>
      </c>
      <c r="AA80" s="263"/>
      <c r="AD80" s="263"/>
    </row>
    <row r="81" customFormat="false" ht="12.75" hidden="false" customHeight="false" outlineLevel="0" collapsed="false">
      <c r="E81" s="287"/>
      <c r="F81" s="287"/>
      <c r="G81" s="287"/>
      <c r="H81" s="287"/>
      <c r="J81" s="287"/>
      <c r="K81" s="287"/>
      <c r="L81" s="287"/>
      <c r="M81" s="287"/>
      <c r="O81" s="287"/>
      <c r="P81" s="287"/>
      <c r="Q81" s="287"/>
      <c r="R81" s="287"/>
      <c r="T81" s="397" t="s">
        <v>143</v>
      </c>
      <c r="U81" s="394" t="n">
        <f aca="false">IF(DDE("TWINDDE","RSFRecord","NGQ3 LAST")=0,AM81+W81,DDE("TWINDDE","RSFRecord","NGQ3 LAST"))</f>
        <v>0</v>
      </c>
      <c r="V81" s="395" t="n">
        <f aca="false">DDE("TWINDDE","RSFRecord","NGH2 NET.CHNG")</f>
        <v>0</v>
      </c>
      <c r="AA81" s="263"/>
      <c r="AD81" s="263"/>
    </row>
    <row r="82" customFormat="false" ht="12.75" hidden="false" customHeight="false" outlineLevel="0" collapsed="false">
      <c r="D82" s="398" t="s">
        <v>209</v>
      </c>
      <c r="E82" s="410"/>
      <c r="F82" s="411"/>
      <c r="G82" s="412"/>
      <c r="H82" s="411"/>
      <c r="I82" s="409" t="s">
        <v>210</v>
      </c>
      <c r="J82" s="410" t="s">
        <v>216</v>
      </c>
      <c r="K82" s="411"/>
      <c r="L82" s="412" t="s">
        <v>217</v>
      </c>
      <c r="M82" s="411"/>
      <c r="N82" s="409" t="s">
        <v>139</v>
      </c>
      <c r="O82" s="410" t="s">
        <v>216</v>
      </c>
      <c r="P82" s="411"/>
      <c r="Q82" s="412" t="s">
        <v>217</v>
      </c>
      <c r="R82" s="411"/>
      <c r="T82" s="397" t="s">
        <v>239</v>
      </c>
      <c r="U82" s="394" t="n">
        <f aca="false">IF(DDE("TWINDDE","RSFRecord","NGU3 LAST")=0,AM82+W82,DDE("TWINDDE","RSFRecord","NGU3 LAST"))</f>
        <v>0</v>
      </c>
      <c r="V82" s="395" t="n">
        <f aca="false">DDE("TWINDDE","RSFRecord","NGH2 NET.CHNG")</f>
        <v>0</v>
      </c>
    </row>
    <row r="83" customFormat="false" ht="12.75" hidden="false" customHeight="false" outlineLevel="0" collapsed="false">
      <c r="D83" s="413" t="n">
        <f aca="false">+U73</f>
        <v>3.053</v>
      </c>
      <c r="E83" s="414"/>
      <c r="F83" s="415"/>
      <c r="G83" s="414"/>
      <c r="H83" s="416"/>
      <c r="I83" s="413" t="n">
        <f aca="false">AVERAGE(U63:U69)</f>
        <v>3.09714285714286</v>
      </c>
      <c r="J83" s="414"/>
      <c r="K83" s="415"/>
      <c r="L83" s="414" t="n">
        <v>-1</v>
      </c>
      <c r="M83" s="416" t="n">
        <v>3.07</v>
      </c>
      <c r="N83" s="413" t="n">
        <f aca="false">+U59</f>
        <v>3.05</v>
      </c>
      <c r="O83" s="414"/>
      <c r="P83" s="415"/>
      <c r="Q83" s="414"/>
      <c r="R83" s="416"/>
      <c r="T83" s="397" t="s">
        <v>240</v>
      </c>
      <c r="U83" s="394" t="n">
        <f aca="false">IF(DDE("TWINDDE","RSFRecord","NGV3 LAST")=0,AM83+W83,DDE("TWINDDE","RSFRecord","NGV3 LAST"))</f>
        <v>0</v>
      </c>
      <c r="V83" s="395" t="n">
        <f aca="false">DDE("TWINDDE","RSFRecord","NGH2 NET.CHNG")</f>
        <v>0</v>
      </c>
    </row>
    <row r="84" customFormat="false" ht="12.75" hidden="false" customHeight="false" outlineLevel="0" collapsed="false">
      <c r="D84" s="323"/>
      <c r="E84" s="414"/>
      <c r="F84" s="415"/>
      <c r="G84" s="414"/>
      <c r="H84" s="416"/>
      <c r="I84" s="323"/>
      <c r="J84" s="414"/>
      <c r="K84" s="415"/>
      <c r="L84" s="414" t="n">
        <v>-0.5</v>
      </c>
      <c r="M84" s="416" t="n">
        <v>3.12</v>
      </c>
      <c r="N84" s="323"/>
      <c r="O84" s="414"/>
      <c r="P84" s="415"/>
      <c r="Q84" s="414"/>
      <c r="R84" s="416"/>
      <c r="T84" s="397" t="s">
        <v>241</v>
      </c>
      <c r="U84" s="394" t="n">
        <f aca="false">IF(DDE("TWINDDE","RSFRecord","NGX3 LAST")=0,AM84+W84,DDE("TWINDDE","RSFRecord","NGX3 LAST"))</f>
        <v>0</v>
      </c>
      <c r="V84" s="395" t="n">
        <f aca="false">DDE("TWINDDE","RSFRecord","NGH2 NET.CHNG")</f>
        <v>0</v>
      </c>
    </row>
    <row r="85" customFormat="false" ht="12.75" hidden="false" customHeight="false" outlineLevel="0" collapsed="false">
      <c r="D85" s="323"/>
      <c r="E85" s="336"/>
      <c r="F85" s="417"/>
      <c r="G85" s="414"/>
      <c r="H85" s="416"/>
      <c r="I85" s="323"/>
      <c r="J85" s="336"/>
      <c r="K85" s="417"/>
      <c r="L85" s="414"/>
      <c r="M85" s="416"/>
      <c r="N85" s="323"/>
      <c r="O85" s="336"/>
      <c r="P85" s="417"/>
      <c r="Q85" s="414"/>
      <c r="R85" s="416"/>
      <c r="T85" s="397" t="s">
        <v>242</v>
      </c>
      <c r="U85" s="394" t="n">
        <f aca="false">IF(DDE("TWINDDE","RSFRecord","NGZ3 LAST")=0,AM85+W85,DDE("TWINDDE","RSFRecord","NGZ3 LAST"))</f>
        <v>0</v>
      </c>
      <c r="V85" s="395" t="n">
        <f aca="false">DDE("TWINDDE","RSFRecord","NGH2 NET.CHNG")</f>
        <v>0</v>
      </c>
    </row>
    <row r="86" customFormat="false" ht="12.75" hidden="true" customHeight="false" outlineLevel="0" collapsed="false">
      <c r="D86" s="323"/>
      <c r="E86" s="414"/>
      <c r="F86" s="415"/>
      <c r="G86" s="414"/>
      <c r="H86" s="416"/>
      <c r="I86" s="323"/>
      <c r="J86" s="414"/>
      <c r="K86" s="415"/>
      <c r="L86" s="414"/>
      <c r="M86" s="416"/>
      <c r="N86" s="323"/>
      <c r="O86" s="414"/>
      <c r="P86" s="415"/>
      <c r="Q86" s="414"/>
      <c r="R86" s="416"/>
      <c r="T86" s="397"/>
      <c r="U86" s="394"/>
      <c r="V86" s="395"/>
    </row>
    <row r="87" customFormat="false" ht="12.75" hidden="false" customHeight="false" outlineLevel="0" collapsed="false">
      <c r="D87" s="323"/>
      <c r="E87" s="414"/>
      <c r="F87" s="415"/>
      <c r="G87" s="414"/>
      <c r="H87" s="416"/>
      <c r="I87" s="323"/>
      <c r="J87" s="414"/>
      <c r="K87" s="415"/>
      <c r="L87" s="414"/>
      <c r="M87" s="416"/>
      <c r="N87" s="323"/>
      <c r="O87" s="414"/>
      <c r="P87" s="415"/>
      <c r="Q87" s="414"/>
      <c r="R87" s="416"/>
      <c r="T87" s="397"/>
      <c r="U87" s="394"/>
      <c r="V87" s="395"/>
    </row>
    <row r="88" customFormat="false" ht="12.75" hidden="true" customHeight="false" outlineLevel="0" collapsed="false">
      <c r="D88" s="323"/>
      <c r="E88" s="414"/>
      <c r="F88" s="415"/>
      <c r="G88" s="414"/>
      <c r="H88" s="416"/>
      <c r="I88" s="323"/>
      <c r="J88" s="414"/>
      <c r="K88" s="415"/>
      <c r="L88" s="414"/>
      <c r="M88" s="416"/>
      <c r="N88" s="323"/>
      <c r="O88" s="414"/>
      <c r="P88" s="415"/>
      <c r="Q88" s="414"/>
      <c r="R88" s="416"/>
    </row>
    <row r="89" customFormat="false" ht="12.75" hidden="true" customHeight="false" outlineLevel="0" collapsed="false">
      <c r="D89" s="323"/>
      <c r="E89" s="414"/>
      <c r="F89" s="415"/>
      <c r="G89" s="414"/>
      <c r="H89" s="416"/>
      <c r="I89" s="323"/>
      <c r="J89" s="414"/>
      <c r="K89" s="415"/>
      <c r="L89" s="414"/>
      <c r="M89" s="416"/>
      <c r="N89" s="323"/>
      <c r="O89" s="414"/>
      <c r="P89" s="415"/>
      <c r="Q89" s="414"/>
      <c r="R89" s="416"/>
    </row>
    <row r="90" customFormat="false" ht="12.75" hidden="true" customHeight="false" outlineLevel="0" collapsed="false">
      <c r="E90" s="414"/>
      <c r="F90" s="415"/>
      <c r="G90" s="414"/>
      <c r="H90" s="416"/>
      <c r="J90" s="414"/>
      <c r="K90" s="415"/>
      <c r="L90" s="414"/>
      <c r="M90" s="416"/>
      <c r="O90" s="414"/>
      <c r="P90" s="415"/>
      <c r="Q90" s="414"/>
      <c r="R90" s="416"/>
    </row>
    <row r="91" customFormat="false" ht="12.75" hidden="true" customHeight="false" outlineLevel="0" collapsed="false">
      <c r="E91" s="414"/>
      <c r="F91" s="415"/>
      <c r="G91" s="414"/>
      <c r="H91" s="416"/>
      <c r="J91" s="414"/>
      <c r="K91" s="415"/>
      <c r="L91" s="414"/>
      <c r="M91" s="416"/>
      <c r="O91" s="414"/>
      <c r="P91" s="415"/>
      <c r="Q91" s="414"/>
      <c r="R91" s="416"/>
    </row>
    <row r="92" customFormat="false" ht="12.75" hidden="true" customHeight="false" outlineLevel="0" collapsed="false">
      <c r="E92" s="414"/>
      <c r="F92" s="415"/>
      <c r="G92" s="414"/>
      <c r="H92" s="416"/>
      <c r="J92" s="414"/>
      <c r="K92" s="415"/>
      <c r="L92" s="414"/>
      <c r="M92" s="416"/>
      <c r="O92" s="414"/>
      <c r="P92" s="415"/>
      <c r="Q92" s="414"/>
      <c r="R92" s="416"/>
    </row>
    <row r="93" customFormat="false" ht="12.75" hidden="true" customHeight="false" outlineLevel="0" collapsed="false">
      <c r="E93" s="414"/>
      <c r="F93" s="415"/>
      <c r="G93" s="414"/>
      <c r="H93" s="416"/>
      <c r="J93" s="414"/>
      <c r="K93" s="415"/>
      <c r="L93" s="414"/>
      <c r="M93" s="416"/>
      <c r="O93" s="414"/>
      <c r="P93" s="415"/>
      <c r="Q93" s="414"/>
      <c r="R93" s="416"/>
    </row>
    <row r="94" customFormat="false" ht="12.75" hidden="false" customHeight="false" outlineLevel="0" collapsed="false">
      <c r="D94" s="341" t="s">
        <v>10</v>
      </c>
      <c r="E94" s="414"/>
      <c r="F94" s="415"/>
      <c r="G94" s="414"/>
      <c r="H94" s="416"/>
      <c r="I94" s="341" t="s">
        <v>10</v>
      </c>
      <c r="J94" s="414"/>
      <c r="K94" s="415"/>
      <c r="L94" s="414"/>
      <c r="M94" s="416"/>
      <c r="N94" s="341" t="s">
        <v>10</v>
      </c>
      <c r="O94" s="414"/>
      <c r="P94" s="415"/>
      <c r="Q94" s="414"/>
      <c r="R94" s="416"/>
    </row>
    <row r="95" customFormat="false" ht="12.75" hidden="false" customHeight="false" outlineLevel="0" collapsed="false">
      <c r="D95" s="422" t="n">
        <f aca="false">+E95+G95</f>
        <v>2E-012</v>
      </c>
      <c r="E95" s="423" t="n">
        <f aca="false">SUM(E83:E94)*151+0.000000000001</f>
        <v>1E-012</v>
      </c>
      <c r="F95" s="424" t="n">
        <f aca="false">+E206</f>
        <v>0</v>
      </c>
      <c r="G95" s="423" t="n">
        <f aca="false">SUM(G83:G94)*151+0.000000000001</f>
        <v>1E-012</v>
      </c>
      <c r="H95" s="425" t="n">
        <f aca="false">+G206</f>
        <v>0</v>
      </c>
      <c r="I95" s="422" t="n">
        <f aca="false">+J95+L95</f>
        <v>-299.999999999998</v>
      </c>
      <c r="J95" s="423" t="n">
        <f aca="false">SUM(J83:J94)*200+0.000000000001</f>
        <v>1E-012</v>
      </c>
      <c r="K95" s="424" t="n">
        <f aca="false">+J206</f>
        <v>0</v>
      </c>
      <c r="L95" s="423" t="n">
        <f aca="false">SUM(L83:L94)*200+0.000000000001</f>
        <v>-299.999999999999</v>
      </c>
      <c r="M95" s="425" t="n">
        <f aca="false">+L206</f>
        <v>3.08666666666668</v>
      </c>
      <c r="N95" s="422" t="n">
        <f aca="false">+O95+Q95</f>
        <v>2E-012</v>
      </c>
      <c r="O95" s="423" t="n">
        <f aca="false">SUM(O83:O94)*31+0.000000000001</f>
        <v>1E-012</v>
      </c>
      <c r="P95" s="424" t="n">
        <f aca="false">+O206</f>
        <v>0</v>
      </c>
      <c r="Q95" s="423" t="n">
        <f aca="false">SUM(Q83:Q94)*31+0.000000000001</f>
        <v>1E-012</v>
      </c>
      <c r="R95" s="425" t="n">
        <f aca="false">+Q206</f>
        <v>0</v>
      </c>
    </row>
    <row r="96" customFormat="false" ht="12.75" hidden="false" customHeight="false" outlineLevel="0" collapsed="false">
      <c r="D96" s="426" t="n">
        <f aca="false">SUM(E96:H96)</f>
        <v>6.106E-012</v>
      </c>
      <c r="E96" s="382" t="n">
        <f aca="false">(D83-F95)*E95</f>
        <v>3.053E-012</v>
      </c>
      <c r="F96" s="323"/>
      <c r="G96" s="304" t="n">
        <f aca="false">(D83-H95)*G95</f>
        <v>3.053E-012</v>
      </c>
      <c r="H96" s="323"/>
      <c r="I96" s="426" t="n">
        <f aca="false">SUM(J96:M96)</f>
        <v>-3.14285714285085</v>
      </c>
      <c r="J96" s="382" t="n">
        <f aca="false">(I83-K95)*J95</f>
        <v>3.09714285714286E-012</v>
      </c>
      <c r="K96" s="323"/>
      <c r="L96" s="304" t="n">
        <f aca="false">(I83-M95)*L95</f>
        <v>-3.14285714285395</v>
      </c>
      <c r="M96" s="323"/>
      <c r="N96" s="426" t="n">
        <f aca="false">SUM(O96:R96)</f>
        <v>6.1E-012</v>
      </c>
      <c r="O96" s="382" t="n">
        <f aca="false">(N83-P95)*O95</f>
        <v>3.05E-012</v>
      </c>
      <c r="P96" s="323"/>
      <c r="Q96" s="304" t="n">
        <f aca="false">(N83-R95)*Q95</f>
        <v>3.05E-012</v>
      </c>
      <c r="R96" s="323"/>
    </row>
    <row r="103" customFormat="false" ht="12.75" hidden="false" customHeight="false" outlineLevel="0" collapsed="false">
      <c r="A103" s="4"/>
      <c r="B103" s="301" t="s">
        <v>243</v>
      </c>
      <c r="C103" s="4"/>
      <c r="D103" s="4"/>
      <c r="E103" s="4"/>
      <c r="F103" s="4"/>
      <c r="G103" s="4"/>
      <c r="H103" s="4"/>
      <c r="I103" s="4"/>
      <c r="J103" s="301" t="s">
        <v>181</v>
      </c>
      <c r="K103" s="4"/>
      <c r="L103" s="4"/>
      <c r="M103" s="4"/>
      <c r="N103" s="4"/>
    </row>
    <row r="104" customFormat="false" ht="12.75" hidden="false" customHeight="false" outlineLevel="0" collapsed="false">
      <c r="A104" s="341"/>
      <c r="B104" s="428" t="s">
        <v>100</v>
      </c>
      <c r="C104" s="429" t="s">
        <v>104</v>
      </c>
      <c r="D104" s="429" t="s">
        <v>92</v>
      </c>
      <c r="E104" s="429" t="s">
        <v>171</v>
      </c>
      <c r="F104" s="430" t="s">
        <v>244</v>
      </c>
      <c r="G104" s="430" t="s">
        <v>183</v>
      </c>
      <c r="H104" s="430" t="s">
        <v>184</v>
      </c>
      <c r="I104" s="431" t="s">
        <v>245</v>
      </c>
      <c r="J104" s="341"/>
      <c r="K104" s="307" t="s">
        <v>104</v>
      </c>
      <c r="L104" s="341" t="s">
        <v>186</v>
      </c>
      <c r="M104" s="429" t="s">
        <v>92</v>
      </c>
      <c r="N104" s="432" t="s">
        <v>14</v>
      </c>
      <c r="O104" s="430" t="s">
        <v>45</v>
      </c>
      <c r="P104" s="430"/>
      <c r="Q104" s="430" t="s">
        <v>246</v>
      </c>
      <c r="R104" s="430"/>
    </row>
    <row r="105" customFormat="false" ht="12.75" hidden="false" customHeight="false" outlineLevel="0" collapsed="false">
      <c r="A105" s="317" t="s">
        <v>195</v>
      </c>
      <c r="B105" s="360"/>
      <c r="C105" s="361"/>
      <c r="D105" s="361"/>
      <c r="E105" s="361"/>
      <c r="F105" s="362"/>
      <c r="G105" s="362"/>
      <c r="H105" s="362"/>
      <c r="I105" s="433" t="n">
        <v>266.280641898618</v>
      </c>
      <c r="J105" s="317" t="s">
        <v>195</v>
      </c>
      <c r="K105" s="324"/>
      <c r="L105" s="434"/>
      <c r="M105" s="324"/>
      <c r="N105" s="365"/>
      <c r="O105" s="366"/>
      <c r="P105" s="366"/>
      <c r="Q105" s="366"/>
      <c r="R105" s="366"/>
    </row>
    <row r="106" customFormat="false" ht="12.75" hidden="false" customHeight="false" outlineLevel="0" collapsed="false">
      <c r="A106" s="317" t="s">
        <v>121</v>
      </c>
      <c r="B106" s="318" t="n">
        <v>799.413584122862</v>
      </c>
      <c r="C106" s="319" t="n">
        <v>999.388583258515</v>
      </c>
      <c r="D106" s="319" t="n">
        <v>200.025000864347</v>
      </c>
      <c r="E106" s="319" t="n">
        <v>0</v>
      </c>
      <c r="F106" s="320" t="n">
        <v>-400</v>
      </c>
      <c r="G106" s="320" t="n">
        <v>7.00980392156863</v>
      </c>
      <c r="H106" s="320" t="n">
        <v>179.31943926207</v>
      </c>
      <c r="I106" s="435" t="n">
        <v>1515.56859737587</v>
      </c>
      <c r="J106" s="317" t="s">
        <v>121</v>
      </c>
      <c r="K106" s="324" t="n">
        <v>71.5</v>
      </c>
      <c r="L106" s="325" t="n">
        <v>4</v>
      </c>
      <c r="M106" s="324" t="n">
        <v>68.5</v>
      </c>
      <c r="N106" s="326" t="n">
        <v>-3</v>
      </c>
      <c r="O106" s="327" t="n">
        <v>48</v>
      </c>
      <c r="P106" s="327"/>
      <c r="Q106" s="327"/>
      <c r="R106" s="327"/>
    </row>
    <row r="107" customFormat="false" ht="12.75" hidden="false" customHeight="false" outlineLevel="0" collapsed="false">
      <c r="A107" s="317" t="s">
        <v>198</v>
      </c>
      <c r="B107" s="318" t="n">
        <v>997.456423553899</v>
      </c>
      <c r="C107" s="319" t="n">
        <v>1503.91429013636</v>
      </c>
      <c r="D107" s="319" t="n">
        <v>50.0202188900078</v>
      </c>
      <c r="E107" s="319" t="n">
        <v>-156.47808547247</v>
      </c>
      <c r="F107" s="320" t="n">
        <v>-400</v>
      </c>
      <c r="G107" s="320" t="n">
        <v>5.81904739299149</v>
      </c>
      <c r="H107" s="320" t="n">
        <v>151.30946627886</v>
      </c>
      <c r="I107" s="435" t="n">
        <v>120.727014996704</v>
      </c>
      <c r="J107" s="317" t="s">
        <v>195</v>
      </c>
      <c r="K107" s="324" t="n">
        <v>54.9899978637695</v>
      </c>
      <c r="L107" s="325" t="n">
        <v>2</v>
      </c>
      <c r="M107" s="324" t="n">
        <v>50.9900016784668</v>
      </c>
      <c r="N107" s="326" t="n">
        <v>-3.99999618530273</v>
      </c>
      <c r="O107" s="327" t="n">
        <v>48</v>
      </c>
      <c r="P107" s="327"/>
      <c r="Q107" s="327"/>
      <c r="R107" s="327"/>
    </row>
    <row r="108" customFormat="false" ht="12.75" hidden="false" customHeight="false" outlineLevel="0" collapsed="false">
      <c r="A108" s="317" t="s">
        <v>158</v>
      </c>
      <c r="B108" s="318" t="n">
        <v>848.43500383838</v>
      </c>
      <c r="C108" s="319" t="n">
        <v>1251.65143669744</v>
      </c>
      <c r="D108" s="319" t="n">
        <v>125.022609877178</v>
      </c>
      <c r="E108" s="319" t="n">
        <v>-78.2390427362351</v>
      </c>
      <c r="F108" s="320" t="n">
        <v>-450</v>
      </c>
      <c r="G108" s="320" t="n">
        <v>6.65099509448962</v>
      </c>
      <c r="H108" s="320" t="n">
        <v>330.62890554093</v>
      </c>
      <c r="I108" s="435" t="n">
        <v>2364.692775474</v>
      </c>
      <c r="J108" s="317" t="s">
        <v>121</v>
      </c>
      <c r="K108" s="324" t="n">
        <v>62.8519036429269</v>
      </c>
      <c r="L108" s="325" t="n">
        <v>0</v>
      </c>
      <c r="M108" s="324" t="n">
        <v>59.3280961172921</v>
      </c>
      <c r="N108" s="326" t="n">
        <v>-3.52380752563477</v>
      </c>
      <c r="O108" s="327"/>
      <c r="P108" s="327"/>
      <c r="Q108" s="327"/>
      <c r="R108" s="327"/>
    </row>
    <row r="109" customFormat="false" ht="12.75" hidden="false" customHeight="false" outlineLevel="0" collapsed="false">
      <c r="A109" s="317" t="s">
        <v>189</v>
      </c>
      <c r="B109" s="318" t="n">
        <v>1084.55492795048</v>
      </c>
      <c r="C109" s="319" t="n">
        <v>988.699757680154</v>
      </c>
      <c r="D109" s="319" t="n">
        <v>50.0363309370517</v>
      </c>
      <c r="E109" s="319" t="n">
        <v>45.8188393332742</v>
      </c>
      <c r="F109" s="320" t="n">
        <v>0</v>
      </c>
      <c r="G109" s="320" t="n">
        <v>6.26745551295535</v>
      </c>
      <c r="H109" s="320" t="n">
        <v>186.392632012814</v>
      </c>
      <c r="I109" s="435" t="n">
        <v>2338.97116965662</v>
      </c>
      <c r="J109" s="317" t="s">
        <v>198</v>
      </c>
      <c r="K109" s="324" t="n">
        <v>52.9599990844727</v>
      </c>
      <c r="L109" s="325" t="n">
        <v>0</v>
      </c>
      <c r="M109" s="324" t="n">
        <v>53</v>
      </c>
      <c r="N109" s="326" t="n">
        <v>0.0400009155273438</v>
      </c>
      <c r="O109" s="327" t="n">
        <v>36.48</v>
      </c>
      <c r="P109" s="327"/>
      <c r="Q109" s="327"/>
      <c r="R109" s="327"/>
    </row>
    <row r="110" customFormat="false" ht="12.75" hidden="false" customHeight="false" outlineLevel="0" collapsed="false">
      <c r="A110" s="317" t="s">
        <v>199</v>
      </c>
      <c r="B110" s="318" t="n">
        <v>598.153543595949</v>
      </c>
      <c r="C110" s="319" t="n">
        <v>500.540320474669</v>
      </c>
      <c r="D110" s="319" t="n">
        <v>0</v>
      </c>
      <c r="E110" s="319" t="n">
        <v>97.6132231212798</v>
      </c>
      <c r="F110" s="320" t="n">
        <v>0</v>
      </c>
      <c r="G110" s="320" t="n">
        <v>9.33333333333333</v>
      </c>
      <c r="H110" s="320" t="n">
        <v>164.513377522723</v>
      </c>
      <c r="I110" s="435" t="n">
        <v>2351.83197256531</v>
      </c>
      <c r="J110" s="317" t="s">
        <v>158</v>
      </c>
      <c r="K110" s="324" t="n">
        <v>56</v>
      </c>
      <c r="L110" s="325" t="n">
        <v>0</v>
      </c>
      <c r="M110" s="324" t="n">
        <v>80.9999923706055</v>
      </c>
      <c r="N110" s="326" t="n">
        <v>24.9999923706055</v>
      </c>
      <c r="O110" s="327" t="n">
        <v>43.15</v>
      </c>
      <c r="P110" s="327"/>
      <c r="Q110" s="327"/>
      <c r="R110" s="327"/>
    </row>
    <row r="111" customFormat="false" ht="12.75" hidden="false" customHeight="false" outlineLevel="0" collapsed="false">
      <c r="A111" s="317" t="s">
        <v>159</v>
      </c>
      <c r="B111" s="318" t="n">
        <v>841.354235773215</v>
      </c>
      <c r="C111" s="319" t="n">
        <v>744.620039077412</v>
      </c>
      <c r="D111" s="319" t="n">
        <v>25.0181654685258</v>
      </c>
      <c r="E111" s="319" t="n">
        <v>71.716031227277</v>
      </c>
      <c r="F111" s="320" t="n">
        <v>0</v>
      </c>
      <c r="G111" s="320" t="n">
        <v>7.49351867905035</v>
      </c>
      <c r="H111" s="320" t="n">
        <v>284.213842770951</v>
      </c>
      <c r="I111" s="435" t="n">
        <v>1208.4099949298</v>
      </c>
      <c r="J111" s="317" t="s">
        <v>189</v>
      </c>
      <c r="K111" s="324" t="n">
        <v>54.5153483900913</v>
      </c>
      <c r="L111" s="325" t="n">
        <v>0.5</v>
      </c>
      <c r="M111" s="324" t="n">
        <v>51.026976297068</v>
      </c>
      <c r="N111" s="326" t="n">
        <v>-3.48837209302326</v>
      </c>
      <c r="O111" s="327"/>
      <c r="P111" s="327"/>
      <c r="Q111" s="327"/>
      <c r="R111" s="327"/>
    </row>
    <row r="112" customFormat="false" ht="12.75" hidden="false" customHeight="false" outlineLevel="0" collapsed="false">
      <c r="A112" s="317" t="s">
        <v>124</v>
      </c>
      <c r="B112" s="318" t="n">
        <v>100.134864924606</v>
      </c>
      <c r="C112" s="319" t="n">
        <v>200.269729849211</v>
      </c>
      <c r="D112" s="319" t="n">
        <v>-100.134864924606</v>
      </c>
      <c r="E112" s="319" t="n">
        <v>0</v>
      </c>
      <c r="F112" s="320" t="n">
        <v>0</v>
      </c>
      <c r="G112" s="320" t="n">
        <v>15.0241445842614</v>
      </c>
      <c r="H112" s="320" t="n">
        <v>-9.88583838211417</v>
      </c>
      <c r="I112" s="435" t="n">
        <v>1111.17916464725</v>
      </c>
      <c r="J112" s="317" t="s">
        <v>199</v>
      </c>
      <c r="K112" s="324" t="n">
        <v>83.9999923706055</v>
      </c>
      <c r="L112" s="325" t="n">
        <v>1.5</v>
      </c>
      <c r="M112" s="324" t="n">
        <v>80.9999923706055</v>
      </c>
      <c r="N112" s="326" t="n">
        <v>-3</v>
      </c>
      <c r="O112" s="327"/>
      <c r="P112" s="327"/>
      <c r="Q112" s="327"/>
      <c r="R112" s="327"/>
    </row>
    <row r="113" customFormat="false" ht="12.75" hidden="false" customHeight="false" outlineLevel="0" collapsed="false">
      <c r="A113" s="317" t="s">
        <v>128</v>
      </c>
      <c r="B113" s="318" t="n">
        <v>86.1186817397323</v>
      </c>
      <c r="C113" s="319" t="n">
        <v>86.1186817397323</v>
      </c>
      <c r="D113" s="319" t="n">
        <v>0</v>
      </c>
      <c r="E113" s="319" t="n">
        <v>0</v>
      </c>
      <c r="F113" s="320" t="n">
        <v>0</v>
      </c>
      <c r="G113" s="320" t="n">
        <v>25.4545454545455</v>
      </c>
      <c r="H113" s="320" t="n">
        <v>56.6549598006738</v>
      </c>
      <c r="I113" s="435" t="n">
        <v>1159.79457978853</v>
      </c>
      <c r="J113" s="317" t="s">
        <v>159</v>
      </c>
      <c r="K113" s="324" t="n">
        <v>140</v>
      </c>
      <c r="L113" s="325" t="n">
        <v>1</v>
      </c>
      <c r="M113" s="324" t="n">
        <v>133.75</v>
      </c>
      <c r="N113" s="326" t="n">
        <v>-6.25</v>
      </c>
      <c r="O113" s="327"/>
      <c r="P113" s="327"/>
      <c r="Q113" s="327"/>
      <c r="R113" s="327"/>
    </row>
    <row r="114" customFormat="false" ht="12.75" hidden="false" customHeight="false" outlineLevel="0" collapsed="false">
      <c r="A114" s="317" t="s">
        <v>193</v>
      </c>
      <c r="B114" s="318" t="n">
        <v>418.89748138936</v>
      </c>
      <c r="C114" s="319" t="n">
        <v>469.011843208521</v>
      </c>
      <c r="D114" s="319" t="n">
        <v>-50.1143618191611</v>
      </c>
      <c r="E114" s="319" t="n">
        <v>0</v>
      </c>
      <c r="F114" s="320" t="n">
        <v>0</v>
      </c>
      <c r="G114" s="320" t="n">
        <v>16.8267035953084</v>
      </c>
      <c r="H114" s="320" t="n">
        <v>470.702154462878</v>
      </c>
      <c r="I114" s="435" t="n">
        <v>-250.184023670274</v>
      </c>
      <c r="J114" s="317" t="s">
        <v>124</v>
      </c>
      <c r="K114" s="324" t="n">
        <v>92.0000019073486</v>
      </c>
      <c r="L114" s="325" t="n">
        <v>3.5</v>
      </c>
      <c r="M114" s="324" t="n">
        <v>92.3571411314465</v>
      </c>
      <c r="N114" s="326" t="n">
        <v>0.357139224097836</v>
      </c>
      <c r="O114" s="327"/>
      <c r="P114" s="327"/>
      <c r="Q114" s="327"/>
      <c r="R114" s="327"/>
    </row>
    <row r="115" customFormat="false" ht="12.75" hidden="false" customHeight="false" outlineLevel="0" collapsed="false">
      <c r="A115" s="317" t="s">
        <v>133</v>
      </c>
      <c r="B115" s="318" t="n">
        <v>1773.93416436774</v>
      </c>
      <c r="C115" s="319" t="n">
        <v>1824.0641070657</v>
      </c>
      <c r="D115" s="319" t="n">
        <v>-50.1299426979524</v>
      </c>
      <c r="E115" s="319" t="n">
        <v>0</v>
      </c>
      <c r="F115" s="320" t="n">
        <v>0</v>
      </c>
      <c r="G115" s="320" t="n">
        <v>7.72350258541547</v>
      </c>
      <c r="H115" s="320" t="n">
        <v>452.197590779678</v>
      </c>
      <c r="I115" s="435" t="n">
        <v>-300.024342122713</v>
      </c>
      <c r="J115" s="317" t="s">
        <v>128</v>
      </c>
      <c r="K115" s="324" t="n">
        <v>41.9000015258789</v>
      </c>
      <c r="L115" s="325" t="n">
        <v>1</v>
      </c>
      <c r="M115" s="324" t="n">
        <v>41.3999977111816</v>
      </c>
      <c r="N115" s="326" t="n">
        <v>-0.500003814697266</v>
      </c>
      <c r="O115" s="327"/>
      <c r="P115" s="327"/>
      <c r="Q115" s="327"/>
      <c r="R115" s="327"/>
    </row>
    <row r="116" customFormat="false" ht="12.75" hidden="false" customHeight="false" outlineLevel="0" collapsed="false">
      <c r="A116" s="317" t="s">
        <v>135</v>
      </c>
      <c r="B116" s="318" t="n">
        <v>1274.64014490301</v>
      </c>
      <c r="C116" s="319" t="n">
        <v>1375.79632767672</v>
      </c>
      <c r="D116" s="319" t="n">
        <v>-101.156182773706</v>
      </c>
      <c r="E116" s="319" t="n">
        <v>0</v>
      </c>
      <c r="F116" s="320" t="n">
        <v>0</v>
      </c>
      <c r="G116" s="320" t="n">
        <v>7.75005344003573</v>
      </c>
      <c r="H116" s="320" t="n">
        <v>907.173992982115</v>
      </c>
      <c r="I116" s="435" t="n">
        <v>84.5421963634125</v>
      </c>
      <c r="J116" s="317" t="s">
        <v>193</v>
      </c>
      <c r="K116" s="324" t="n">
        <v>43.1290473937988</v>
      </c>
      <c r="L116" s="325" t="n">
        <v>0.25</v>
      </c>
      <c r="M116" s="324" t="n">
        <v>43.3106842646523</v>
      </c>
      <c r="N116" s="326" t="n">
        <v>0.181636870853488</v>
      </c>
      <c r="O116" s="327"/>
      <c r="P116" s="327"/>
      <c r="Q116" s="327"/>
      <c r="R116" s="327"/>
    </row>
    <row r="117" customFormat="false" ht="12.75" hidden="false" customHeight="false" outlineLevel="0" collapsed="false">
      <c r="A117" s="420" t="s">
        <v>196</v>
      </c>
      <c r="B117" s="344" t="n">
        <v>841.790132311919</v>
      </c>
      <c r="C117" s="344" t="n">
        <v>930.700678304295</v>
      </c>
      <c r="D117" s="344" t="n">
        <v>-21.1567107408826</v>
      </c>
      <c r="E117" s="344" t="n">
        <v>-1.08716858482636</v>
      </c>
      <c r="F117" s="344" t="n">
        <v>-66.6666666666667</v>
      </c>
      <c r="G117" s="344"/>
      <c r="H117" s="344" t="n">
        <v>2842.59161749065</v>
      </c>
      <c r="I117" s="436" t="n">
        <v>99.9381731470148</v>
      </c>
      <c r="J117" s="420" t="s">
        <v>133</v>
      </c>
      <c r="K117" s="358" t="n">
        <v>68.3449294595157</v>
      </c>
      <c r="L117" s="358" t="n">
        <v>-1.28306995466643</v>
      </c>
      <c r="M117" s="358" t="n">
        <v>65.7076974158194</v>
      </c>
      <c r="N117" s="358" t="n">
        <v>-2.63723204369639</v>
      </c>
      <c r="O117" s="358"/>
      <c r="P117" s="358"/>
      <c r="Q117" s="358"/>
      <c r="R117" s="358" t="n">
        <v>69.6279994141822</v>
      </c>
    </row>
    <row r="118" customFormat="false" ht="12.75" hidden="false" customHeight="false" outlineLevel="0" collapsed="false">
      <c r="A118" s="359" t="s">
        <v>195</v>
      </c>
      <c r="B118" s="360" t="n">
        <v>-100.38385905686</v>
      </c>
      <c r="C118" s="361" t="n">
        <v>0</v>
      </c>
      <c r="D118" s="361" t="n">
        <v>-100.38385905686</v>
      </c>
      <c r="E118" s="361" t="n">
        <v>0</v>
      </c>
      <c r="F118" s="362" t="n">
        <v>0</v>
      </c>
      <c r="G118" s="362"/>
      <c r="H118" s="362"/>
      <c r="I118" s="323" t="n">
        <v>1099.72719787683</v>
      </c>
      <c r="J118" s="359" t="s">
        <v>135</v>
      </c>
      <c r="K118" s="324"/>
      <c r="L118" s="434"/>
      <c r="M118" s="324"/>
      <c r="N118" s="365"/>
      <c r="O118" s="366"/>
      <c r="P118" s="366"/>
      <c r="Q118" s="366"/>
      <c r="R118" s="366" t="n">
        <v>50.6522147683536</v>
      </c>
    </row>
    <row r="119" customFormat="false" ht="12.75" hidden="false" customHeight="false" outlineLevel="0" collapsed="false">
      <c r="A119" s="359" t="s">
        <v>121</v>
      </c>
      <c r="B119" s="318" t="n">
        <v>301.066606097654</v>
      </c>
      <c r="C119" s="319" t="n">
        <v>501.777681211713</v>
      </c>
      <c r="D119" s="319" t="n">
        <v>-200.711075114059</v>
      </c>
      <c r="E119" s="319" t="n">
        <v>0</v>
      </c>
      <c r="F119" s="320" t="n">
        <v>0</v>
      </c>
      <c r="G119" s="320"/>
      <c r="H119" s="320"/>
      <c r="I119" s="323" t="n">
        <v>836.770741534918</v>
      </c>
      <c r="J119" s="359" t="s">
        <v>196</v>
      </c>
      <c r="K119" s="324" t="n">
        <v>44.687141418457</v>
      </c>
      <c r="L119" s="325" t="n">
        <v>0</v>
      </c>
      <c r="M119" s="324" t="n">
        <v>37.0950012207031</v>
      </c>
      <c r="N119" s="326" t="n">
        <v>-7.59214019775391</v>
      </c>
      <c r="O119" s="327"/>
      <c r="P119" s="327"/>
      <c r="Q119" s="327"/>
      <c r="R119" s="327" t="n">
        <v>45.1409277822457</v>
      </c>
    </row>
    <row r="120" customFormat="false" ht="12.75" hidden="false" customHeight="false" outlineLevel="0" collapsed="false">
      <c r="A120" s="359" t="s">
        <v>198</v>
      </c>
      <c r="B120" s="318" t="n">
        <v>200.76771811372</v>
      </c>
      <c r="C120" s="319" t="n">
        <v>301.151577170579</v>
      </c>
      <c r="D120" s="319" t="n">
        <v>-100.38385905686</v>
      </c>
      <c r="E120" s="319" t="n">
        <v>0</v>
      </c>
      <c r="F120" s="320" t="n">
        <v>0</v>
      </c>
      <c r="G120" s="320"/>
      <c r="H120" s="320"/>
      <c r="I120" s="323"/>
      <c r="J120" s="359" t="s">
        <v>195</v>
      </c>
      <c r="K120" s="324" t="n">
        <v>37.3949966430664</v>
      </c>
      <c r="L120" s="325" t="n">
        <v>0</v>
      </c>
      <c r="M120" s="324" t="n">
        <v>37.3450012207031</v>
      </c>
      <c r="N120" s="326" t="n">
        <v>-0.0499954223632813</v>
      </c>
      <c r="O120" s="327"/>
      <c r="P120" s="327"/>
      <c r="Q120" s="327"/>
      <c r="R120" s="327"/>
    </row>
    <row r="121" customFormat="false" ht="12.75" hidden="false" customHeight="false" outlineLevel="0" collapsed="false">
      <c r="A121" s="359" t="s">
        <v>158</v>
      </c>
      <c r="B121" s="318" t="n">
        <v>250.917162105687</v>
      </c>
      <c r="C121" s="319" t="n">
        <v>401.464629191146</v>
      </c>
      <c r="D121" s="319" t="n">
        <v>-150.547467085459</v>
      </c>
      <c r="E121" s="319" t="n">
        <v>0</v>
      </c>
      <c r="F121" s="320" t="n">
        <v>0</v>
      </c>
      <c r="G121" s="320" t="n">
        <v>7.5</v>
      </c>
      <c r="H121" s="320" t="n">
        <v>-5.31</v>
      </c>
      <c r="I121" s="323"/>
      <c r="J121" s="359" t="s">
        <v>121</v>
      </c>
      <c r="K121" s="324" t="n">
        <v>40.9521404359399</v>
      </c>
      <c r="L121" s="325" t="n">
        <v>0</v>
      </c>
      <c r="M121" s="324" t="n">
        <v>40.8960455917731</v>
      </c>
      <c r="N121" s="326" t="n">
        <v>-0.0560948441668216</v>
      </c>
      <c r="O121" s="327"/>
      <c r="P121" s="327"/>
      <c r="Q121" s="327"/>
      <c r="R121" s="327"/>
    </row>
    <row r="122" customFormat="false" ht="12.75" hidden="false" customHeight="false" outlineLevel="0" collapsed="false">
      <c r="A122" s="359" t="s">
        <v>189</v>
      </c>
      <c r="B122" s="318" t="n">
        <v>200.815291501266</v>
      </c>
      <c r="C122" s="319" t="n">
        <v>301.222937251898</v>
      </c>
      <c r="D122" s="319" t="n">
        <v>-100.407645750633</v>
      </c>
      <c r="E122" s="319" t="n">
        <v>0</v>
      </c>
      <c r="F122" s="320" t="n">
        <v>0</v>
      </c>
      <c r="G122" s="320"/>
      <c r="H122" s="320"/>
      <c r="I122" s="323"/>
      <c r="J122" s="359" t="s">
        <v>198</v>
      </c>
      <c r="K122" s="324" t="n">
        <v>37.5950012207031</v>
      </c>
      <c r="L122" s="325" t="n">
        <v>0.25</v>
      </c>
      <c r="M122" s="324" t="n">
        <v>37.1499938964844</v>
      </c>
      <c r="N122" s="326" t="n">
        <v>-0.44500732421875</v>
      </c>
      <c r="O122" s="327"/>
      <c r="P122" s="327"/>
      <c r="Q122" s="327"/>
      <c r="R122" s="327"/>
    </row>
    <row r="123" customFormat="false" ht="12.75" hidden="false" customHeight="false" outlineLevel="0" collapsed="false">
      <c r="A123" s="359" t="s">
        <v>199</v>
      </c>
      <c r="B123" s="318" t="n">
        <v>0</v>
      </c>
      <c r="C123" s="319" t="n">
        <v>100.431501026557</v>
      </c>
      <c r="D123" s="319" t="n">
        <v>-100.431501026557</v>
      </c>
      <c r="E123" s="319" t="n">
        <v>0</v>
      </c>
      <c r="F123" s="320" t="n">
        <v>0</v>
      </c>
      <c r="G123" s="320"/>
      <c r="H123" s="320"/>
      <c r="I123" s="323"/>
      <c r="J123" s="359" t="s">
        <v>158</v>
      </c>
      <c r="K123" s="324" t="n">
        <v>39.9999961853027</v>
      </c>
      <c r="L123" s="325" t="n">
        <v>0.25</v>
      </c>
      <c r="M123" s="324" t="n">
        <v>56.25</v>
      </c>
      <c r="N123" s="326" t="n">
        <v>16.2500038146973</v>
      </c>
      <c r="O123" s="327"/>
      <c r="P123" s="327"/>
      <c r="Q123" s="327"/>
      <c r="R123" s="327"/>
    </row>
    <row r="124" customFormat="false" ht="12.75" hidden="false" customHeight="false" outlineLevel="0" collapsed="false">
      <c r="A124" s="359" t="s">
        <v>159</v>
      </c>
      <c r="B124" s="318" t="n">
        <v>100.407645750633</v>
      </c>
      <c r="C124" s="319" t="n">
        <v>200.827219139228</v>
      </c>
      <c r="D124" s="319" t="n">
        <v>-100.419573388595</v>
      </c>
      <c r="E124" s="319" t="n">
        <v>0</v>
      </c>
      <c r="F124" s="320" t="n">
        <v>0</v>
      </c>
      <c r="G124" s="320" t="n">
        <v>7</v>
      </c>
      <c r="H124" s="320" t="n">
        <v>-1.5435</v>
      </c>
      <c r="I124" s="323"/>
      <c r="J124" s="359" t="s">
        <v>189</v>
      </c>
      <c r="K124" s="324" t="n">
        <v>38.7974987030029</v>
      </c>
      <c r="L124" s="325" t="n">
        <v>0.25</v>
      </c>
      <c r="M124" s="324" t="n">
        <v>37.2474975585938</v>
      </c>
      <c r="N124" s="326" t="n">
        <v>-1.55000114440918</v>
      </c>
      <c r="O124" s="327"/>
      <c r="P124" s="327"/>
      <c r="Q124" s="327"/>
      <c r="R124" s="327"/>
    </row>
    <row r="125" customFormat="false" ht="12.75" hidden="false" customHeight="false" outlineLevel="0" collapsed="false">
      <c r="A125" s="359" t="s">
        <v>124</v>
      </c>
      <c r="B125" s="318" t="n">
        <v>100.445014740284</v>
      </c>
      <c r="C125" s="319" t="n">
        <v>200.890029480569</v>
      </c>
      <c r="D125" s="319" t="n">
        <v>-100.445014740284</v>
      </c>
      <c r="E125" s="319" t="n">
        <v>0</v>
      </c>
      <c r="F125" s="320" t="n">
        <v>0</v>
      </c>
      <c r="G125" s="320" t="n">
        <v>10</v>
      </c>
      <c r="H125" s="320" t="n">
        <v>0</v>
      </c>
      <c r="I125" s="323"/>
      <c r="J125" s="359" t="s">
        <v>199</v>
      </c>
      <c r="K125" s="324" t="n">
        <v>61.25</v>
      </c>
      <c r="L125" s="325" t="n">
        <v>1.25</v>
      </c>
      <c r="M125" s="324" t="n">
        <v>95.5</v>
      </c>
      <c r="N125" s="326" t="n">
        <v>34.25</v>
      </c>
      <c r="O125" s="327"/>
      <c r="P125" s="327"/>
      <c r="Q125" s="327"/>
      <c r="R125" s="327"/>
    </row>
    <row r="126" customFormat="false" ht="12.75" hidden="false" customHeight="false" outlineLevel="0" collapsed="false">
      <c r="A126" s="359" t="s">
        <v>128</v>
      </c>
      <c r="B126" s="318" t="n">
        <v>50.2298871530252</v>
      </c>
      <c r="C126" s="319" t="n">
        <v>150.689655334868</v>
      </c>
      <c r="D126" s="319" t="n">
        <v>-100.459768181843</v>
      </c>
      <c r="E126" s="319" t="n">
        <v>0</v>
      </c>
      <c r="F126" s="320" t="n">
        <v>0</v>
      </c>
      <c r="G126" s="320" t="n">
        <v>15</v>
      </c>
      <c r="H126" s="320" t="n">
        <v>0</v>
      </c>
      <c r="I126" s="323"/>
      <c r="J126" s="359" t="s">
        <v>159</v>
      </c>
      <c r="K126" s="324" t="n">
        <v>101.75</v>
      </c>
      <c r="L126" s="325" t="n">
        <v>0.75</v>
      </c>
      <c r="M126" s="324" t="n">
        <v>95.5</v>
      </c>
      <c r="N126" s="326" t="n">
        <v>-6.25</v>
      </c>
      <c r="O126" s="327"/>
      <c r="P126" s="327"/>
      <c r="Q126" s="327"/>
      <c r="R126" s="327"/>
    </row>
    <row r="127" customFormat="false" ht="12.75" hidden="false" customHeight="false" outlineLevel="0" collapsed="false">
      <c r="A127" s="359" t="s">
        <v>193</v>
      </c>
      <c r="B127" s="318" t="n">
        <v>125.609917718384</v>
      </c>
      <c r="C127" s="319" t="n">
        <v>226.094113016749</v>
      </c>
      <c r="D127" s="319" t="n">
        <v>-100.484195298365</v>
      </c>
      <c r="E127" s="319" t="n">
        <v>0</v>
      </c>
      <c r="F127" s="320" t="n">
        <v>0</v>
      </c>
      <c r="G127" s="320" t="n">
        <v>25</v>
      </c>
      <c r="H127" s="320" t="n">
        <v>0</v>
      </c>
      <c r="I127" s="323"/>
      <c r="J127" s="359" t="s">
        <v>124</v>
      </c>
      <c r="K127" s="324" t="n">
        <v>69.7500019073486</v>
      </c>
      <c r="L127" s="325" t="n">
        <v>3.25</v>
      </c>
      <c r="M127" s="324" t="n">
        <v>66.8571421305339</v>
      </c>
      <c r="N127" s="326" t="n">
        <v>-2.89285977681477</v>
      </c>
      <c r="O127" s="327"/>
      <c r="P127" s="327"/>
      <c r="Q127" s="327"/>
      <c r="R127" s="327"/>
    </row>
    <row r="128" customFormat="false" ht="12.75" hidden="false" customHeight="false" outlineLevel="0" collapsed="false">
      <c r="A128" s="359" t="s">
        <v>133</v>
      </c>
      <c r="B128" s="318" t="n">
        <v>653.276609883767</v>
      </c>
      <c r="C128" s="319" t="n">
        <v>753.780702797332</v>
      </c>
      <c r="D128" s="319" t="n">
        <v>-100.504092913565</v>
      </c>
      <c r="E128" s="319" t="n">
        <v>0</v>
      </c>
      <c r="F128" s="320" t="n">
        <v>0</v>
      </c>
      <c r="G128" s="320" t="n">
        <v>8</v>
      </c>
      <c r="H128" s="320" t="n">
        <v>0</v>
      </c>
      <c r="I128" s="323"/>
      <c r="J128" s="359" t="s">
        <v>128</v>
      </c>
      <c r="K128" s="324" t="n">
        <v>35.6549987792969</v>
      </c>
      <c r="L128" s="325" t="n">
        <v>0.75</v>
      </c>
      <c r="M128" s="324" t="n">
        <v>38.6549949645996</v>
      </c>
      <c r="N128" s="326" t="n">
        <v>2.99999618530273</v>
      </c>
      <c r="O128" s="327"/>
      <c r="P128" s="327"/>
      <c r="Q128" s="327"/>
      <c r="R128" s="327"/>
    </row>
    <row r="129" customFormat="false" ht="12.75" hidden="false" customHeight="false" outlineLevel="0" collapsed="false">
      <c r="A129" s="359" t="s">
        <v>135</v>
      </c>
      <c r="B129" s="318" t="n">
        <v>435.592379628941</v>
      </c>
      <c r="C129" s="319" t="n">
        <v>519.362499541554</v>
      </c>
      <c r="D129" s="319" t="n">
        <v>-83.7701199126132</v>
      </c>
      <c r="E129" s="319" t="n">
        <v>0</v>
      </c>
      <c r="F129" s="320" t="n">
        <v>0</v>
      </c>
      <c r="G129" s="320" t="n">
        <v>7.5</v>
      </c>
      <c r="H129" s="320" t="n">
        <v>0</v>
      </c>
      <c r="I129" s="323"/>
      <c r="J129" s="359" t="s">
        <v>193</v>
      </c>
      <c r="K129" s="324" t="n">
        <v>37.5492858886719</v>
      </c>
      <c r="L129" s="325" t="n">
        <v>0</v>
      </c>
      <c r="M129" s="324" t="n">
        <v>40.2467278980074</v>
      </c>
      <c r="N129" s="326" t="n">
        <v>2.69744200933548</v>
      </c>
      <c r="O129" s="327"/>
      <c r="P129" s="327"/>
      <c r="Q129" s="327"/>
      <c r="R129" s="327"/>
    </row>
    <row r="130" customFormat="false" ht="12.75" hidden="false" customHeight="false" outlineLevel="0" collapsed="false">
      <c r="A130" s="420" t="s">
        <v>16</v>
      </c>
      <c r="B130" s="344" t="n">
        <v>255.383175151109</v>
      </c>
      <c r="C130" s="344" t="n">
        <v>360.018317410973</v>
      </c>
      <c r="D130" s="344" t="n">
        <v>-104.635142259864</v>
      </c>
      <c r="E130" s="344" t="n">
        <v>0</v>
      </c>
      <c r="F130" s="344" t="n">
        <v>0</v>
      </c>
      <c r="G130" s="344"/>
      <c r="H130" s="344"/>
      <c r="I130" s="323"/>
      <c r="J130" s="420" t="s">
        <v>133</v>
      </c>
      <c r="K130" s="358" t="n">
        <v>51.1140416762408</v>
      </c>
      <c r="L130" s="358" t="n">
        <v>0.461826907887179</v>
      </c>
      <c r="M130" s="358" t="n">
        <v>49.7793587179745</v>
      </c>
      <c r="N130" s="358" t="n">
        <v>-1.33468295826631</v>
      </c>
      <c r="O130" s="358"/>
      <c r="P130" s="358"/>
      <c r="Q130" s="358"/>
      <c r="R130" s="358" t="n">
        <v>50.6522147683536</v>
      </c>
    </row>
    <row r="131" customFormat="false" ht="12.75" hidden="false" customHeight="false" outlineLevel="0" collapsed="false">
      <c r="A131" s="380" t="s">
        <v>195</v>
      </c>
      <c r="B131" s="360" t="n">
        <v>0</v>
      </c>
      <c r="C131" s="361" t="n">
        <v>0</v>
      </c>
      <c r="D131" s="361" t="n">
        <v>0</v>
      </c>
      <c r="E131" s="361" t="n">
        <v>0</v>
      </c>
      <c r="F131" s="362" t="n">
        <v>0</v>
      </c>
      <c r="G131" s="362"/>
      <c r="H131" s="362"/>
      <c r="I131" s="323"/>
      <c r="J131" s="380" t="s">
        <v>135</v>
      </c>
      <c r="K131" s="324"/>
      <c r="L131" s="434"/>
      <c r="M131" s="324"/>
      <c r="N131" s="365"/>
      <c r="O131" s="366"/>
      <c r="P131" s="366"/>
      <c r="Q131" s="366"/>
      <c r="R131" s="366"/>
    </row>
    <row r="132" customFormat="false" ht="12.75" hidden="false" customHeight="false" outlineLevel="0" collapsed="false">
      <c r="A132" s="380" t="s">
        <v>121</v>
      </c>
      <c r="B132" s="318" t="n">
        <v>0</v>
      </c>
      <c r="C132" s="319" t="n">
        <v>50.275235815942</v>
      </c>
      <c r="D132" s="319" t="n">
        <v>-50.275235815942</v>
      </c>
      <c r="E132" s="319" t="n">
        <v>0</v>
      </c>
      <c r="F132" s="320" t="n">
        <v>0</v>
      </c>
      <c r="G132" s="320"/>
      <c r="H132" s="320"/>
      <c r="I132" s="323"/>
      <c r="J132" s="380" t="s">
        <v>16</v>
      </c>
      <c r="K132" s="324" t="n">
        <v>40.4378623962402</v>
      </c>
      <c r="L132" s="325" t="n">
        <v>0</v>
      </c>
      <c r="M132" s="324" t="n">
        <v>32.8425025939941</v>
      </c>
      <c r="N132" s="326" t="n">
        <v>-7.59535980224609</v>
      </c>
      <c r="O132" s="327"/>
      <c r="P132" s="327"/>
      <c r="Q132" s="327"/>
      <c r="R132" s="327"/>
    </row>
    <row r="133" customFormat="false" ht="12.75" hidden="false" customHeight="false" outlineLevel="0" collapsed="false">
      <c r="A133" s="380" t="s">
        <v>198</v>
      </c>
      <c r="B133" s="318" t="n">
        <v>0</v>
      </c>
      <c r="C133" s="319" t="n">
        <v>50.2839359843399</v>
      </c>
      <c r="D133" s="319" t="n">
        <v>-50.2839359843399</v>
      </c>
      <c r="E133" s="319" t="n">
        <v>0</v>
      </c>
      <c r="F133" s="320" t="n">
        <v>0</v>
      </c>
      <c r="G133" s="320"/>
      <c r="H133" s="320"/>
      <c r="I133" s="323"/>
      <c r="J133" s="380" t="s">
        <v>195</v>
      </c>
      <c r="K133" s="324" t="n">
        <v>31.6424980163574</v>
      </c>
      <c r="L133" s="325" t="n">
        <v>0</v>
      </c>
      <c r="M133" s="324" t="n">
        <v>33.0925025939941</v>
      </c>
      <c r="N133" s="326" t="n">
        <v>1.45000457763672</v>
      </c>
      <c r="O133" s="327"/>
      <c r="P133" s="327"/>
      <c r="Q133" s="327"/>
      <c r="R133" s="327"/>
    </row>
    <row r="134" customFormat="false" ht="12.75" hidden="false" customHeight="false" outlineLevel="0" collapsed="false">
      <c r="A134" s="380" t="s">
        <v>158</v>
      </c>
      <c r="B134" s="318" t="n">
        <v>0</v>
      </c>
      <c r="C134" s="319" t="n">
        <v>50.279585900141</v>
      </c>
      <c r="D134" s="319" t="n">
        <v>-50.279585900141</v>
      </c>
      <c r="E134" s="319" t="n">
        <v>0</v>
      </c>
      <c r="F134" s="320" t="n">
        <v>0</v>
      </c>
      <c r="G134" s="320"/>
      <c r="H134" s="320"/>
      <c r="I134" s="323"/>
      <c r="J134" s="380" t="s">
        <v>121</v>
      </c>
      <c r="K134" s="324" t="n">
        <v>35.9329196650807</v>
      </c>
      <c r="L134" s="325" t="n">
        <v>0</v>
      </c>
      <c r="M134" s="324" t="n">
        <v>37.3768248209139</v>
      </c>
      <c r="N134" s="326" t="n">
        <v>1.44390515583317</v>
      </c>
      <c r="O134" s="327"/>
      <c r="P134" s="327"/>
      <c r="Q134" s="327"/>
      <c r="R134" s="327"/>
    </row>
    <row r="135" customFormat="false" ht="12.75" hidden="false" customHeight="false" outlineLevel="0" collapsed="false">
      <c r="A135" s="380" t="s">
        <v>189</v>
      </c>
      <c r="B135" s="318" t="n">
        <v>0</v>
      </c>
      <c r="C135" s="319" t="n">
        <v>50.291893184629</v>
      </c>
      <c r="D135" s="319" t="n">
        <v>-50.291893184629</v>
      </c>
      <c r="E135" s="319" t="n">
        <v>0</v>
      </c>
      <c r="F135" s="320" t="n">
        <v>0</v>
      </c>
      <c r="G135" s="320"/>
      <c r="H135" s="320"/>
      <c r="I135" s="323"/>
      <c r="J135" s="380" t="s">
        <v>198</v>
      </c>
      <c r="K135" s="324" t="n">
        <v>31.8425025939941</v>
      </c>
      <c r="L135" s="325" t="n">
        <v>0.25</v>
      </c>
      <c r="M135" s="324" t="n">
        <v>33.148567199707</v>
      </c>
      <c r="N135" s="326" t="n">
        <v>1.30606460571289</v>
      </c>
      <c r="O135" s="327"/>
      <c r="P135" s="327"/>
      <c r="Q135" s="327"/>
      <c r="R135" s="327"/>
    </row>
    <row r="136" customFormat="false" ht="12.75" hidden="false" customHeight="false" outlineLevel="0" collapsed="false">
      <c r="A136" s="380" t="s">
        <v>199</v>
      </c>
      <c r="B136" s="318" t="n">
        <v>0</v>
      </c>
      <c r="C136" s="319" t="n">
        <v>50.2984729170297</v>
      </c>
      <c r="D136" s="319" t="n">
        <v>-50.2984729170297</v>
      </c>
      <c r="E136" s="319" t="n">
        <v>0</v>
      </c>
      <c r="F136" s="320" t="n">
        <v>0</v>
      </c>
      <c r="G136" s="320"/>
      <c r="H136" s="320"/>
      <c r="I136" s="323"/>
      <c r="J136" s="380" t="s">
        <v>158</v>
      </c>
      <c r="K136" s="324" t="n">
        <v>35.9985656738281</v>
      </c>
      <c r="L136" s="325" t="n">
        <v>0.25</v>
      </c>
      <c r="M136" s="324" t="n">
        <v>51.002857208252</v>
      </c>
      <c r="N136" s="326" t="n">
        <v>15.0042915344238</v>
      </c>
      <c r="O136" s="327"/>
      <c r="P136" s="327"/>
      <c r="Q136" s="327"/>
      <c r="R136" s="327"/>
    </row>
    <row r="137" customFormat="false" ht="12.75" hidden="false" customHeight="false" outlineLevel="0" collapsed="false">
      <c r="A137" s="380" t="s">
        <v>159</v>
      </c>
      <c r="B137" s="318" t="n">
        <v>0</v>
      </c>
      <c r="C137" s="319" t="n">
        <v>50.2951830508293</v>
      </c>
      <c r="D137" s="319" t="n">
        <v>-50.2951830508293</v>
      </c>
      <c r="E137" s="319" t="n">
        <v>0</v>
      </c>
      <c r="F137" s="320" t="n">
        <v>0</v>
      </c>
      <c r="G137" s="320"/>
      <c r="H137" s="320"/>
      <c r="I137" s="323"/>
      <c r="J137" s="380" t="s">
        <v>189</v>
      </c>
      <c r="K137" s="324" t="n">
        <v>33.8722078190293</v>
      </c>
      <c r="L137" s="325" t="n">
        <v>0.25</v>
      </c>
      <c r="M137" s="324" t="n">
        <v>33.1198829828307</v>
      </c>
      <c r="N137" s="326" t="n">
        <v>-0.752324836198675</v>
      </c>
      <c r="O137" s="327"/>
      <c r="P137" s="327"/>
      <c r="Q137" s="327"/>
      <c r="R137" s="327"/>
    </row>
    <row r="138" customFormat="false" ht="12.75" hidden="false" customHeight="false" outlineLevel="0" collapsed="false">
      <c r="A138" s="380" t="s">
        <v>124</v>
      </c>
      <c r="B138" s="318" t="n">
        <v>-553.343648740337</v>
      </c>
      <c r="C138" s="319" t="n">
        <v>-503.039680057033</v>
      </c>
      <c r="D138" s="319" t="n">
        <v>-50.3039686833038</v>
      </c>
      <c r="E138" s="319" t="n">
        <v>0</v>
      </c>
      <c r="F138" s="320" t="n">
        <v>0</v>
      </c>
      <c r="G138" s="320"/>
      <c r="H138" s="320"/>
      <c r="I138" s="323"/>
      <c r="J138" s="380" t="s">
        <v>199</v>
      </c>
      <c r="K138" s="324" t="n">
        <v>53.502857208252</v>
      </c>
      <c r="L138" s="325" t="n">
        <v>1.25</v>
      </c>
      <c r="M138" s="324" t="n">
        <v>83.7521438598633</v>
      </c>
      <c r="N138" s="326" t="n">
        <v>30.2492866516113</v>
      </c>
      <c r="O138" s="327"/>
      <c r="P138" s="327"/>
      <c r="Q138" s="327"/>
      <c r="R138" s="327"/>
    </row>
    <row r="139" customFormat="false" ht="12.75" hidden="false" customHeight="false" outlineLevel="0" collapsed="false">
      <c r="A139" s="380" t="s">
        <v>128</v>
      </c>
      <c r="B139" s="318" t="n">
        <v>100.619278634284</v>
      </c>
      <c r="C139" s="319" t="n">
        <v>150.928917951427</v>
      </c>
      <c r="D139" s="319" t="n">
        <v>-50.3096393171422</v>
      </c>
      <c r="E139" s="319" t="n">
        <v>0</v>
      </c>
      <c r="F139" s="320" t="n">
        <v>0</v>
      </c>
      <c r="G139" s="320"/>
      <c r="H139" s="320"/>
      <c r="I139" s="323"/>
      <c r="J139" s="380" t="s">
        <v>159</v>
      </c>
      <c r="K139" s="324" t="n">
        <v>91.2521438598633</v>
      </c>
      <c r="L139" s="325" t="n">
        <v>0.75</v>
      </c>
      <c r="M139" s="324" t="n">
        <v>83.7521438598633</v>
      </c>
      <c r="N139" s="326" t="n">
        <v>-7.5</v>
      </c>
      <c r="O139" s="327"/>
      <c r="P139" s="327"/>
      <c r="Q139" s="327"/>
      <c r="R139" s="327"/>
    </row>
    <row r="140" customFormat="false" ht="12.75" hidden="false" customHeight="false" outlineLevel="0" collapsed="false">
      <c r="A140" s="380" t="s">
        <v>193</v>
      </c>
      <c r="B140" s="318" t="n">
        <v>75.4757553283256</v>
      </c>
      <c r="C140" s="319" t="n">
        <v>100.633508631521</v>
      </c>
      <c r="D140" s="319" t="n">
        <v>-25.1577533031955</v>
      </c>
      <c r="E140" s="319" t="n">
        <v>0</v>
      </c>
      <c r="F140" s="320" t="n">
        <v>0</v>
      </c>
      <c r="G140" s="320"/>
      <c r="H140" s="320"/>
      <c r="I140" s="323"/>
      <c r="J140" s="380" t="s">
        <v>124</v>
      </c>
      <c r="K140" s="324" t="n">
        <v>63.1271438598633</v>
      </c>
      <c r="L140" s="325" t="n">
        <v>3.25</v>
      </c>
      <c r="M140" s="324" t="n">
        <v>57.5521430969238</v>
      </c>
      <c r="N140" s="326" t="n">
        <v>-5.57500076293945</v>
      </c>
      <c r="O140" s="327"/>
      <c r="P140" s="327"/>
      <c r="Q140" s="327"/>
      <c r="R140" s="327"/>
    </row>
    <row r="141" customFormat="false" ht="12.75" hidden="false" customHeight="false" outlineLevel="0" collapsed="false">
      <c r="A141" s="380" t="s">
        <v>133</v>
      </c>
      <c r="B141" s="318" t="n">
        <v>50.3254947739993</v>
      </c>
      <c r="C141" s="319" t="n">
        <v>50.3254947739993</v>
      </c>
      <c r="D141" s="319" t="n">
        <v>0</v>
      </c>
      <c r="E141" s="319" t="n">
        <v>0</v>
      </c>
      <c r="F141" s="320" t="n">
        <v>0</v>
      </c>
      <c r="G141" s="320"/>
      <c r="H141" s="320"/>
      <c r="I141" s="323"/>
      <c r="J141" s="380" t="s">
        <v>128</v>
      </c>
      <c r="K141" s="324" t="n">
        <v>32.7789344787598</v>
      </c>
      <c r="L141" s="325" t="n">
        <v>0.75</v>
      </c>
      <c r="M141" s="324" t="n">
        <v>37.7789306640625</v>
      </c>
      <c r="N141" s="326" t="n">
        <v>4.99999618530273</v>
      </c>
      <c r="O141" s="327"/>
      <c r="P141" s="327"/>
      <c r="Q141" s="327"/>
      <c r="R141" s="327"/>
    </row>
    <row r="142" customFormat="false" ht="12.75" hidden="false" customHeight="false" outlineLevel="0" collapsed="false">
      <c r="A142" s="380" t="s">
        <v>135</v>
      </c>
      <c r="B142" s="318" t="n">
        <v>50.3324373457977</v>
      </c>
      <c r="C142" s="319" t="n">
        <v>50.3324373457977</v>
      </c>
      <c r="D142" s="319" t="n">
        <v>0</v>
      </c>
      <c r="E142" s="319" t="n">
        <v>0</v>
      </c>
      <c r="F142" s="320" t="n">
        <v>0</v>
      </c>
      <c r="G142" s="320"/>
      <c r="H142" s="320"/>
      <c r="I142" s="323"/>
      <c r="J142" s="380" t="s">
        <v>193</v>
      </c>
      <c r="K142" s="324" t="n">
        <v>35.4652430216471</v>
      </c>
      <c r="L142" s="325" t="n">
        <v>0</v>
      </c>
      <c r="M142" s="324" t="n">
        <v>39.4659573339647</v>
      </c>
      <c r="N142" s="326" t="n">
        <v>4.00071431231756</v>
      </c>
      <c r="O142" s="327"/>
      <c r="P142" s="327"/>
      <c r="Q142" s="327"/>
      <c r="R142" s="327"/>
    </row>
    <row r="143" customFormat="false" ht="12.75" hidden="false" customHeight="false" outlineLevel="0" collapsed="false">
      <c r="A143" s="437" t="s">
        <v>18</v>
      </c>
      <c r="B143" s="344" t="n">
        <v>-8.37083771983406</v>
      </c>
      <c r="C143" s="344" t="n">
        <v>20.9690499892307</v>
      </c>
      <c r="D143" s="344" t="n">
        <v>-29.3398877090648</v>
      </c>
      <c r="E143" s="344" t="n">
        <v>0</v>
      </c>
      <c r="F143" s="344" t="n">
        <v>0</v>
      </c>
      <c r="G143" s="344"/>
      <c r="H143" s="344"/>
      <c r="I143" s="323"/>
      <c r="J143" s="437" t="s">
        <v>133</v>
      </c>
      <c r="K143" s="358" t="n">
        <v>45.9356248810535</v>
      </c>
      <c r="L143" s="358" t="n">
        <v>0.794697098807824</v>
      </c>
      <c r="M143" s="358" t="n">
        <v>45.3649870955099</v>
      </c>
      <c r="N143" s="358" t="n">
        <v>-0.57063778554361</v>
      </c>
      <c r="O143" s="358"/>
      <c r="P143" s="358"/>
      <c r="Q143" s="358"/>
      <c r="R143" s="358" t="n">
        <v>45.1409277822457</v>
      </c>
    </row>
    <row r="144" customFormat="false" ht="12.75" hidden="false" customHeight="false" outlineLevel="0" collapsed="false">
      <c r="B144" s="261" t="n">
        <v>-100.01518870117</v>
      </c>
      <c r="C144" s="261" t="n">
        <v>49.9848112988303</v>
      </c>
      <c r="D144" s="261" t="n">
        <v>0</v>
      </c>
      <c r="E144" s="261" t="n">
        <v>0</v>
      </c>
      <c r="F144" s="261" t="n">
        <v>-150</v>
      </c>
      <c r="G144" s="261" t="n">
        <v>0</v>
      </c>
      <c r="H144" s="261" t="n">
        <v>0</v>
      </c>
      <c r="J144" s="261" t="s">
        <v>135</v>
      </c>
      <c r="K144" s="261" t="n">
        <v>33.0951598382765</v>
      </c>
      <c r="L144" s="261" t="n">
        <v>0</v>
      </c>
      <c r="M144" s="261" t="n">
        <v>32.7258026369156</v>
      </c>
    </row>
    <row r="145" customFormat="false" ht="12.75" hidden="false" customHeight="false" outlineLevel="0" collapsed="false">
      <c r="B145" s="261" t="n">
        <v>-237.478039979773</v>
      </c>
      <c r="C145" s="261" t="n">
        <v>-95.8113733131058</v>
      </c>
      <c r="D145" s="261" t="n">
        <v>0</v>
      </c>
      <c r="E145" s="261" t="n">
        <v>0</v>
      </c>
      <c r="F145" s="261" t="n">
        <v>-141.666666666667</v>
      </c>
      <c r="G145" s="261" t="n">
        <v>0</v>
      </c>
      <c r="H145" s="261" t="n">
        <v>0</v>
      </c>
      <c r="J145" s="261" t="s">
        <v>18</v>
      </c>
      <c r="K145" s="261" t="n">
        <v>47.9851765689171</v>
      </c>
      <c r="L145" s="261" t="n">
        <v>7.31517656891713</v>
      </c>
      <c r="M145" s="261" t="n">
        <v>45.7792705038319</v>
      </c>
    </row>
    <row r="178" customFormat="false" ht="12.75" hidden="false" customHeight="false" outlineLevel="0" collapsed="false">
      <c r="D178" s="409" t="s">
        <v>131</v>
      </c>
      <c r="E178" s="410" t="s">
        <v>216</v>
      </c>
      <c r="F178" s="411"/>
      <c r="G178" s="412" t="s">
        <v>217</v>
      </c>
      <c r="H178" s="411"/>
      <c r="I178" s="409" t="s">
        <v>134</v>
      </c>
      <c r="J178" s="410" t="s">
        <v>216</v>
      </c>
      <c r="K178" s="411"/>
      <c r="L178" s="412" t="s">
        <v>217</v>
      </c>
      <c r="M178" s="411"/>
      <c r="N178" s="409" t="s">
        <v>139</v>
      </c>
      <c r="O178" s="410" t="s">
        <v>216</v>
      </c>
      <c r="P178" s="411"/>
      <c r="Q178" s="412" t="s">
        <v>217</v>
      </c>
      <c r="R178" s="411"/>
    </row>
    <row r="179" customFormat="false" ht="12.75" hidden="false" customHeight="false" outlineLevel="0" collapsed="false">
      <c r="D179" s="323"/>
      <c r="E179" s="414"/>
      <c r="F179" s="416" t="n">
        <f aca="false">+E65*F65</f>
        <v>0</v>
      </c>
      <c r="G179" s="414"/>
      <c r="H179" s="416" t="n">
        <f aca="false">G65*H65</f>
        <v>0</v>
      </c>
      <c r="I179" s="323"/>
      <c r="J179" s="414"/>
      <c r="K179" s="416" t="n">
        <f aca="false">+J65*K65</f>
        <v>0</v>
      </c>
      <c r="L179" s="414"/>
      <c r="M179" s="416" t="n">
        <f aca="false">+L65*M65</f>
        <v>0</v>
      </c>
      <c r="N179" s="323"/>
      <c r="O179" s="414"/>
      <c r="P179" s="416" t="n">
        <f aca="false">+O65*P65</f>
        <v>0</v>
      </c>
      <c r="Q179" s="414"/>
      <c r="R179" s="416" t="n">
        <f aca="false">+Q65*R65</f>
        <v>0</v>
      </c>
    </row>
    <row r="180" customFormat="false" ht="12.75" hidden="false" customHeight="false" outlineLevel="0" collapsed="false">
      <c r="D180" s="323"/>
      <c r="E180" s="414"/>
      <c r="F180" s="416" t="n">
        <f aca="false">+E66*F66</f>
        <v>0</v>
      </c>
      <c r="G180" s="414"/>
      <c r="H180" s="416" t="n">
        <f aca="false">+G66*H66</f>
        <v>0</v>
      </c>
      <c r="I180" s="323"/>
      <c r="J180" s="414"/>
      <c r="K180" s="416" t="n">
        <f aca="false">+J66*K66</f>
        <v>0</v>
      </c>
      <c r="L180" s="414"/>
      <c r="M180" s="416" t="n">
        <f aca="false">+L66*M66</f>
        <v>0</v>
      </c>
      <c r="N180" s="323"/>
      <c r="O180" s="414"/>
      <c r="P180" s="416" t="n">
        <f aca="false">+O66*P66</f>
        <v>0</v>
      </c>
      <c r="Q180" s="414"/>
      <c r="R180" s="416" t="n">
        <f aca="false">+Q66*R66</f>
        <v>0</v>
      </c>
    </row>
    <row r="181" customFormat="false" ht="12.75" hidden="false" customHeight="false" outlineLevel="0" collapsed="false">
      <c r="D181" s="323"/>
      <c r="E181" s="414"/>
      <c r="F181" s="416" t="n">
        <f aca="false">+E67*F67</f>
        <v>0</v>
      </c>
      <c r="G181" s="414"/>
      <c r="H181" s="416" t="n">
        <f aca="false">+G67*H67</f>
        <v>0</v>
      </c>
      <c r="I181" s="323"/>
      <c r="J181" s="414"/>
      <c r="K181" s="416" t="n">
        <f aca="false">+J67*K67</f>
        <v>0</v>
      </c>
      <c r="L181" s="414"/>
      <c r="M181" s="416" t="n">
        <f aca="false">+L67*M67</f>
        <v>0</v>
      </c>
      <c r="N181" s="323"/>
      <c r="O181" s="414"/>
      <c r="P181" s="416" t="n">
        <f aca="false">+O67*P67</f>
        <v>0</v>
      </c>
      <c r="Q181" s="414"/>
      <c r="R181" s="416" t="n">
        <f aca="false">+Q67*R67</f>
        <v>0</v>
      </c>
    </row>
    <row r="182" customFormat="false" ht="12.75" hidden="false" customHeight="false" outlineLevel="0" collapsed="false">
      <c r="D182" s="323"/>
      <c r="E182" s="414"/>
      <c r="F182" s="416" t="n">
        <f aca="false">+E68*F68</f>
        <v>0</v>
      </c>
      <c r="G182" s="414"/>
      <c r="H182" s="416" t="n">
        <f aca="false">+G68*H68</f>
        <v>0</v>
      </c>
      <c r="I182" s="323"/>
      <c r="J182" s="414"/>
      <c r="K182" s="416" t="n">
        <f aca="false">+J68*K68</f>
        <v>0</v>
      </c>
      <c r="L182" s="414"/>
      <c r="M182" s="416" t="n">
        <f aca="false">+L68*M68</f>
        <v>0</v>
      </c>
      <c r="N182" s="323"/>
      <c r="O182" s="414"/>
      <c r="P182" s="416" t="n">
        <f aca="false">+O68*P68</f>
        <v>0</v>
      </c>
      <c r="Q182" s="414"/>
      <c r="R182" s="416" t="n">
        <f aca="false">+Q68*R68</f>
        <v>0</v>
      </c>
    </row>
    <row r="183" customFormat="false" ht="12.75" hidden="false" customHeight="false" outlineLevel="0" collapsed="false">
      <c r="D183" s="323"/>
      <c r="E183" s="414"/>
      <c r="F183" s="416" t="n">
        <f aca="false">+E69*F69</f>
        <v>0</v>
      </c>
      <c r="G183" s="414"/>
      <c r="H183" s="416" t="n">
        <f aca="false">+G69*H69</f>
        <v>0</v>
      </c>
      <c r="I183" s="323"/>
      <c r="J183" s="414"/>
      <c r="K183" s="416" t="n">
        <f aca="false">+J69*K69</f>
        <v>0</v>
      </c>
      <c r="L183" s="414"/>
      <c r="M183" s="416" t="n">
        <f aca="false">+L69*M69</f>
        <v>0</v>
      </c>
      <c r="N183" s="323"/>
      <c r="O183" s="414"/>
      <c r="P183" s="416" t="n">
        <f aca="false">+O69*P69</f>
        <v>0</v>
      </c>
      <c r="Q183" s="414"/>
      <c r="R183" s="416" t="n">
        <f aca="false">+Q69*R69</f>
        <v>0</v>
      </c>
    </row>
    <row r="184" customFormat="false" ht="12.75" hidden="false" customHeight="false" outlineLevel="0" collapsed="false">
      <c r="D184" s="323"/>
      <c r="E184" s="414"/>
      <c r="F184" s="416" t="n">
        <f aca="false">+E70*F70</f>
        <v>0</v>
      </c>
      <c r="G184" s="414"/>
      <c r="H184" s="416" t="n">
        <f aca="false">+G70*H70</f>
        <v>0</v>
      </c>
      <c r="I184" s="323"/>
      <c r="J184" s="414"/>
      <c r="K184" s="416" t="n">
        <f aca="false">+J70*K70</f>
        <v>0</v>
      </c>
      <c r="L184" s="414"/>
      <c r="M184" s="416" t="n">
        <f aca="false">+L70*M70</f>
        <v>0</v>
      </c>
      <c r="N184" s="323"/>
      <c r="O184" s="414"/>
      <c r="P184" s="416" t="n">
        <f aca="false">+O70*P70</f>
        <v>0</v>
      </c>
      <c r="Q184" s="414"/>
      <c r="R184" s="416" t="n">
        <f aca="false">+Q70*R70</f>
        <v>0</v>
      </c>
    </row>
    <row r="185" customFormat="false" ht="12.75" hidden="false" customHeight="false" outlineLevel="0" collapsed="false">
      <c r="D185" s="323"/>
      <c r="E185" s="414"/>
      <c r="F185" s="416" t="n">
        <f aca="false">+E71*F71</f>
        <v>0</v>
      </c>
      <c r="G185" s="414"/>
      <c r="H185" s="416" t="n">
        <f aca="false">+G71*H71</f>
        <v>0</v>
      </c>
      <c r="I185" s="323"/>
      <c r="J185" s="414"/>
      <c r="K185" s="416" t="n">
        <f aca="false">+J71*K71</f>
        <v>0</v>
      </c>
      <c r="L185" s="414"/>
      <c r="M185" s="416" t="n">
        <f aca="false">+L71*M71</f>
        <v>0</v>
      </c>
      <c r="N185" s="323"/>
      <c r="O185" s="414"/>
      <c r="P185" s="416" t="n">
        <f aca="false">+O71*P71</f>
        <v>0</v>
      </c>
      <c r="Q185" s="414"/>
      <c r="R185" s="416" t="n">
        <f aca="false">+Q71*R71</f>
        <v>0</v>
      </c>
    </row>
    <row r="186" customFormat="false" ht="12.75" hidden="false" customHeight="false" outlineLevel="0" collapsed="false">
      <c r="E186" s="414"/>
      <c r="F186" s="416" t="n">
        <f aca="false">+E72*F72</f>
        <v>0</v>
      </c>
      <c r="G186" s="414"/>
      <c r="H186" s="416" t="n">
        <f aca="false">+G72*H72</f>
        <v>0</v>
      </c>
      <c r="J186" s="414"/>
      <c r="K186" s="416" t="n">
        <f aca="false">+J72*K72</f>
        <v>0</v>
      </c>
      <c r="L186" s="414"/>
      <c r="M186" s="416" t="n">
        <f aca="false">+L72*M72</f>
        <v>0</v>
      </c>
      <c r="O186" s="414"/>
      <c r="P186" s="416" t="n">
        <f aca="false">+O72*P72</f>
        <v>0</v>
      </c>
      <c r="Q186" s="414"/>
      <c r="R186" s="416" t="n">
        <f aca="false">+Q72*R72</f>
        <v>0</v>
      </c>
    </row>
    <row r="187" customFormat="false" ht="12.75" hidden="false" customHeight="false" outlineLevel="0" collapsed="false">
      <c r="E187" s="414"/>
      <c r="F187" s="416" t="n">
        <f aca="false">+E73*F73</f>
        <v>0</v>
      </c>
      <c r="G187" s="414"/>
      <c r="H187" s="416" t="n">
        <f aca="false">+G73*H73</f>
        <v>0</v>
      </c>
      <c r="J187" s="414"/>
      <c r="K187" s="416" t="n">
        <f aca="false">+J73*K73</f>
        <v>0</v>
      </c>
      <c r="L187" s="414"/>
      <c r="M187" s="416" t="n">
        <f aca="false">+L73*M73</f>
        <v>0</v>
      </c>
      <c r="O187" s="414"/>
      <c r="P187" s="416" t="n">
        <f aca="false">+O73*P73</f>
        <v>0</v>
      </c>
      <c r="Q187" s="414"/>
      <c r="R187" s="416" t="n">
        <f aca="false">+Q73*R73</f>
        <v>0</v>
      </c>
    </row>
    <row r="188" customFormat="false" ht="12.75" hidden="false" customHeight="false" outlineLevel="0" collapsed="false">
      <c r="E188" s="414"/>
      <c r="F188" s="416" t="n">
        <f aca="false">+E74*F74</f>
        <v>0</v>
      </c>
      <c r="G188" s="414"/>
      <c r="H188" s="416" t="n">
        <f aca="false">+G74*H74</f>
        <v>0</v>
      </c>
      <c r="J188" s="414"/>
      <c r="K188" s="416" t="n">
        <f aca="false">+J74*K74</f>
        <v>0</v>
      </c>
      <c r="L188" s="414"/>
      <c r="M188" s="416" t="n">
        <f aca="false">+L74*M74</f>
        <v>0</v>
      </c>
      <c r="O188" s="414"/>
      <c r="P188" s="416" t="n">
        <f aca="false">+O74*P74</f>
        <v>0</v>
      </c>
      <c r="Q188" s="414"/>
      <c r="R188" s="416" t="n">
        <f aca="false">+Q74*R74</f>
        <v>0</v>
      </c>
    </row>
    <row r="189" customFormat="false" ht="12.75" hidden="false" customHeight="false" outlineLevel="0" collapsed="false">
      <c r="E189" s="414"/>
      <c r="F189" s="416" t="n">
        <f aca="false">+E75*F75</f>
        <v>0</v>
      </c>
      <c r="G189" s="414"/>
      <c r="H189" s="416" t="n">
        <f aca="false">+G75*H75</f>
        <v>0</v>
      </c>
      <c r="J189" s="414"/>
      <c r="K189" s="416" t="n">
        <f aca="false">+J75*K75</f>
        <v>0</v>
      </c>
      <c r="L189" s="414"/>
      <c r="M189" s="416" t="n">
        <f aca="false">+L75*M75</f>
        <v>0</v>
      </c>
      <c r="O189" s="414"/>
      <c r="P189" s="416" t="n">
        <f aca="false">+O75*P75</f>
        <v>0</v>
      </c>
      <c r="Q189" s="414"/>
      <c r="R189" s="416" t="n">
        <f aca="false">+Q75*R75</f>
        <v>0</v>
      </c>
    </row>
    <row r="190" customFormat="false" ht="12.75" hidden="false" customHeight="false" outlineLevel="0" collapsed="false">
      <c r="D190" s="341" t="s">
        <v>10</v>
      </c>
      <c r="E190" s="414"/>
      <c r="F190" s="416" t="n">
        <f aca="false">+E76*F76</f>
        <v>0</v>
      </c>
      <c r="G190" s="414"/>
      <c r="H190" s="416" t="n">
        <f aca="false">+G76*H76</f>
        <v>0</v>
      </c>
      <c r="I190" s="341" t="s">
        <v>10</v>
      </c>
      <c r="J190" s="414"/>
      <c r="K190" s="416" t="n">
        <f aca="false">+J76*K76</f>
        <v>0</v>
      </c>
      <c r="L190" s="414"/>
      <c r="M190" s="416" t="n">
        <f aca="false">+L76*M76</f>
        <v>0</v>
      </c>
      <c r="N190" s="341" t="s">
        <v>10</v>
      </c>
      <c r="O190" s="414"/>
      <c r="P190" s="416" t="n">
        <f aca="false">+O76*P76</f>
        <v>0</v>
      </c>
      <c r="Q190" s="414"/>
      <c r="R190" s="416" t="n">
        <f aca="false">+Q76*R76</f>
        <v>0</v>
      </c>
    </row>
    <row r="191" customFormat="false" ht="12.75" hidden="false" customHeight="false" outlineLevel="0" collapsed="false">
      <c r="D191" s="422" t="n">
        <f aca="false">+E191+G191</f>
        <v>0</v>
      </c>
      <c r="E191" s="438" t="n">
        <f aca="false">(+F191*30)/E77</f>
        <v>0</v>
      </c>
      <c r="F191" s="425" t="n">
        <f aca="false">SUM(F179:F190)</f>
        <v>0</v>
      </c>
      <c r="G191" s="438" t="n">
        <f aca="false">(+H191*30)/G77</f>
        <v>0</v>
      </c>
      <c r="H191" s="425" t="n">
        <f aca="false">SUM(H179:H190)</f>
        <v>0</v>
      </c>
      <c r="I191" s="422" t="n">
        <f aca="false">+J191+L191</f>
        <v>0</v>
      </c>
      <c r="J191" s="438" t="n">
        <f aca="false">(+K191*31)/J77</f>
        <v>0</v>
      </c>
      <c r="K191" s="425" t="n">
        <f aca="false">SUM(K179:K190)</f>
        <v>0</v>
      </c>
      <c r="L191" s="438" t="n">
        <f aca="false">(+M191*31)/L77</f>
        <v>0</v>
      </c>
      <c r="M191" s="425" t="n">
        <f aca="false">SUM(M179:M190)</f>
        <v>0</v>
      </c>
      <c r="N191" s="422" t="n">
        <f aca="false">+O191+Q191</f>
        <v>0</v>
      </c>
      <c r="O191" s="438" t="n">
        <f aca="false">(+P191*31)/O77</f>
        <v>0</v>
      </c>
      <c r="P191" s="425" t="n">
        <f aca="false">SUM(P179:P190)</f>
        <v>0</v>
      </c>
      <c r="Q191" s="438" t="n">
        <f aca="false">(+R191*31)/Q77</f>
        <v>0</v>
      </c>
      <c r="R191" s="425" t="n">
        <f aca="false">SUM(R179:R190)</f>
        <v>0</v>
      </c>
    </row>
    <row r="192" customFormat="false" ht="12.75" hidden="false" customHeight="false" outlineLevel="0" collapsed="false">
      <c r="E192" s="287"/>
      <c r="F192" s="287"/>
      <c r="G192" s="287"/>
      <c r="H192" s="287"/>
      <c r="J192" s="287"/>
      <c r="K192" s="287"/>
      <c r="L192" s="287"/>
      <c r="M192" s="287"/>
      <c r="O192" s="287"/>
      <c r="P192" s="287"/>
      <c r="Q192" s="287"/>
      <c r="R192" s="287"/>
    </row>
    <row r="193" customFormat="false" ht="12.75" hidden="false" customHeight="false" outlineLevel="0" collapsed="false">
      <c r="D193" s="409" t="s">
        <v>231</v>
      </c>
      <c r="E193" s="410" t="s">
        <v>216</v>
      </c>
      <c r="F193" s="411"/>
      <c r="G193" s="412" t="s">
        <v>217</v>
      </c>
      <c r="H193" s="411"/>
      <c r="I193" s="409" t="s">
        <v>247</v>
      </c>
      <c r="J193" s="410" t="s">
        <v>216</v>
      </c>
      <c r="K193" s="411"/>
      <c r="L193" s="412" t="s">
        <v>217</v>
      </c>
      <c r="M193" s="411"/>
      <c r="N193" s="409" t="s">
        <v>134</v>
      </c>
      <c r="O193" s="410" t="s">
        <v>216</v>
      </c>
      <c r="P193" s="411"/>
      <c r="Q193" s="412" t="s">
        <v>217</v>
      </c>
      <c r="R193" s="411"/>
    </row>
    <row r="194" customFormat="false" ht="12.75" hidden="false" customHeight="false" outlineLevel="0" collapsed="false">
      <c r="D194" s="323"/>
      <c r="E194" s="414"/>
      <c r="F194" s="416" t="n">
        <f aca="false">+E83*F83</f>
        <v>0</v>
      </c>
      <c r="G194" s="414"/>
      <c r="H194" s="416" t="n">
        <f aca="false">+G83*H83</f>
        <v>0</v>
      </c>
      <c r="I194" s="323"/>
      <c r="J194" s="414"/>
      <c r="K194" s="416" t="n">
        <f aca="false">+J83*K83</f>
        <v>0</v>
      </c>
      <c r="L194" s="414"/>
      <c r="M194" s="416" t="n">
        <f aca="false">+L83*M83</f>
        <v>-3.07</v>
      </c>
      <c r="N194" s="323"/>
      <c r="O194" s="414"/>
      <c r="P194" s="416" t="n">
        <f aca="false">+O83*P83</f>
        <v>0</v>
      </c>
      <c r="Q194" s="414"/>
      <c r="R194" s="416" t="n">
        <f aca="false">+Q83*R83</f>
        <v>0</v>
      </c>
    </row>
    <row r="195" customFormat="false" ht="12.75" hidden="false" customHeight="false" outlineLevel="0" collapsed="false">
      <c r="D195" s="323"/>
      <c r="E195" s="414"/>
      <c r="F195" s="416" t="n">
        <f aca="false">+E84*F84</f>
        <v>0</v>
      </c>
      <c r="G195" s="414"/>
      <c r="H195" s="416" t="n">
        <f aca="false">+G84*H84</f>
        <v>0</v>
      </c>
      <c r="I195" s="323"/>
      <c r="J195" s="414"/>
      <c r="K195" s="416" t="n">
        <f aca="false">+J84*K84</f>
        <v>0</v>
      </c>
      <c r="L195" s="414"/>
      <c r="M195" s="416" t="n">
        <f aca="false">+L84*M84</f>
        <v>-1.56</v>
      </c>
      <c r="N195" s="323"/>
      <c r="O195" s="414"/>
      <c r="P195" s="416" t="n">
        <f aca="false">+O84*P84</f>
        <v>0</v>
      </c>
      <c r="Q195" s="414"/>
      <c r="R195" s="416" t="n">
        <f aca="false">+Q84*R84</f>
        <v>0</v>
      </c>
    </row>
    <row r="196" customFormat="false" ht="12.75" hidden="false" customHeight="false" outlineLevel="0" collapsed="false">
      <c r="D196" s="323"/>
      <c r="E196" s="414"/>
      <c r="F196" s="416" t="n">
        <f aca="false">+E85*F85</f>
        <v>0</v>
      </c>
      <c r="G196" s="414"/>
      <c r="H196" s="416" t="n">
        <f aca="false">+G85*H85</f>
        <v>0</v>
      </c>
      <c r="I196" s="323"/>
      <c r="J196" s="414"/>
      <c r="K196" s="416" t="n">
        <f aca="false">+J85*K85</f>
        <v>0</v>
      </c>
      <c r="L196" s="414"/>
      <c r="M196" s="416" t="n">
        <f aca="false">+L85*M85</f>
        <v>0</v>
      </c>
      <c r="N196" s="323"/>
      <c r="O196" s="414"/>
      <c r="P196" s="416" t="n">
        <f aca="false">+O85*P85</f>
        <v>0</v>
      </c>
      <c r="Q196" s="414"/>
      <c r="R196" s="416" t="n">
        <f aca="false">+Q85*R85</f>
        <v>0</v>
      </c>
    </row>
    <row r="197" customFormat="false" ht="12.75" hidden="false" customHeight="false" outlineLevel="0" collapsed="false">
      <c r="D197" s="323"/>
      <c r="E197" s="414"/>
      <c r="F197" s="416" t="n">
        <f aca="false">+E86*F86</f>
        <v>0</v>
      </c>
      <c r="G197" s="414"/>
      <c r="H197" s="416" t="n">
        <f aca="false">+G86*H86</f>
        <v>0</v>
      </c>
      <c r="I197" s="323"/>
      <c r="J197" s="414"/>
      <c r="K197" s="416" t="n">
        <f aca="false">+J86*K86</f>
        <v>0</v>
      </c>
      <c r="L197" s="414"/>
      <c r="M197" s="416" t="n">
        <f aca="false">+L86*M86</f>
        <v>0</v>
      </c>
      <c r="N197" s="323"/>
      <c r="O197" s="414"/>
      <c r="P197" s="416" t="n">
        <f aca="false">+O86*P86</f>
        <v>0</v>
      </c>
      <c r="Q197" s="414"/>
      <c r="R197" s="416" t="n">
        <f aca="false">+Q86*R86</f>
        <v>0</v>
      </c>
    </row>
    <row r="198" customFormat="false" ht="12.75" hidden="false" customHeight="false" outlineLevel="0" collapsed="false">
      <c r="D198" s="323"/>
      <c r="E198" s="414"/>
      <c r="F198" s="416" t="n">
        <f aca="false">+E87*F87</f>
        <v>0</v>
      </c>
      <c r="G198" s="414"/>
      <c r="H198" s="416" t="n">
        <f aca="false">+G87*H87</f>
        <v>0</v>
      </c>
      <c r="I198" s="323"/>
      <c r="J198" s="414"/>
      <c r="K198" s="416" t="n">
        <f aca="false">+J87*K87</f>
        <v>0</v>
      </c>
      <c r="L198" s="414"/>
      <c r="M198" s="416" t="n">
        <f aca="false">+L87*M87</f>
        <v>0</v>
      </c>
      <c r="N198" s="323"/>
      <c r="O198" s="414"/>
      <c r="P198" s="416" t="n">
        <f aca="false">+O87*P87</f>
        <v>0</v>
      </c>
      <c r="Q198" s="414"/>
      <c r="R198" s="416" t="n">
        <f aca="false">+Q87*R87</f>
        <v>0</v>
      </c>
    </row>
    <row r="199" customFormat="false" ht="12.75" hidden="false" customHeight="false" outlineLevel="0" collapsed="false">
      <c r="D199" s="323"/>
      <c r="E199" s="414"/>
      <c r="F199" s="416" t="n">
        <f aca="false">+E88*F88</f>
        <v>0</v>
      </c>
      <c r="G199" s="414"/>
      <c r="H199" s="416" t="n">
        <f aca="false">+G88*H88</f>
        <v>0</v>
      </c>
      <c r="I199" s="323"/>
      <c r="J199" s="414"/>
      <c r="K199" s="416" t="n">
        <f aca="false">+J88*K88</f>
        <v>0</v>
      </c>
      <c r="L199" s="414"/>
      <c r="M199" s="416" t="n">
        <f aca="false">+L88*M88</f>
        <v>0</v>
      </c>
      <c r="N199" s="323"/>
      <c r="O199" s="414"/>
      <c r="P199" s="416" t="n">
        <f aca="false">+O88*P88</f>
        <v>0</v>
      </c>
      <c r="Q199" s="414"/>
      <c r="R199" s="416" t="n">
        <f aca="false">+Q88*R88</f>
        <v>0</v>
      </c>
    </row>
    <row r="200" customFormat="false" ht="12.75" hidden="false" customHeight="false" outlineLevel="0" collapsed="false">
      <c r="D200" s="323"/>
      <c r="E200" s="414"/>
      <c r="F200" s="416" t="n">
        <f aca="false">+E89*F89</f>
        <v>0</v>
      </c>
      <c r="G200" s="414"/>
      <c r="H200" s="416" t="n">
        <f aca="false">+G89*H89</f>
        <v>0</v>
      </c>
      <c r="I200" s="323"/>
      <c r="J200" s="414"/>
      <c r="K200" s="416" t="n">
        <f aca="false">+J89*K89</f>
        <v>0</v>
      </c>
      <c r="L200" s="414"/>
      <c r="M200" s="416" t="n">
        <f aca="false">+L89*M89</f>
        <v>0</v>
      </c>
      <c r="N200" s="323"/>
      <c r="O200" s="414"/>
      <c r="P200" s="416" t="n">
        <f aca="false">+O89*P89</f>
        <v>0</v>
      </c>
      <c r="Q200" s="414"/>
      <c r="R200" s="416" t="n">
        <f aca="false">+Q89*R89</f>
        <v>0</v>
      </c>
    </row>
    <row r="201" customFormat="false" ht="12.75" hidden="false" customHeight="false" outlineLevel="0" collapsed="false">
      <c r="E201" s="414"/>
      <c r="F201" s="416" t="n">
        <f aca="false">+E90*F90</f>
        <v>0</v>
      </c>
      <c r="G201" s="414"/>
      <c r="H201" s="416" t="n">
        <f aca="false">+G90*H90</f>
        <v>0</v>
      </c>
      <c r="J201" s="414"/>
      <c r="K201" s="416" t="n">
        <f aca="false">+J90*K90</f>
        <v>0</v>
      </c>
      <c r="L201" s="414"/>
      <c r="M201" s="416" t="n">
        <f aca="false">+L90*M90</f>
        <v>0</v>
      </c>
      <c r="O201" s="414"/>
      <c r="P201" s="416" t="n">
        <f aca="false">+O90*P90</f>
        <v>0</v>
      </c>
      <c r="Q201" s="414"/>
      <c r="R201" s="416" t="n">
        <f aca="false">+Q90*R90</f>
        <v>0</v>
      </c>
    </row>
    <row r="202" customFormat="false" ht="12.75" hidden="false" customHeight="false" outlineLevel="0" collapsed="false">
      <c r="E202" s="414"/>
      <c r="F202" s="416" t="n">
        <f aca="false">+E91*F91</f>
        <v>0</v>
      </c>
      <c r="G202" s="414"/>
      <c r="H202" s="416" t="n">
        <f aca="false">+G91*H91</f>
        <v>0</v>
      </c>
      <c r="J202" s="414"/>
      <c r="K202" s="416" t="n">
        <f aca="false">+J91*K91</f>
        <v>0</v>
      </c>
      <c r="L202" s="414"/>
      <c r="M202" s="416" t="n">
        <f aca="false">+L91*M91</f>
        <v>0</v>
      </c>
      <c r="O202" s="414"/>
      <c r="P202" s="416" t="n">
        <f aca="false">+O91*P91</f>
        <v>0</v>
      </c>
      <c r="Q202" s="414"/>
      <c r="R202" s="416" t="n">
        <f aca="false">+Q91*R91</f>
        <v>0</v>
      </c>
    </row>
    <row r="203" customFormat="false" ht="12.75" hidden="false" customHeight="false" outlineLevel="0" collapsed="false">
      <c r="E203" s="414"/>
      <c r="F203" s="416" t="n">
        <f aca="false">+E92*F92</f>
        <v>0</v>
      </c>
      <c r="G203" s="414"/>
      <c r="H203" s="416" t="n">
        <f aca="false">+G92*H92</f>
        <v>0</v>
      </c>
      <c r="J203" s="414"/>
      <c r="K203" s="416" t="n">
        <f aca="false">+J92*K92</f>
        <v>0</v>
      </c>
      <c r="L203" s="414"/>
      <c r="M203" s="416" t="n">
        <f aca="false">+L92*M92</f>
        <v>0</v>
      </c>
      <c r="O203" s="414"/>
      <c r="P203" s="416" t="n">
        <f aca="false">+O92*P92</f>
        <v>0</v>
      </c>
      <c r="Q203" s="414"/>
      <c r="R203" s="416" t="n">
        <f aca="false">+Q92*R92</f>
        <v>0</v>
      </c>
    </row>
    <row r="204" customFormat="false" ht="12.75" hidden="false" customHeight="false" outlineLevel="0" collapsed="false">
      <c r="E204" s="414"/>
      <c r="F204" s="416" t="n">
        <f aca="false">+E93*F93</f>
        <v>0</v>
      </c>
      <c r="G204" s="414"/>
      <c r="H204" s="416" t="n">
        <f aca="false">+G93*H93</f>
        <v>0</v>
      </c>
      <c r="J204" s="414"/>
      <c r="K204" s="416" t="n">
        <f aca="false">+J93*K93</f>
        <v>0</v>
      </c>
      <c r="L204" s="414"/>
      <c r="M204" s="416" t="n">
        <f aca="false">+L93*M93</f>
        <v>0</v>
      </c>
      <c r="O204" s="414"/>
      <c r="P204" s="416" t="n">
        <f aca="false">+O93*P93</f>
        <v>0</v>
      </c>
      <c r="Q204" s="414"/>
      <c r="R204" s="416" t="n">
        <f aca="false">+Q93*R93</f>
        <v>0</v>
      </c>
    </row>
    <row r="205" customFormat="false" ht="12.75" hidden="false" customHeight="false" outlineLevel="0" collapsed="false">
      <c r="D205" s="341" t="s">
        <v>10</v>
      </c>
      <c r="E205" s="414"/>
      <c r="F205" s="416" t="n">
        <f aca="false">+E94*F94</f>
        <v>0</v>
      </c>
      <c r="G205" s="414"/>
      <c r="H205" s="416" t="n">
        <f aca="false">+G94*H94</f>
        <v>0</v>
      </c>
      <c r="I205" s="341" t="s">
        <v>10</v>
      </c>
      <c r="J205" s="414"/>
      <c r="K205" s="416" t="n">
        <f aca="false">+J94*K94</f>
        <v>0</v>
      </c>
      <c r="L205" s="414"/>
      <c r="M205" s="416" t="n">
        <f aca="false">+L94*M94</f>
        <v>0</v>
      </c>
      <c r="N205" s="341" t="s">
        <v>10</v>
      </c>
      <c r="O205" s="414"/>
      <c r="P205" s="416" t="n">
        <f aca="false">+O94*P94</f>
        <v>0</v>
      </c>
      <c r="Q205" s="414"/>
      <c r="R205" s="416" t="n">
        <f aca="false">+Q94*R94</f>
        <v>0</v>
      </c>
    </row>
    <row r="206" customFormat="false" ht="12.75" hidden="false" customHeight="false" outlineLevel="0" collapsed="false">
      <c r="D206" s="422" t="n">
        <f aca="false">+E206+G206</f>
        <v>0</v>
      </c>
      <c r="E206" s="438" t="n">
        <f aca="false">(+F206*151)/E95</f>
        <v>0</v>
      </c>
      <c r="F206" s="425" t="n">
        <f aca="false">SUM(F194:F205)</f>
        <v>0</v>
      </c>
      <c r="G206" s="438" t="n">
        <f aca="false">(+H206*151)/G95</f>
        <v>0</v>
      </c>
      <c r="H206" s="425" t="n">
        <f aca="false">SUM(H194:H205)</f>
        <v>0</v>
      </c>
      <c r="I206" s="422" t="n">
        <f aca="false">+J206+L206</f>
        <v>3.08666666666668</v>
      </c>
      <c r="J206" s="438" t="n">
        <f aca="false">(+K206*200)/J95</f>
        <v>0</v>
      </c>
      <c r="K206" s="425" t="n">
        <f aca="false">SUM(K194:K205)</f>
        <v>0</v>
      </c>
      <c r="L206" s="438" t="n">
        <f aca="false">(+M206*200)/L95</f>
        <v>3.08666666666668</v>
      </c>
      <c r="M206" s="425" t="n">
        <f aca="false">SUM(M194:M205)</f>
        <v>-4.63</v>
      </c>
      <c r="N206" s="422" t="n">
        <f aca="false">+O206+Q206</f>
        <v>0</v>
      </c>
      <c r="O206" s="438" t="n">
        <f aca="false">(+P206*31)/O95</f>
        <v>0</v>
      </c>
      <c r="P206" s="425" t="n">
        <f aca="false">SUM(P194:P205)</f>
        <v>0</v>
      </c>
      <c r="Q206" s="438" t="n">
        <f aca="false">(+R206*31)/Q95</f>
        <v>0</v>
      </c>
      <c r="R206" s="425" t="n">
        <f aca="false">SUM(R194:R205)</f>
        <v>0</v>
      </c>
    </row>
  </sheetData>
  <printOptions headings="false" gridLines="false" gridLinesSet="true" horizontalCentered="true" verticalCentered="true"/>
  <pageMargins left="0.747916666666667" right="0.747916666666667" top="0.2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9"/>
  <sheetViews>
    <sheetView showFormulas="false" showGridLines="true" showRowColHeaders="true" showZeros="true" rightToLeft="false" tabSelected="false" showOutlineSymbols="true" defaultGridColor="true" view="normal" topLeftCell="AJ10" colorId="64" zoomScale="75" zoomScaleNormal="75" zoomScalePageLayoutView="100" workbookViewId="0">
      <selection pane="topLeft" activeCell="AN26" activeCellId="0" sqref="AN26"/>
    </sheetView>
  </sheetViews>
  <sheetFormatPr defaultColWidth="9.13671875" defaultRowHeight="12.75" customHeight="true" zeroHeight="true" outlineLevelRow="0" outlineLevelCol="0"/>
  <cols>
    <col collapsed="false" customWidth="true" hidden="false" outlineLevel="0" max="1" min="1" style="439" width="18.7"/>
    <col collapsed="false" customWidth="true" hidden="false" outlineLevel="0" max="2" min="2" style="439" width="16.56"/>
    <col collapsed="false" customWidth="true" hidden="false" outlineLevel="0" max="3" min="3" style="439" width="13.28"/>
    <col collapsed="false" customWidth="true" hidden="false" outlineLevel="0" max="4" min="4" style="439" width="15.7"/>
    <col collapsed="false" customWidth="true" hidden="false" outlineLevel="0" max="6" min="5" style="439" width="13.85"/>
    <col collapsed="false" customWidth="true" hidden="false" outlineLevel="0" max="7" min="7" style="439" width="13.99"/>
    <col collapsed="false" customWidth="true" hidden="false" outlineLevel="0" max="8" min="8" style="439" width="14.28"/>
    <col collapsed="false" customWidth="true" hidden="false" outlineLevel="0" max="9" min="9" style="439" width="16.42"/>
    <col collapsed="false" customWidth="true" hidden="false" outlineLevel="0" max="10" min="10" style="439" width="15.7"/>
    <col collapsed="false" customWidth="true" hidden="false" outlineLevel="0" max="11" min="11" style="439" width="15.41"/>
    <col collapsed="false" customWidth="true" hidden="false" outlineLevel="0" max="12" min="12" style="439" width="15.28"/>
    <col collapsed="false" customWidth="true" hidden="false" outlineLevel="0" max="13" min="13" style="439" width="22.28"/>
    <col collapsed="false" customWidth="true" hidden="false" outlineLevel="0" max="14" min="14" style="439" width="14.99"/>
    <col collapsed="false" customWidth="true" hidden="false" outlineLevel="0" max="15" min="15" style="439" width="13.99"/>
    <col collapsed="false" customWidth="true" hidden="false" outlineLevel="0" max="17" min="16" style="439" width="15.41"/>
    <col collapsed="false" customWidth="true" hidden="false" outlineLevel="0" max="18" min="18" style="439" width="13.99"/>
    <col collapsed="false" customWidth="true" hidden="false" outlineLevel="0" max="19" min="19" style="439" width="14.85"/>
    <col collapsed="false" customWidth="true" hidden="true" outlineLevel="0" max="20" min="20" style="439" width="5.71"/>
    <col collapsed="false" customWidth="false" hidden="true" outlineLevel="0" max="21" min="21" style="439" width="9.14"/>
    <col collapsed="false" customWidth="true" hidden="false" outlineLevel="0" max="22" min="22" style="439" width="17.42"/>
    <col collapsed="false" customWidth="true" hidden="false" outlineLevel="0" max="23" min="23" style="439" width="14.85"/>
    <col collapsed="false" customWidth="true" hidden="false" outlineLevel="0" max="24" min="24" style="439" width="14.41"/>
    <col collapsed="false" customWidth="true" hidden="false" outlineLevel="0" max="25" min="25" style="439" width="13.99"/>
    <col collapsed="false" customWidth="true" hidden="false" outlineLevel="0" max="26" min="26" style="439" width="13.28"/>
    <col collapsed="false" customWidth="true" hidden="false" outlineLevel="0" max="27" min="27" style="439" width="13.99"/>
    <col collapsed="false" customWidth="true" hidden="false" outlineLevel="0" max="28" min="28" style="439" width="15.56"/>
    <col collapsed="false" customWidth="true" hidden="false" outlineLevel="0" max="29" min="29" style="439" width="14.99"/>
    <col collapsed="false" customWidth="true" hidden="false" outlineLevel="0" max="30" min="30" style="439" width="15.13"/>
    <col collapsed="false" customWidth="true" hidden="false" outlineLevel="0" max="31" min="31" style="439" width="14.99"/>
    <col collapsed="false" customWidth="true" hidden="false" outlineLevel="0" max="32" min="32" style="439" width="13.28"/>
    <col collapsed="false" customWidth="true" hidden="false" outlineLevel="0" max="33" min="33" style="439" width="10.41"/>
    <col collapsed="false" customWidth="false" hidden="false" outlineLevel="0" max="35" min="34" style="439" width="9.14"/>
    <col collapsed="false" customWidth="true" hidden="false" outlineLevel="0" max="36" min="36" style="439" width="10.85"/>
    <col collapsed="false" customWidth="true" hidden="false" outlineLevel="0" max="52" min="37" style="439" width="10.99"/>
    <col collapsed="false" customWidth="true" hidden="false" outlineLevel="0" max="53" min="53" style="439" width="9.41"/>
    <col collapsed="false" customWidth="true" hidden="false" outlineLevel="0" max="54" min="54" style="439" width="11.28"/>
    <col collapsed="false" customWidth="false" hidden="false" outlineLevel="0" max="55" min="55" style="439" width="9.14"/>
    <col collapsed="false" customWidth="true" hidden="false" outlineLevel="0" max="56" min="56" style="439" width="10.99"/>
    <col collapsed="false" customWidth="false" hidden="false" outlineLevel="0" max="57" min="57" style="439" width="9.14"/>
    <col collapsed="false" customWidth="true" hidden="false" outlineLevel="0" max="58" min="58" style="439" width="12.42"/>
    <col collapsed="false" customWidth="false" hidden="false" outlineLevel="0" max="59" min="59" style="439" width="9.14"/>
    <col collapsed="false" customWidth="true" hidden="false" outlineLevel="0" max="60" min="60" style="439" width="11.28"/>
    <col collapsed="false" customWidth="false" hidden="false" outlineLevel="0" max="61" min="61" style="439" width="9.14"/>
    <col collapsed="false" customWidth="true" hidden="false" outlineLevel="0" max="62" min="62" style="439" width="12.42"/>
    <col collapsed="false" customWidth="false" hidden="false" outlineLevel="0" max="63" min="63" style="439" width="9.14"/>
    <col collapsed="false" customWidth="true" hidden="false" outlineLevel="0" max="64" min="64" style="439" width="10.99"/>
    <col collapsed="false" customWidth="false" hidden="false" outlineLevel="0" max="65" min="65" style="439" width="9.14"/>
    <col collapsed="false" customWidth="true" hidden="false" outlineLevel="0" max="66" min="66" style="439" width="11.85"/>
    <col collapsed="false" customWidth="false" hidden="false" outlineLevel="0" max="67" min="67" style="439" width="9.14"/>
    <col collapsed="false" customWidth="true" hidden="false" outlineLevel="0" max="68" min="68" style="439" width="12.85"/>
    <col collapsed="false" customWidth="false" hidden="false" outlineLevel="0" max="69" min="69" style="439" width="9.14"/>
    <col collapsed="false" customWidth="true" hidden="false" outlineLevel="0" max="70" min="70" style="439" width="10.99"/>
    <col collapsed="false" customWidth="false" hidden="false" outlineLevel="0" max="71" min="71" style="439" width="9.14"/>
    <col collapsed="false" customWidth="true" hidden="false" outlineLevel="0" max="72" min="72" style="439" width="11.56"/>
    <col collapsed="false" customWidth="false" hidden="false" outlineLevel="0" max="73" min="73" style="439" width="9.14"/>
    <col collapsed="false" customWidth="true" hidden="false" outlineLevel="0" max="74" min="74" style="439" width="10.99"/>
    <col collapsed="false" customWidth="false" hidden="false" outlineLevel="0" max="75" min="75" style="439" width="9.14"/>
    <col collapsed="false" customWidth="true" hidden="false" outlineLevel="0" max="76" min="76" style="439" width="11.99"/>
    <col collapsed="false" customWidth="false" hidden="false" outlineLevel="0" max="80" min="77" style="439" width="9.14"/>
    <col collapsed="false" customWidth="true" hidden="false" outlineLevel="0" max="81" min="81" style="439" width="14.41"/>
    <col collapsed="false" customWidth="false" hidden="false" outlineLevel="0" max="82" min="82" style="439" width="9.14"/>
    <col collapsed="false" customWidth="true" hidden="false" outlineLevel="0" max="83" min="83" style="439" width="17.28"/>
    <col collapsed="false" customWidth="true" hidden="false" outlineLevel="0" max="84" min="84" style="439" width="11.56"/>
    <col collapsed="false" customWidth="true" hidden="false" outlineLevel="0" max="87" min="85" style="439" width="14.99"/>
    <col collapsed="false" customWidth="true" hidden="false" outlineLevel="0" max="88" min="88" style="439" width="15.56"/>
    <col collapsed="false" customWidth="false" hidden="false" outlineLevel="0" max="114" min="89" style="439" width="9.14"/>
    <col collapsed="false" customWidth="false" hidden="false" outlineLevel="0" max="117" min="115" style="440" width="9.14"/>
    <col collapsed="false" customWidth="false" hidden="false" outlineLevel="0" max="119" min="118" style="439" width="9.14"/>
    <col collapsed="false" customWidth="true" hidden="false" outlineLevel="0" max="120" min="120" style="439" width="9.7"/>
    <col collapsed="false" customWidth="false" hidden="false" outlineLevel="0" max="257" min="121" style="439" width="9.14"/>
  </cols>
  <sheetData>
    <row r="1" customFormat="false" ht="21" hidden="false" customHeight="false" outlineLevel="0" collapsed="false">
      <c r="A1" s="439" t="n">
        <f aca="false">+Master!IQ4</f>
        <v>0</v>
      </c>
      <c r="G1" s="441" t="s">
        <v>248</v>
      </c>
      <c r="O1" s="442"/>
      <c r="P1" s="443"/>
      <c r="Q1" s="442"/>
      <c r="R1" s="444" t="s">
        <v>133</v>
      </c>
      <c r="S1" s="444" t="s">
        <v>249</v>
      </c>
      <c r="T1" s="444"/>
      <c r="U1" s="444"/>
      <c r="V1" s="444" t="s">
        <v>250</v>
      </c>
      <c r="W1" s="444" t="s">
        <v>251</v>
      </c>
      <c r="DK1" s="439"/>
      <c r="DL1" s="439"/>
      <c r="DM1" s="439"/>
    </row>
    <row r="2" customFormat="false" ht="18.75" hidden="false" customHeight="false" outlineLevel="0" collapsed="false">
      <c r="A2" s="445" t="s">
        <v>252</v>
      </c>
      <c r="B2" s="302" t="n">
        <f aca="false">+Master!R5</f>
        <v>37141</v>
      </c>
      <c r="M2" s="0"/>
      <c r="N2" s="446"/>
      <c r="O2" s="442"/>
      <c r="P2" s="447"/>
      <c r="Q2" s="442" t="s">
        <v>134</v>
      </c>
      <c r="R2" s="448" t="n">
        <v>250</v>
      </c>
      <c r="S2" s="448" t="n">
        <v>1350</v>
      </c>
      <c r="T2" s="449"/>
      <c r="V2" s="448" t="n">
        <v>600</v>
      </c>
      <c r="W2" s="448" t="n">
        <v>400</v>
      </c>
      <c r="X2" s="444"/>
      <c r="DK2" s="439"/>
      <c r="DL2" s="439"/>
      <c r="DM2" s="439"/>
    </row>
    <row r="3" customFormat="false" ht="18.75" hidden="false" customHeight="false" outlineLevel="0" collapsed="false">
      <c r="A3" s="450"/>
      <c r="B3" s="451"/>
      <c r="F3" s="452"/>
      <c r="G3" s="453" t="s">
        <v>253</v>
      </c>
      <c r="H3" s="454" t="s">
        <v>171</v>
      </c>
      <c r="I3" s="454" t="s">
        <v>254</v>
      </c>
      <c r="J3" s="454" t="s">
        <v>255</v>
      </c>
      <c r="K3" s="455" t="s">
        <v>50</v>
      </c>
      <c r="N3" s="442"/>
      <c r="O3" s="443"/>
      <c r="P3" s="456" t="s">
        <v>256</v>
      </c>
      <c r="Q3" s="457" t="n">
        <f aca="false">AVERAGE(S14:S15)</f>
        <v>28.4583338782901</v>
      </c>
      <c r="R3" s="448"/>
      <c r="U3" s="448"/>
      <c r="V3" s="448"/>
      <c r="W3" s="458"/>
      <c r="DK3" s="439"/>
      <c r="DL3" s="439"/>
      <c r="DM3" s="439"/>
    </row>
    <row r="4" customFormat="false" ht="18" hidden="false" customHeight="false" outlineLevel="0" collapsed="false">
      <c r="A4" s="450"/>
      <c r="B4" s="459" t="str">
        <f aca="false">CONCATENATE("MWS"&amp;IF(MONTH(TradeDate)&lt;10,"0"&amp;MONTH(TradeDate),MONTH(TradeDate))&amp;IF(DAY(TradeDate)&lt;10,"0"&amp;DAY(TradeDate),DAY(TradeDate)))</f>
        <v>MWS0907</v>
      </c>
      <c r="F4" s="460" t="s">
        <v>176</v>
      </c>
      <c r="G4" s="461" t="n">
        <f aca="false">NYMEX!G4</f>
        <v>0</v>
      </c>
      <c r="H4" s="462" t="n">
        <f aca="false">+Master!B7</f>
        <v>0</v>
      </c>
      <c r="I4" s="462" t="n">
        <f aca="false">SUM([1]COMED!$T$3:$T$255)</f>
        <v>1850210.69869074</v>
      </c>
      <c r="J4" s="462" t="n">
        <f aca="false">SUM([1]Cinergy!$T$3:$T$255)+SUM([1]AEP!$T$3:$T$255)+SUM([1]Ameren!$S$3:$S$255)+SUM([1]Illinois!$S$3:$S$255+SUM([1]Manitoba!$T$3:$T$255)+SUM([1]NSP!$T$3:$T$255)+SUM([1]OPPD_NPPD!$T$3:$T$255))</f>
        <v>422208.942630485</v>
      </c>
      <c r="K4" s="462" t="n">
        <f aca="false">SUM(G4:J4)</f>
        <v>2272419.64132122</v>
      </c>
      <c r="L4" s="439" t="s">
        <v>60</v>
      </c>
      <c r="M4" s="450"/>
      <c r="N4" s="442"/>
      <c r="O4" s="463"/>
      <c r="P4" s="464" t="s">
        <v>257</v>
      </c>
      <c r="Q4" s="457" t="n">
        <f aca="false">AVERAGE(S16:S17)</f>
        <v>28.2932162596406</v>
      </c>
      <c r="R4" s="448"/>
      <c r="U4" s="448"/>
      <c r="V4" s="448"/>
      <c r="W4" s="458"/>
      <c r="DK4" s="439"/>
      <c r="DL4" s="439"/>
      <c r="DM4" s="439"/>
    </row>
    <row r="5" customFormat="false" ht="18.75" hidden="false" customHeight="false" outlineLevel="0" collapsed="false">
      <c r="A5" s="450" t="s">
        <v>60</v>
      </c>
      <c r="B5" s="451" t="n">
        <f aca="false">+Master!IR8</f>
        <v>0</v>
      </c>
      <c r="E5" s="450"/>
      <c r="F5" s="460" t="s">
        <v>95</v>
      </c>
      <c r="G5" s="461" t="n">
        <f aca="false">NYMEX!G5</f>
        <v>0</v>
      </c>
      <c r="H5" s="462"/>
      <c r="I5" s="462" t="n">
        <f aca="false">SUM(K56:K94)</f>
        <v>1826.30045739593</v>
      </c>
      <c r="J5" s="462" t="n">
        <f aca="false">SUM(K12:K50)</f>
        <v>54449.8260102375</v>
      </c>
      <c r="K5" s="462" t="n">
        <f aca="false">SUM(G5:J5)</f>
        <v>56276.1264676334</v>
      </c>
      <c r="M5" s="465"/>
      <c r="N5" s="442"/>
      <c r="O5" s="466"/>
      <c r="P5" s="464" t="s">
        <v>135</v>
      </c>
      <c r="Q5" s="457" t="n">
        <f aca="false">AVERAGE(S23:S25)</f>
        <v>28.6875004172325</v>
      </c>
      <c r="R5" s="448"/>
      <c r="U5" s="448"/>
      <c r="W5" s="451"/>
      <c r="DK5" s="439"/>
      <c r="DL5" s="439"/>
      <c r="DM5" s="439"/>
    </row>
    <row r="6" customFormat="false" ht="16.5" hidden="false" customHeight="false" outlineLevel="0" collapsed="false">
      <c r="A6" s="450" t="n">
        <f aca="false">+Master!IQ9</f>
        <v>0</v>
      </c>
      <c r="B6" s="451"/>
      <c r="F6" s="452" t="s">
        <v>178</v>
      </c>
      <c r="G6" s="467" t="n">
        <f aca="false">G4+G5</f>
        <v>0</v>
      </c>
      <c r="H6" s="468" t="n">
        <f aca="false">H4+H5</f>
        <v>0</v>
      </c>
      <c r="I6" s="468" t="n">
        <f aca="false">I4+I5</f>
        <v>1852036.99914813</v>
      </c>
      <c r="J6" s="468" t="n">
        <f aca="false">J4+J5</f>
        <v>476658.768640722</v>
      </c>
      <c r="K6" s="468" t="n">
        <f aca="false">K4+K5</f>
        <v>2328695.76778885</v>
      </c>
      <c r="N6" s="442"/>
      <c r="O6" s="443"/>
      <c r="P6" s="442"/>
      <c r="Q6" s="450"/>
      <c r="R6" s="469"/>
      <c r="U6" s="449"/>
      <c r="DK6" s="439"/>
      <c r="DL6" s="439"/>
      <c r="DM6" s="439"/>
    </row>
    <row r="7" customFormat="false" ht="6.75" hidden="false" customHeight="true" outlineLevel="0" collapsed="false">
      <c r="B7" s="451"/>
      <c r="DK7" s="439"/>
      <c r="DL7" s="439"/>
      <c r="DM7" s="439"/>
    </row>
    <row r="8" customFormat="false" ht="23.25" hidden="false" customHeight="true" outlineLevel="0" collapsed="false">
      <c r="A8" s="441" t="s">
        <v>258</v>
      </c>
      <c r="B8" s="451"/>
      <c r="E8" s="439" t="s">
        <v>60</v>
      </c>
      <c r="I8" s="470"/>
      <c r="K8" s="452" t="s">
        <v>259</v>
      </c>
      <c r="L8" s="471" t="n">
        <f aca="false">0.0075*($CJ$51+$CJ$95+OthNewDeals!$BG$47)</f>
        <v>21732</v>
      </c>
      <c r="N8" s="458"/>
      <c r="R8" s="442"/>
      <c r="S8" s="472"/>
      <c r="V8" s="473"/>
      <c r="W8" s="474"/>
      <c r="X8" s="474"/>
      <c r="DK8" s="439"/>
      <c r="DL8" s="439"/>
      <c r="DM8" s="439"/>
    </row>
    <row r="9" customFormat="false" ht="21.75" hidden="false" customHeight="true" outlineLevel="0" collapsed="false">
      <c r="A9" s="46"/>
      <c r="B9" s="475"/>
      <c r="C9" s="46"/>
      <c r="D9" s="46"/>
      <c r="E9" s="46"/>
      <c r="F9" s="46"/>
      <c r="G9" s="46"/>
      <c r="H9" s="46"/>
      <c r="I9" s="46"/>
      <c r="J9" s="46"/>
      <c r="K9" s="46"/>
      <c r="L9" s="46"/>
      <c r="M9" s="0"/>
      <c r="N9" s="46"/>
      <c r="O9" s="46"/>
      <c r="P9" s="476" t="n">
        <f aca="false">+Master!K18</f>
        <v>25.95</v>
      </c>
      <c r="Q9" s="46"/>
      <c r="R9" s="477" t="b">
        <f aca="false">TRUE()</f>
        <v>1</v>
      </c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CG9" s="442" t="s">
        <v>157</v>
      </c>
      <c r="CH9" s="442" t="s">
        <v>157</v>
      </c>
      <c r="CI9" s="442" t="s">
        <v>157</v>
      </c>
      <c r="DK9" s="439"/>
      <c r="DL9" s="439"/>
      <c r="DM9" s="439"/>
    </row>
    <row r="10" customFormat="false" ht="13.5" hidden="false" customHeight="false" outlineLevel="0" collapsed="false">
      <c r="A10" s="68"/>
      <c r="B10" s="68" t="s">
        <v>68</v>
      </c>
      <c r="C10" s="68" t="s">
        <v>68</v>
      </c>
      <c r="D10" s="68" t="s">
        <v>69</v>
      </c>
      <c r="E10" s="68" t="s">
        <v>70</v>
      </c>
      <c r="F10" s="68" t="s">
        <v>70</v>
      </c>
      <c r="G10" s="68" t="s">
        <v>155</v>
      </c>
      <c r="H10" s="68" t="s">
        <v>69</v>
      </c>
      <c r="I10" s="68" t="s">
        <v>260</v>
      </c>
      <c r="J10" s="68" t="s">
        <v>72</v>
      </c>
      <c r="K10" s="478" t="s">
        <v>73</v>
      </c>
      <c r="L10" s="478"/>
      <c r="M10" s="0"/>
      <c r="N10" s="47"/>
      <c r="O10" s="47"/>
      <c r="P10" s="47"/>
      <c r="Q10" s="68" t="s">
        <v>261</v>
      </c>
      <c r="R10" s="68" t="s">
        <v>262</v>
      </c>
      <c r="S10" s="479" t="s">
        <v>263</v>
      </c>
      <c r="T10" s="46"/>
      <c r="U10" s="46"/>
      <c r="V10" s="290" t="s">
        <v>264</v>
      </c>
      <c r="W10" s="478" t="s">
        <v>265</v>
      </c>
      <c r="X10" s="478" t="s">
        <v>266</v>
      </c>
      <c r="Y10" s="480"/>
      <c r="Z10" s="480"/>
      <c r="AA10" s="480"/>
      <c r="AB10" s="480"/>
      <c r="AC10" s="480"/>
      <c r="AD10" s="480"/>
      <c r="AE10" s="480"/>
      <c r="AF10" s="480"/>
      <c r="AG10" s="480"/>
      <c r="AH10" s="480"/>
      <c r="AI10" s="480"/>
      <c r="AJ10" s="481"/>
      <c r="AK10" s="68" t="n">
        <v>1</v>
      </c>
      <c r="AL10" s="68"/>
      <c r="AM10" s="68" t="n">
        <v>2</v>
      </c>
      <c r="AN10" s="68"/>
      <c r="AO10" s="68" t="n">
        <v>3</v>
      </c>
      <c r="AP10" s="68"/>
      <c r="AQ10" s="68" t="n">
        <v>4</v>
      </c>
      <c r="AR10" s="68"/>
      <c r="AS10" s="68" t="n">
        <v>5</v>
      </c>
      <c r="AT10" s="68"/>
      <c r="AU10" s="68" t="n">
        <v>6</v>
      </c>
      <c r="AV10" s="68"/>
      <c r="AW10" s="68" t="n">
        <v>7</v>
      </c>
      <c r="AX10" s="68"/>
      <c r="AY10" s="68" t="n">
        <v>8</v>
      </c>
      <c r="AZ10" s="68"/>
      <c r="BA10" s="68" t="n">
        <v>9</v>
      </c>
      <c r="BB10" s="68"/>
      <c r="BC10" s="68" t="n">
        <v>10</v>
      </c>
      <c r="BD10" s="68"/>
      <c r="BE10" s="68" t="n">
        <v>11</v>
      </c>
      <c r="BF10" s="68"/>
      <c r="BG10" s="68" t="n">
        <v>12</v>
      </c>
      <c r="BH10" s="68"/>
      <c r="BI10" s="68" t="n">
        <v>13</v>
      </c>
      <c r="BJ10" s="68"/>
      <c r="BK10" s="68" t="n">
        <v>14</v>
      </c>
      <c r="BL10" s="68"/>
      <c r="BM10" s="68" t="n">
        <v>15</v>
      </c>
      <c r="BN10" s="68"/>
      <c r="BO10" s="68" t="n">
        <v>16</v>
      </c>
      <c r="BP10" s="68"/>
      <c r="BQ10" s="68" t="n">
        <v>17</v>
      </c>
      <c r="BR10" s="68"/>
      <c r="BS10" s="68" t="n">
        <v>18</v>
      </c>
      <c r="BT10" s="68"/>
      <c r="BU10" s="68" t="n">
        <v>19</v>
      </c>
      <c r="BV10" s="68"/>
      <c r="BW10" s="68" t="n">
        <v>20</v>
      </c>
      <c r="BX10" s="68"/>
      <c r="BY10" s="482" t="s">
        <v>10</v>
      </c>
      <c r="BZ10" s="483" t="s">
        <v>267</v>
      </c>
      <c r="CA10" s="442"/>
      <c r="CB10" s="442"/>
      <c r="CC10" s="442" t="s">
        <v>268</v>
      </c>
      <c r="CD10" s="442" t="s">
        <v>269</v>
      </c>
      <c r="CE10" s="442" t="s">
        <v>270</v>
      </c>
      <c r="CF10" s="442" t="s">
        <v>271</v>
      </c>
      <c r="CG10" s="484" t="n">
        <f aca="false">T20</f>
        <v>2002</v>
      </c>
      <c r="CH10" s="484" t="n">
        <f aca="false">T21</f>
        <v>2003</v>
      </c>
      <c r="CI10" s="484" t="n">
        <f aca="false">T22</f>
        <v>2004</v>
      </c>
      <c r="CJ10" s="442" t="s">
        <v>272</v>
      </c>
      <c r="CK10" s="444" t="s">
        <v>9</v>
      </c>
      <c r="CL10" s="444" t="s">
        <v>1</v>
      </c>
      <c r="CM10" s="444" t="s">
        <v>9</v>
      </c>
      <c r="DK10" s="439"/>
      <c r="DL10" s="439"/>
      <c r="DM10" s="439"/>
      <c r="DQ10" s="485" t="s">
        <v>273</v>
      </c>
      <c r="DR10" s="485"/>
      <c r="DS10" s="485"/>
      <c r="DT10" s="485" t="s">
        <v>274</v>
      </c>
      <c r="DU10" s="485"/>
      <c r="DV10" s="485"/>
      <c r="DY10" s="442" t="s">
        <v>273</v>
      </c>
      <c r="DZ10" s="442" t="s">
        <v>274</v>
      </c>
      <c r="ET10" s="473" t="e">
        <f aca="false">SUM(ET12:ET35)/SUM(ES12:ES35)</f>
        <v>#DIV/0!</v>
      </c>
      <c r="EU10" s="473" t="e">
        <f aca="false">SUM(EU12:EU35)/SUM(ES12:ES35)</f>
        <v>#DIV/0!</v>
      </c>
    </row>
    <row r="11" customFormat="false" ht="17.25" hidden="false" customHeight="true" outlineLevel="0" collapsed="false">
      <c r="A11" s="82" t="s">
        <v>79</v>
      </c>
      <c r="B11" s="82" t="s">
        <v>80</v>
      </c>
      <c r="C11" s="82" t="s">
        <v>81</v>
      </c>
      <c r="D11" s="82" t="s">
        <v>82</v>
      </c>
      <c r="E11" s="82" t="s">
        <v>80</v>
      </c>
      <c r="F11" s="82" t="s">
        <v>81</v>
      </c>
      <c r="G11" s="82" t="s">
        <v>275</v>
      </c>
      <c r="H11" s="82" t="s">
        <v>6</v>
      </c>
      <c r="I11" s="82" t="s">
        <v>275</v>
      </c>
      <c r="J11" s="82" t="s">
        <v>85</v>
      </c>
      <c r="K11" s="486" t="s">
        <v>86</v>
      </c>
      <c r="L11" s="486" t="s">
        <v>87</v>
      </c>
      <c r="M11" s="0"/>
      <c r="N11" s="487" t="s">
        <v>79</v>
      </c>
      <c r="O11" s="487" t="s">
        <v>12</v>
      </c>
      <c r="P11" s="487" t="s">
        <v>276</v>
      </c>
      <c r="Q11" s="82" t="s">
        <v>262</v>
      </c>
      <c r="R11" s="82" t="n">
        <v>0</v>
      </c>
      <c r="S11" s="488"/>
      <c r="T11" s="489"/>
      <c r="U11" s="489"/>
      <c r="V11" s="490" t="s">
        <v>277</v>
      </c>
      <c r="W11" s="486" t="s">
        <v>275</v>
      </c>
      <c r="X11" s="486" t="s">
        <v>275</v>
      </c>
      <c r="Y11" s="491" t="str">
        <f aca="false">V12</f>
        <v>Q4 2001</v>
      </c>
      <c r="Z11" s="491" t="str">
        <f aca="false">V13</f>
        <v>Q1 2002</v>
      </c>
      <c r="AA11" s="491" t="str">
        <f aca="false">V14</f>
        <v>Q2 2002</v>
      </c>
      <c r="AB11" s="491" t="str">
        <f aca="false">V15</f>
        <v>Q3 2002</v>
      </c>
      <c r="AC11" s="491" t="str">
        <f aca="false">V16</f>
        <v>Q4 2002</v>
      </c>
      <c r="AD11" s="491" t="str">
        <f aca="false">V17</f>
        <v>Q1 2003</v>
      </c>
      <c r="AE11" s="491" t="str">
        <f aca="false">V18</f>
        <v>Q2 2003</v>
      </c>
      <c r="AF11" s="491" t="str">
        <f aca="false">V19</f>
        <v>Q3 2003</v>
      </c>
      <c r="AG11" s="492" t="str">
        <f aca="false">V20</f>
        <v>Bal 2002</v>
      </c>
      <c r="AH11" s="492" t="n">
        <f aca="false">V21</f>
        <v>2003</v>
      </c>
      <c r="AI11" s="492" t="n">
        <f aca="false">V22</f>
        <v>2004</v>
      </c>
      <c r="AJ11" s="82" t="s">
        <v>79</v>
      </c>
      <c r="AK11" s="493" t="s">
        <v>278</v>
      </c>
      <c r="AL11" s="486" t="s">
        <v>275</v>
      </c>
      <c r="AM11" s="493" t="s">
        <v>278</v>
      </c>
      <c r="AN11" s="486" t="s">
        <v>275</v>
      </c>
      <c r="AO11" s="493" t="s">
        <v>278</v>
      </c>
      <c r="AP11" s="486" t="s">
        <v>275</v>
      </c>
      <c r="AQ11" s="493" t="s">
        <v>278</v>
      </c>
      <c r="AR11" s="486" t="s">
        <v>275</v>
      </c>
      <c r="AS11" s="493" t="s">
        <v>278</v>
      </c>
      <c r="AT11" s="486" t="s">
        <v>275</v>
      </c>
      <c r="AU11" s="493" t="s">
        <v>278</v>
      </c>
      <c r="AV11" s="486" t="s">
        <v>275</v>
      </c>
      <c r="AW11" s="493" t="s">
        <v>278</v>
      </c>
      <c r="AX11" s="486" t="s">
        <v>275</v>
      </c>
      <c r="AY11" s="493" t="s">
        <v>278</v>
      </c>
      <c r="AZ11" s="486" t="s">
        <v>275</v>
      </c>
      <c r="BA11" s="493" t="s">
        <v>278</v>
      </c>
      <c r="BB11" s="486" t="s">
        <v>275</v>
      </c>
      <c r="BC11" s="493" t="s">
        <v>278</v>
      </c>
      <c r="BD11" s="486" t="s">
        <v>275</v>
      </c>
      <c r="BE11" s="493" t="s">
        <v>278</v>
      </c>
      <c r="BF11" s="486" t="s">
        <v>275</v>
      </c>
      <c r="BG11" s="493" t="n">
        <v>50</v>
      </c>
      <c r="BH11" s="486" t="n">
        <v>172.5</v>
      </c>
      <c r="BI11" s="493" t="s">
        <v>278</v>
      </c>
      <c r="BJ11" s="486" t="s">
        <v>275</v>
      </c>
      <c r="BK11" s="493" t="s">
        <v>278</v>
      </c>
      <c r="BL11" s="486" t="s">
        <v>275</v>
      </c>
      <c r="BM11" s="493" t="s">
        <v>278</v>
      </c>
      <c r="BN11" s="486" t="s">
        <v>275</v>
      </c>
      <c r="BO11" s="493" t="s">
        <v>278</v>
      </c>
      <c r="BP11" s="486" t="s">
        <v>275</v>
      </c>
      <c r="BQ11" s="493" t="s">
        <v>278</v>
      </c>
      <c r="BR11" s="486" t="s">
        <v>275</v>
      </c>
      <c r="BS11" s="493" t="s">
        <v>278</v>
      </c>
      <c r="BT11" s="486" t="s">
        <v>275</v>
      </c>
      <c r="BU11" s="493" t="s">
        <v>278</v>
      </c>
      <c r="BV11" s="486" t="s">
        <v>275</v>
      </c>
      <c r="BW11" s="493" t="s">
        <v>278</v>
      </c>
      <c r="BX11" s="486" t="s">
        <v>275</v>
      </c>
      <c r="BY11" s="494" t="s">
        <v>278</v>
      </c>
      <c r="BZ11" s="495" t="s">
        <v>275</v>
      </c>
      <c r="CA11" s="442"/>
      <c r="CB11" s="442"/>
      <c r="CC11" s="442" t="s">
        <v>279</v>
      </c>
      <c r="CD11" s="442" t="s">
        <v>280</v>
      </c>
      <c r="CE11" s="442"/>
      <c r="CF11" s="442" t="s">
        <v>80</v>
      </c>
      <c r="CG11" s="450" t="s">
        <v>281</v>
      </c>
      <c r="CH11" s="450" t="s">
        <v>281</v>
      </c>
      <c r="CI11" s="450" t="s">
        <v>281</v>
      </c>
      <c r="CJ11" s="442" t="s">
        <v>282</v>
      </c>
      <c r="CK11" s="444" t="s">
        <v>275</v>
      </c>
      <c r="CL11" s="444" t="s">
        <v>7</v>
      </c>
      <c r="CM11" s="444" t="s">
        <v>283</v>
      </c>
      <c r="DK11" s="439"/>
      <c r="DL11" s="439"/>
      <c r="DM11" s="439" t="s">
        <v>284</v>
      </c>
      <c r="DQ11" s="450" t="s">
        <v>171</v>
      </c>
      <c r="DR11" s="450" t="s">
        <v>172</v>
      </c>
      <c r="DS11" s="450" t="s">
        <v>50</v>
      </c>
      <c r="DT11" s="450" t="s">
        <v>171</v>
      </c>
      <c r="DU11" s="450" t="s">
        <v>172</v>
      </c>
      <c r="DV11" s="450" t="s">
        <v>50</v>
      </c>
      <c r="DY11" s="442" t="s">
        <v>174</v>
      </c>
      <c r="DZ11" s="442" t="s">
        <v>174</v>
      </c>
      <c r="EP11" s="0" t="s">
        <v>285</v>
      </c>
      <c r="EQ11" s="439" t="s">
        <v>12</v>
      </c>
      <c r="ER11" s="439" t="s">
        <v>13</v>
      </c>
    </row>
    <row r="12" customFormat="false" ht="18.75" hidden="false" customHeight="false" outlineLevel="0" collapsed="false">
      <c r="A12" s="95" t="n">
        <f aca="false">[1]Cinergy!$D34</f>
        <v>37195</v>
      </c>
      <c r="B12" s="122" t="n">
        <f aca="false" t="array" ref="B12:B12">SUM(IF(MONTH([1]Cinergy!$D$3:$D$40)&amp;YEAR([1]Cinergy!$D$3:$D$40)=MONTH($A12)&amp;YEAR($A12),[1]Cinergy!$O$3:$O$40))</f>
        <v>-758783.69921875</v>
      </c>
      <c r="C12" s="163" t="n">
        <f aca="false">B12/(CE12*CD12)</f>
        <v>-2077.37915233465</v>
      </c>
      <c r="D12" s="496" t="n">
        <f aca="false">BY12+IF(YEAR(A12)=$T$20,$BY$48,0)+IF(YEAR(A12)=$T$21,$BY$49,0)+IF(YEAR(A12)=$T$22,$BY$50,0)</f>
        <v>1550</v>
      </c>
      <c r="E12" s="163" t="n">
        <f aca="false">B12+(D12*CD12*CE12)</f>
        <v>-192630.557425981</v>
      </c>
      <c r="F12" s="497" t="n">
        <f aca="false">C12+D12</f>
        <v>-527.379152334651</v>
      </c>
      <c r="G12" s="498" t="n">
        <f aca="false">[1]Cinergy!$E34</f>
        <v>26.0499992370605</v>
      </c>
      <c r="H12" s="498" t="n">
        <f aca="false">IF($R$9,R12,Q12)</f>
        <v>-0.099999237060544</v>
      </c>
      <c r="I12" s="499" t="n">
        <f aca="false">G12+H12</f>
        <v>25.95</v>
      </c>
      <c r="J12" s="122" t="n">
        <f aca="false">H12*B12</f>
        <v>75877.7910158523</v>
      </c>
      <c r="K12" s="123" t="n">
        <f aca="false">(((I12-AL12)*AK12+(I12-AN12)*AM12+(I12-AP12)*AO12+(I12-AR12)*AQ12+(I12-AT12)*AS12+(I12-AV12)*AU12+(I12-AX12)*AW12+(I12-AZ12)*AY12+(I12-BB12)*BA12+(I12-BD12)*BC12+(I12-BF12)*BE12+(I12-BH12)*BG12+(I12-BJ12)*BI12+(I12-BL12)*BK12+(I12-BN12)*BM12+(I12-BP12)*BO12+(I12-BR12)*BQ12+(I12-BT12)*BS12+(I12-BV12)*BU12+(I12-BX12)*BW12)*CD12*CE12)+CG12+CH12+CI12</f>
        <v>-53875.4733533131</v>
      </c>
      <c r="L12" s="123" t="n">
        <f aca="false">J12+K12</f>
        <v>22002.3176625393</v>
      </c>
      <c r="M12" s="0"/>
      <c r="N12" s="500" t="n">
        <f aca="false">A12</f>
        <v>37195</v>
      </c>
      <c r="O12" s="501" t="n">
        <v>79</v>
      </c>
      <c r="P12" s="501" t="n">
        <v>79</v>
      </c>
      <c r="Q12" s="502" t="n">
        <f aca="false">AVERAGE(O12:P12)-G12</f>
        <v>52.9500007629395</v>
      </c>
      <c r="R12" s="503" t="n">
        <f aca="false">+Master!L18</f>
        <v>-0.099999237060544</v>
      </c>
      <c r="S12" s="504" t="n">
        <f aca="false">I12</f>
        <v>25.95</v>
      </c>
      <c r="T12" s="505" t="n">
        <f aca="false">IF(MONTH($B$2)&gt;=10,YEAR($B$2)+1,YEAR($B$2))</f>
        <v>2001</v>
      </c>
      <c r="U12" s="506" t="n">
        <f aca="false">IF(INT((MONTH($B$2)-1)/3)+2=5,1,INT((MONTH($B$2)-1)/3)+2)</f>
        <v>4</v>
      </c>
      <c r="V12" s="507" t="str">
        <f aca="false">"Q"&amp;U12&amp;" "&amp;T12</f>
        <v>Q4 2001</v>
      </c>
      <c r="W12" s="508" t="n">
        <f aca="false" t="array" ref="W12:W12">SUM(IF((INT((MONTH($A$12:$A$47)-1)/3)=U12-1)*(YEAR($A$12:$A$47)=T12),$I$12:$I$47*$DK$12:$DK$47))/SUM(IF((INT((MONTH($A$12:$A$47)-1)/3)=U12-1)*(YEAR($A$12:$A$47)=T12),$DK$12:$DK$47))</f>
        <v>26.51640625</v>
      </c>
      <c r="X12" s="509" t="n">
        <f aca="false" t="array" ref="X12:X12">AVERAGE(IF((INT((MONTH($A$12:$A$47)-1)/3)=U12-1)*(YEAR($A$12:$A$47)=T12),$I$12:$I$47))</f>
        <v>26.55</v>
      </c>
      <c r="Y12" s="510" t="n">
        <v>0</v>
      </c>
      <c r="Z12" s="511"/>
      <c r="AA12" s="511"/>
      <c r="AB12" s="511"/>
      <c r="AC12" s="511"/>
      <c r="AD12" s="511"/>
      <c r="AE12" s="511"/>
      <c r="AF12" s="511"/>
      <c r="AG12" s="511"/>
      <c r="AH12" s="511"/>
      <c r="AI12" s="511"/>
      <c r="AJ12" s="512" t="n">
        <f aca="false">A12</f>
        <v>37195</v>
      </c>
      <c r="AK12" s="513" t="n">
        <v>150</v>
      </c>
      <c r="AL12" s="514" t="n">
        <v>26</v>
      </c>
      <c r="AM12" s="513"/>
      <c r="AN12" s="514"/>
      <c r="AO12" s="513"/>
      <c r="AP12" s="514"/>
      <c r="AQ12" s="513"/>
      <c r="AR12" s="514"/>
      <c r="AS12" s="515" t="n">
        <v>1400</v>
      </c>
      <c r="AT12" s="516" t="n">
        <v>26.0499992370605</v>
      </c>
      <c r="AU12" s="513"/>
      <c r="AV12" s="517"/>
      <c r="AW12" s="518"/>
      <c r="AX12" s="519"/>
      <c r="AY12" s="513"/>
      <c r="AZ12" s="517"/>
      <c r="BA12" s="518"/>
      <c r="BB12" s="519"/>
      <c r="BC12" s="513"/>
      <c r="BD12" s="514"/>
      <c r="BE12" s="513"/>
      <c r="BF12" s="514"/>
      <c r="BG12" s="513"/>
      <c r="BH12" s="514"/>
      <c r="BI12" s="520"/>
      <c r="BJ12" s="517"/>
      <c r="BK12" s="520"/>
      <c r="BL12" s="517"/>
      <c r="BM12" s="520"/>
      <c r="BN12" s="517"/>
      <c r="BO12" s="520"/>
      <c r="BP12" s="517"/>
      <c r="BQ12" s="520"/>
      <c r="BR12" s="517"/>
      <c r="BS12" s="520"/>
      <c r="BT12" s="517"/>
      <c r="BU12" s="521"/>
      <c r="BV12" s="522"/>
      <c r="BW12" s="521"/>
      <c r="BX12" s="522"/>
      <c r="BY12" s="523" t="n">
        <f aca="false">AK12+AM12+AO12+AQ12+AU12+AW12+AY12+BA12+BC12+BE12+BG12+BI12+BK12+BM12+BO12+BQ12+BS12+BU12+BW12+AS12</f>
        <v>1550</v>
      </c>
      <c r="BZ12" s="524" t="n">
        <f aca="false">IF(AND(BY12=0,CC12=0),0,(ABS(AK12)*AL12+ABS(AM12)*AN12+ABS(AO12)*AP12+ABS(AQ12)*AR12+ABS(AU12)*AV12+ABS(AW12)*AX12+ABS(AY12)*AZ12+ABS(BA12)*BB12+ABS(BC12)*BD12+ABS(BE12)*BF12+ABS(BG12)*BH12+ABS(BI12)*BJ12+ABS(BK12)*BL12+ABS(BM12)*BN12+ABS(BO12)*BP12+ABS(BQ12)*BR12+ABS(BS12)*BT12+ABS(BU12)*BV12+ABS(BW12)*BX12)/CC12)</f>
        <v>2.51612903225806</v>
      </c>
      <c r="CA12" s="222"/>
      <c r="CB12" s="525" t="n">
        <f aca="false">AJ12</f>
        <v>37195</v>
      </c>
      <c r="CC12" s="222" t="n">
        <f aca="false">ABS(AK12)+ABS(AM12)+ABS(AO12)+ABS(AQ12)+ABS(AS12)+ABS(AU12)+ABS(AW12)+ABS(AY12)+ABS(BA12)+ABS(BC12)+ABS(BE12)+ABS(BG12)+ABS(BI12)+ABS(BK12)+ABS(BM12)+ABS(BO12)+ABS(BQ12)+ABS(BS12)+ABS(BU12)+ABS(BW12)</f>
        <v>1550</v>
      </c>
      <c r="CD12" s="526" t="n">
        <f aca="false">16*DK12</f>
        <v>368</v>
      </c>
      <c r="CE12" s="222" t="n">
        <f aca="false">VLOOKUP(A12,Interest!$X$8:$AC$367,6)</f>
        <v>0.992554596410886</v>
      </c>
      <c r="CF12" s="527" t="n">
        <f aca="false">E12-B12</f>
        <v>566153.141792769</v>
      </c>
      <c r="CG12" s="527" t="n">
        <f aca="false">IF(YEAR($AJ12)=$CG$10,(($I12-$AL$48)*$AK$48+($I12-$AN$48)*$AM$48+($I12-$AP$48)*$AO$48+($I12-$AR$48)*$AQ$48+($I12-$AT$48)*$AS$48+($I12-$AV$48)*$AU$48+($I12-$AX$48)*$AW$48+($I12-$AZ$48)*$AY$48+($I12-$BB$48)*$BA$48+($I12-$BD$48)*$BC$48+($I12-$BF$48)*$BE$48+($I12-$BH$48)*$BG$48+($I12-$BJ$48)*$BI$48+($I12-$BL$48)*$BK$48+($I12-$BN$48)*$BM$48+($I12-$BP$48)*$BO$48+($I12-$BR$48)*$BQ$48+($I12-$BT$48)*$BS$48+($I12-$BV$48)*$BU$48+($I12-$BX$48)*$BW$48)*$CD12*$CE12,0)</f>
        <v>0</v>
      </c>
      <c r="CH12" s="527" t="n">
        <f aca="false">IF(YEAR($AJ12)=$CH$10,(($I12-$AL$49)*$AK$49+($I12-$AN$49)*$AM$49+($I12-$AP$49)*$AO$49+($I12-$AR$49)*$AQ$49+($I12-$AT$49)*$AS$49+($I12-$AV$49)*$AU$49+($I12-$AX$49)*$AW$49+($I12-$AZ$49)*$AY$49+($I12-$BB$49)*$BA$49+($I12-$BD$49)*$BC$49+($I12-$BF$49)*$BE$49+($I12-$BH$49)*$BG$49+($I12-$BJ$49)*$BI$49+($I12-$BL$49)*$BK$49+($I12-$BN$49)*$BM$49+($I12-$BP$49)*$BO$49+($I12-$BR$49)*$BQ$49+($I12-$BT$49)*$BS$49+($I12-$BV$49)*$BU$49+($I12-$BX$49)*$BW$49)*$CD12*$CE12,0)</f>
        <v>0</v>
      </c>
      <c r="CI12" s="527" t="n">
        <f aca="false">IF(YEAR($AJ12)=$CI$10,(($I12-$AL$50)*$AK$50+($I12-$AN$50)*$AM$50+($I12-$AP$50)*$AO$50+($I12-$AR$50)*$AQ$50+($I12-$AT$50)*$AS$50+($I12-$AV$50)*$AU$50+($I12-$AX$50)*$AW$50+($I12-$AZ$50)*$AY$50+($I12-$BB$50)*$BA$50+($I12-$BD$50)*$BC$50+($I12-$BF$50)*$BE$50+($I12-$BH$50)*$BG$50+($I12-$BJ$50)*$BI$50+($I12-$BL$50)*$BK$50+($I12-$BN$50)*$BM$50+($I12-$BP$50)*$BO$50+($I12-$BR$50)*$BQ$50+($I12-$BT$50)*$BS$50+($I12-$BV$50)*$BU$50+($I12-$BX$50)*$BW$50)*$CD12*$CE12,0)</f>
        <v>0</v>
      </c>
      <c r="CJ12" s="439" t="n">
        <f aca="false">CC12*CD12</f>
        <v>570400</v>
      </c>
      <c r="CK12" s="528" t="str">
        <f aca="false" t="array" ref="CK12:CK12">DDE("TWINDDE","RSFRecord","NGJ1 LAST")</f>
        <v>+NA+</v>
      </c>
      <c r="CL12" s="529" t="n">
        <v>8.56</v>
      </c>
      <c r="CM12" s="530" t="n">
        <f aca="false">+CF12*CL12/10000</f>
        <v>484.627089374611</v>
      </c>
      <c r="CN12" s="439" t="str">
        <f aca="false" t="array" ref="CN12:CN12">DDE("TWINDDE","RSFRecord","NGJ1 CLS")</f>
        <v>+NA+</v>
      </c>
      <c r="CV12" s="531"/>
      <c r="DJ12" s="532" t="n">
        <f aca="false">[1]Cinergy!$D34</f>
        <v>37195</v>
      </c>
      <c r="DK12" s="440" t="n">
        <f aca="false">VLOOKUP(DJ12,DL12:DM253,2)</f>
        <v>23</v>
      </c>
      <c r="DL12" s="533" t="n">
        <v>35735</v>
      </c>
      <c r="DM12" s="459" t="n">
        <v>19</v>
      </c>
      <c r="DP12" s="534" t="n">
        <f aca="false">[1]Cinergy!$D3</f>
        <v>37142</v>
      </c>
      <c r="DQ12" s="234" t="n">
        <f aca="false">[1]OPPD_NPPD!$O3+[1]NSP!$O3</f>
        <v>0</v>
      </c>
      <c r="DR12" s="234" t="n">
        <f aca="false">[1]COMED!$O3</f>
        <v>0</v>
      </c>
      <c r="DS12" s="234" t="n">
        <f aca="false">DQ12+DR12</f>
        <v>0</v>
      </c>
      <c r="DT12" s="234" t="n">
        <f aca="false">SUM([1]OPPD_NPPD!$P3:$R3)+SUM([1]NSP!$P3:$R3)</f>
        <v>0</v>
      </c>
      <c r="DU12" s="234" t="n">
        <f aca="false">SUM([1]COMED!$P3:$R3)</f>
        <v>-1593.04296875</v>
      </c>
      <c r="DV12" s="234" t="n">
        <f aca="false">DT12+DU12</f>
        <v>-1593.04296875</v>
      </c>
      <c r="DW12" s="535"/>
      <c r="DX12" s="536" t="n">
        <f aca="false">[1]OtherPosn!$D3</f>
        <v>37257</v>
      </c>
      <c r="DY12" s="234" t="n">
        <f aca="false">[1]OtherPosn!$N3</f>
        <v>34683.76171875</v>
      </c>
      <c r="DZ12" s="234" t="n">
        <f aca="false">SUM([1]OtherPosn!$O3:$P3)</f>
        <v>0</v>
      </c>
      <c r="EO12" s="532" t="n">
        <f aca="false">DJ12</f>
        <v>37195</v>
      </c>
      <c r="EP12" s="234" t="n">
        <f aca="false">DK12</f>
        <v>23</v>
      </c>
      <c r="EQ12" s="473" t="e">
        <f aca="false">#REF!*$EP12</f>
        <v>#REF!</v>
      </c>
      <c r="ER12" s="473" t="e">
        <f aca="false">#REF!*$EP12</f>
        <v>#REF!</v>
      </c>
      <c r="ES12" s="439" t="n">
        <f aca="false">IF(YEAR($EO12)=2000,EP12,0)</f>
        <v>0</v>
      </c>
      <c r="ET12" s="439" t="n">
        <f aca="false">IF(YEAR($EO12)=2000,EQ12,0)</f>
        <v>0</v>
      </c>
      <c r="EU12" s="439" t="n">
        <f aca="false">IF(YEAR($EO12)=2000,ER12,0)</f>
        <v>0</v>
      </c>
    </row>
    <row r="13" customFormat="false" ht="18.75" hidden="false" customHeight="false" outlineLevel="0" collapsed="false">
      <c r="A13" s="537" t="n">
        <f aca="false">[1]Cinergy!$D35</f>
        <v>37196</v>
      </c>
      <c r="B13" s="180" t="n">
        <f aca="false">[1]Cinergy!$O35</f>
        <v>-954139.4375</v>
      </c>
      <c r="C13" s="538" t="n">
        <f aca="false">B13/(CE13*CD13)</f>
        <v>-2869.26882099878</v>
      </c>
      <c r="D13" s="538" t="n">
        <f aca="false">BY13+IF(YEAR(A13)=$T$20,$BY$48,0)+IF(YEAR(A13)=$T$21,$BY$49,0)+IF(YEAR(A13)=$T$22,$BY$50,0)</f>
        <v>1400</v>
      </c>
      <c r="E13" s="160" t="n">
        <f aca="false">B13+(D13*CD13*CE13)</f>
        <v>-488586.958511636</v>
      </c>
      <c r="F13" s="539" t="n">
        <f aca="false">C13+D13</f>
        <v>-1469.26882099878</v>
      </c>
      <c r="G13" s="540" t="n">
        <f aca="false">[1]Cinergy!$E35</f>
        <v>26.1499996185303</v>
      </c>
      <c r="H13" s="498" t="n">
        <f aca="false">IF($R$9,R13,Q13)</f>
        <v>0.0500003814697294</v>
      </c>
      <c r="I13" s="541" t="n">
        <f aca="false">G13+H13</f>
        <v>26.2</v>
      </c>
      <c r="J13" s="160" t="n">
        <f aca="false">H13*B13</f>
        <v>-47707.335850313</v>
      </c>
      <c r="K13" s="114" t="n">
        <f aca="false">(((I13-AL13)*AK13+(I13-AN13)*AM13+(I13-AP13)*AO13+(I13-AR13)*AQ13+(I13-AT13)*AS13+(I13-AV13)*AU13+(I13-AX13)*AW13+(I13-AZ13)*AY13+(I13-BB13)*BA13+(I13-BD13)*BC13+(I13-BF13)*BE13+(I13-BH13)*BG13+(I13-BJ13)*BI13+(I13-BL13)*BK13+(I13-BN13)*BM13+(I13-BP13)*BO13+(I13-BR13)*BQ13+(I13-BT13)*BS13+(I13-BV13)*BU13+(I13-BX13)*BW13)*CD13*CE13)+CG13+CH13+CI13</f>
        <v>23277.8015435964</v>
      </c>
      <c r="L13" s="114" t="n">
        <f aca="false">J13+K13</f>
        <v>-24429.5343067167</v>
      </c>
      <c r="M13" s="0"/>
      <c r="N13" s="500" t="n">
        <f aca="false">A13</f>
        <v>37196</v>
      </c>
      <c r="O13" s="501" t="n">
        <v>33.5</v>
      </c>
      <c r="P13" s="501" t="n">
        <v>33.5</v>
      </c>
      <c r="Q13" s="502" t="n">
        <f aca="false">AVERAGE(O13:P13)-G13</f>
        <v>7.35000038146973</v>
      </c>
      <c r="R13" s="503" t="n">
        <f aca="false">+Master!L19</f>
        <v>0.0500003814697294</v>
      </c>
      <c r="S13" s="542" t="n">
        <f aca="false">I13</f>
        <v>26.2</v>
      </c>
      <c r="T13" s="505" t="n">
        <f aca="false">IF(U12=4,T12+1,T12)</f>
        <v>2002</v>
      </c>
      <c r="U13" s="506" t="n">
        <f aca="false">IF(U12=4,1,U12+1)</f>
        <v>1</v>
      </c>
      <c r="V13" s="543" t="str">
        <f aca="false">"Q"&amp;U13&amp;" "&amp;T13</f>
        <v>Q1 2002</v>
      </c>
      <c r="W13" s="508" t="n">
        <f aca="false" t="array" ref="W13:W13">SUM(IF((INT((MONTH($A$12:$A$47)-1)/3)=U13-1)*(YEAR($A$12:$A$47)=T13),$I$12:$I$47*$DK$12:$DK$47))/SUM(IF((INT((MONTH($A$12:$A$47)-1)/3)=U13-1)*(YEAR($A$12:$A$47)=T13),$DK$12:$DK$47))</f>
        <v>28.6732556838398</v>
      </c>
      <c r="X13" s="544" t="n">
        <f aca="false" t="array" ref="X13:X13">AVERAGE(IF((INT((MONTH($A$12:$A$47)-1)/3)=U13-1)*(YEAR($A$12:$A$47)=T13),$I$12:$I$47))</f>
        <v>28.6677000919538</v>
      </c>
      <c r="Y13" s="545" t="n">
        <f aca="false">W13-$W$12</f>
        <v>2.15684943383978</v>
      </c>
      <c r="Z13" s="546" t="n">
        <v>0</v>
      </c>
      <c r="AA13" s="511"/>
      <c r="AB13" s="511"/>
      <c r="AC13" s="511"/>
      <c r="AD13" s="511"/>
      <c r="AE13" s="511"/>
      <c r="AF13" s="511"/>
      <c r="AG13" s="511"/>
      <c r="AH13" s="511"/>
      <c r="AI13" s="511"/>
      <c r="AJ13" s="512" t="n">
        <f aca="false">A13</f>
        <v>37196</v>
      </c>
      <c r="AK13" s="513"/>
      <c r="AL13" s="514"/>
      <c r="AM13" s="513"/>
      <c r="AN13" s="514"/>
      <c r="AO13" s="513" t="n">
        <f aca="false">+AO12</f>
        <v>0</v>
      </c>
      <c r="AP13" s="514" t="n">
        <f aca="false">+AP12</f>
        <v>0</v>
      </c>
      <c r="AQ13" s="513" t="n">
        <f aca="false">+AQ12</f>
        <v>0</v>
      </c>
      <c r="AR13" s="514" t="n">
        <f aca="false">+AR12</f>
        <v>0</v>
      </c>
      <c r="AS13" s="515" t="n">
        <v>1400</v>
      </c>
      <c r="AT13" s="516" t="n">
        <v>26.1499996185303</v>
      </c>
      <c r="AU13" s="513"/>
      <c r="AV13" s="514"/>
      <c r="AW13" s="513"/>
      <c r="AX13" s="517"/>
      <c r="AY13" s="513"/>
      <c r="AZ13" s="514"/>
      <c r="BA13" s="513"/>
      <c r="BB13" s="514"/>
      <c r="BC13" s="513"/>
      <c r="BD13" s="514"/>
      <c r="BE13" s="513"/>
      <c r="BF13" s="514"/>
      <c r="BG13" s="513"/>
      <c r="BH13" s="514"/>
      <c r="BI13" s="513"/>
      <c r="BJ13" s="517"/>
      <c r="BK13" s="520"/>
      <c r="BL13" s="517"/>
      <c r="BM13" s="520"/>
      <c r="BN13" s="517"/>
      <c r="BO13" s="520"/>
      <c r="BP13" s="517"/>
      <c r="BQ13" s="520"/>
      <c r="BR13" s="517"/>
      <c r="BS13" s="520"/>
      <c r="BT13" s="517"/>
      <c r="BU13" s="520"/>
      <c r="BV13" s="517"/>
      <c r="BW13" s="520"/>
      <c r="BX13" s="517"/>
      <c r="BY13" s="523" t="n">
        <f aca="false">AK13+AM13+AO13+AQ13+AU13+AW13+AY13+BA13+BC13+BE13+BG13+BI13+BK13+BM13+BO13+BQ13+BS13+BU13+BW13+AS13</f>
        <v>1400</v>
      </c>
      <c r="BZ13" s="524" t="n">
        <f aca="false">IF(AND(BY13=0,CC13=0),0,(ABS(AK13)*AL13+ABS(AM13)*AN13+ABS(AO13)*AP13+ABS(AQ13)*AR13+ABS(AU13)*AV13+ABS(AW13)*AX13+ABS(AY13)*AZ13+ABS(BA13)*BB13+ABS(BC13)*BD13+ABS(BE13)*BF13+ABS(BG13)*BH13+ABS(BI13)*BJ13+ABS(BK13)*BL13+ABS(BM13)*BN13+ABS(BO13)*BP13+ABS(BQ13)*BR13+ABS(BS13)*BT13+ABS(BU13)*BV13+ABS(BW13)*BX13)/CC13)</f>
        <v>0</v>
      </c>
      <c r="CB13" s="525" t="n">
        <f aca="false">AJ13</f>
        <v>37196</v>
      </c>
      <c r="CC13" s="222" t="n">
        <f aca="false">ABS(AK13)+ABS(AM13)+ABS(AO13)+ABS(AQ13)+ABS(AS13)+ABS(AU13)+ABS(AW13)+ABS(AY13)+ABS(BA13)+ABS(BC13)+ABS(BE13)+ABS(BG13)+ABS(BI13)+ABS(BK13)+ABS(BM13)+ABS(BO13)+ABS(BQ13)+ABS(BS13)+ABS(BU13)+ABS(BW13)</f>
        <v>1400</v>
      </c>
      <c r="CD13" s="526" t="n">
        <f aca="false">16*DK13</f>
        <v>336</v>
      </c>
      <c r="CE13" s="222" t="n">
        <f aca="false">VLOOKUP(A13,Interest!$X$8:$AC$367,6)</f>
        <v>0.989694895808596</v>
      </c>
      <c r="CF13" s="527" t="n">
        <f aca="false">E13-B13</f>
        <v>465552.478988364</v>
      </c>
      <c r="CG13" s="527" t="n">
        <f aca="false">IF(YEAR($AJ13)=$CG$10,(($I13-$AL$48)*$AK$48+($I13-$AN$48)*$AM$48+($I13-$AP$48)*$AO$48+($I13-$AR$48)*$AQ$48+($I13-$AT$48)*$AS$48+($I13-$AV$48)*$AU$48+($I13-$AX$48)*$AW$48+($I13-$AZ$48)*$AY$48+($I13-$BB$48)*$BA$48+($I13-$BD$48)*$BC$48+($I13-$BF$48)*$BE$48+($I13-$BH$48)*$BG$48+($I13-$BJ$48)*$BI$48+($I13-$BL$48)*$BK$48+($I13-$BN$48)*$BM$48+($I13-$BP$48)*$BO$48+($I13-$BR$48)*$BQ$48+($I13-$BT$48)*$BS$48+($I13-$BV$48)*$BU$48+($I13-$BX$48)*$BW$48)*$CD13*$CE13,0)</f>
        <v>0</v>
      </c>
      <c r="CH13" s="527" t="n">
        <f aca="false">IF(YEAR($AJ13)=$CH$10,(($I13-$AL$49)*$AK$49+($I13-$AN$49)*$AM$49+($I13-$AP$49)*$AO$49+($I13-$AR$49)*$AQ$49+($I13-$AT$49)*$AS$49+($I13-$AV$49)*$AU$49+($I13-$AX$49)*$AW$49+($I13-$AZ$49)*$AY$49+($I13-$BB$49)*$BA$49+($I13-$BD$49)*$BC$49+($I13-$BF$49)*$BE$49+($I13-$BH$49)*$BG$49+($I13-$BJ$49)*$BI$49+($I13-$BL$49)*$BK$49+($I13-$BN$49)*$BM$49+($I13-$BP$49)*$BO$49+($I13-$BR$49)*$BQ$49+($I13-$BT$49)*$BS$49+($I13-$BV$49)*$BU$49+($I13-$BX$49)*$BW$49)*$CD13*$CE13,0)</f>
        <v>0</v>
      </c>
      <c r="CI13" s="527" t="n">
        <f aca="false">IF(YEAR($AJ13)=$CI$10,(($I13-$AL$50)*$AK$50+($I13-$AN$50)*$AM$50+($I13-$AP$50)*$AO$50+($I13-$AR$50)*$AQ$50+($I13-$AT$50)*$AS$50+($I13-$AV$50)*$AU$50+($I13-$AX$50)*$AW$50+($I13-$AZ$50)*$AY$50+($I13-$BB$50)*$BA$50+($I13-$BD$50)*$BC$50+($I13-$BF$50)*$BE$50+($I13-$BH$50)*$BG$50+($I13-$BJ$50)*$BI$50+($I13-$BL$50)*$BK$50+($I13-$BN$50)*$BM$50+($I13-$BP$50)*$BO$50+($I13-$BR$50)*$BQ$50+($I13-$BT$50)*$BS$50+($I13-$BV$50)*$BU$50+($I13-$BX$50)*$BW$50)*$CD13*$CE13,0)</f>
        <v>0</v>
      </c>
      <c r="CJ13" s="439" t="n">
        <f aca="false">CC13*CD13</f>
        <v>470400</v>
      </c>
      <c r="CK13" s="528" t="str">
        <f aca="false">DDE("TWINDDE","RSFRecord","NGK1 LAST")</f>
        <v>+NA+</v>
      </c>
      <c r="CL13" s="529" t="n">
        <v>8.48</v>
      </c>
      <c r="CM13" s="530" t="n">
        <f aca="false">+CF13*CL13/10000</f>
        <v>394.788502182132</v>
      </c>
      <c r="CN13" s="439" t="str">
        <f aca="false">DDE("TWINDDE","RSFRecord","NGK1 CLS")</f>
        <v>+NA+</v>
      </c>
      <c r="CO13" s="439" t="e">
        <f aca="false">+CN13-CN12</f>
        <v>#VALUE!</v>
      </c>
      <c r="CV13" s="531"/>
      <c r="DJ13" s="532" t="n">
        <f aca="false">[1]Cinergy!$D35</f>
        <v>37196</v>
      </c>
      <c r="DK13" s="440" t="n">
        <f aca="false">VLOOKUP(DJ13,DL13:DM254,2)</f>
        <v>21</v>
      </c>
      <c r="DL13" s="533" t="n">
        <v>35765</v>
      </c>
      <c r="DM13" s="459" t="n">
        <v>22</v>
      </c>
      <c r="DP13" s="534" t="n">
        <f aca="false">[1]Cinergy!$D4</f>
        <v>37143</v>
      </c>
      <c r="DQ13" s="234" t="n">
        <f aca="false">[1]OPPD_NPPD!$O4+[1]NSP!$O4</f>
        <v>0</v>
      </c>
      <c r="DR13" s="234" t="n">
        <f aca="false">[1]COMED!$O4</f>
        <v>0</v>
      </c>
      <c r="DS13" s="234" t="n">
        <f aca="false">DQ13+DR13</f>
        <v>0</v>
      </c>
      <c r="DT13" s="234" t="n">
        <f aca="false">SUM([1]OPPD_NPPD!$P4:$R4)+SUM([1]NSP!$P4:$R4)</f>
        <v>0</v>
      </c>
      <c r="DU13" s="234" t="n">
        <f aca="false">SUM([1]COMED!$P4:$R4)</f>
        <v>-1593.04296874999</v>
      </c>
      <c r="DV13" s="234" t="n">
        <f aca="false">DT13+DU13</f>
        <v>-1593.04296874999</v>
      </c>
      <c r="DW13" s="535"/>
      <c r="DX13" s="536" t="n">
        <f aca="false">[1]OtherPosn!$D4</f>
        <v>37288</v>
      </c>
      <c r="DY13" s="234" t="n">
        <f aca="false">[1]OtherPosn!$N4</f>
        <v>31446.693359375</v>
      </c>
      <c r="DZ13" s="234" t="n">
        <f aca="false">SUM([1]OtherPosn!$O4:$P4)</f>
        <v>0</v>
      </c>
      <c r="EO13" s="532" t="n">
        <f aca="false">DJ13</f>
        <v>37196</v>
      </c>
      <c r="EP13" s="234" t="n">
        <f aca="false">DK13</f>
        <v>21</v>
      </c>
      <c r="EQ13" s="473" t="n">
        <f aca="false">O12*$EP13</f>
        <v>1659</v>
      </c>
      <c r="ER13" s="473" t="n">
        <f aca="false">P12*$EP13</f>
        <v>1659</v>
      </c>
      <c r="ES13" s="439" t="n">
        <f aca="false">IF(YEAR($EO13)=2000,EP13,0)</f>
        <v>0</v>
      </c>
      <c r="ET13" s="439" t="n">
        <f aca="false">IF(YEAR($EO13)=2000,EQ13,0)</f>
        <v>0</v>
      </c>
      <c r="EU13" s="439" t="n">
        <f aca="false">IF(YEAR($EO13)=2000,ER13,0)</f>
        <v>0</v>
      </c>
    </row>
    <row r="14" customFormat="false" ht="18.75" hidden="false" customHeight="false" outlineLevel="0" collapsed="false">
      <c r="A14" s="95" t="n">
        <f aca="false">[1]Cinergy!$D36</f>
        <v>37226</v>
      </c>
      <c r="B14" s="122" t="n">
        <f aca="false">[1]Cinergy!$O36</f>
        <v>-855360.0625</v>
      </c>
      <c r="C14" s="163" t="n">
        <f aca="false">B14/(CE14*CD14)</f>
        <v>-2708.76731006976</v>
      </c>
      <c r="D14" s="496" t="n">
        <f aca="false">BY14+IF(YEAR(A14)=$T$20,$BY$48,0)+IF(YEAR(A14)=$T$21,$BY$49,0)+IF(YEAR(A14)=$T$22,$BY$50,0)</f>
        <v>2050</v>
      </c>
      <c r="E14" s="163" t="n">
        <f aca="false">B14+(D14*CD14*CE14)</f>
        <v>-208022.019986543</v>
      </c>
      <c r="F14" s="497" t="n">
        <f aca="false">C14+D14</f>
        <v>-658.767310069758</v>
      </c>
      <c r="G14" s="498" t="n">
        <f aca="false">[1]Cinergy!$E36</f>
        <v>27.6499996185303</v>
      </c>
      <c r="H14" s="498" t="n">
        <f aca="false">IF($R$9,R14,Q14)</f>
        <v>-0.149999618530273</v>
      </c>
      <c r="I14" s="499" t="n">
        <f aca="false">G14+H14</f>
        <v>27.5</v>
      </c>
      <c r="J14" s="122" t="n">
        <f aca="false">H14*B14</f>
        <v>128303.683081031</v>
      </c>
      <c r="K14" s="123" t="n">
        <f aca="false">(((I14-AL14)*AK14+(I14-AN14)*AM14+(I14-AP14)*AO14+(I14-AR14)*AQ14+(I14-AT14)*AS14+(I14-AV14)*AU14+(I14-AX14)*AW14+(I14-AZ14)*AY14+(I14-BB14)*BA14+(I14-BD14)*BC14+(I14-BF14)*BE14+(I14-BH14)*BG14+(I14-BJ14)*BI14+(I14-BL14)*BK14+(I14-BN14)*BM14+(I14-BP14)*BO14+(I14-BR14)*BQ14+(I14-BT14)*BS14+(I14-BV14)*BU14+(I14-BX14)*BW14)*CD14*CE14)+CG14+CH14+CI14</f>
        <v>-97100.4594371525</v>
      </c>
      <c r="L14" s="123" t="n">
        <f aca="false">J14+K14</f>
        <v>31203.2236438784</v>
      </c>
      <c r="M14" s="0"/>
      <c r="N14" s="500" t="n">
        <f aca="false">A14</f>
        <v>37226</v>
      </c>
      <c r="O14" s="501" t="n">
        <v>25.25</v>
      </c>
      <c r="P14" s="501" t="n">
        <v>25.25</v>
      </c>
      <c r="Q14" s="502" t="n">
        <f aca="false">AVERAGE(O14:P14)-G14</f>
        <v>-2.39999961853027</v>
      </c>
      <c r="R14" s="503" t="n">
        <f aca="false">+Master!L20</f>
        <v>-0.149999618530273</v>
      </c>
      <c r="S14" s="542" t="n">
        <f aca="false">I14</f>
        <v>27.5</v>
      </c>
      <c r="T14" s="505" t="n">
        <f aca="false">IF(U13=4,T13+1,T13)</f>
        <v>2002</v>
      </c>
      <c r="U14" s="506" t="n">
        <f aca="false">IF(U13=4,1,U13+1)</f>
        <v>2</v>
      </c>
      <c r="V14" s="547" t="str">
        <f aca="false">"Q"&amp;U14&amp;" "&amp;T14</f>
        <v>Q2 2002</v>
      </c>
      <c r="W14" s="508" t="n">
        <f aca="false" t="array" ref="W14:W14">SUM(IF((INT((MONTH($A$12:$A$47)-1)/3)=U14-1)*(YEAR($A$12:$A$47)=T14),$I$12:$I$47*$DK$12:$DK$47))/SUM(IF((INT((MONTH($A$12:$A$47)-1)/3)=U14-1)*(YEAR($A$12:$A$47)=T14),$DK$12:$DK$47))</f>
        <v>33.1692951862202</v>
      </c>
      <c r="X14" s="544" t="n">
        <f aca="false" t="array" ref="X14:X14">AVERAGE(IF((INT((MONTH($A$12:$A$47)-1)/3)=U14-1)*(YEAR($A$12:$A$47)=T14),$I$12:$I$47))</f>
        <v>33.4065892714863</v>
      </c>
      <c r="Y14" s="548" t="n">
        <f aca="false">W14-$W$12</f>
        <v>6.65288893622021</v>
      </c>
      <c r="Z14" s="548" t="n">
        <f aca="false">W14-$W$13</f>
        <v>4.49603950238043</v>
      </c>
      <c r="AA14" s="510" t="n">
        <v>0</v>
      </c>
      <c r="AB14" s="511"/>
      <c r="AC14" s="511"/>
      <c r="AD14" s="511"/>
      <c r="AE14" s="511"/>
      <c r="AF14" s="511"/>
      <c r="AG14" s="511"/>
      <c r="AH14" s="511"/>
      <c r="AI14" s="511"/>
      <c r="AJ14" s="512" t="n">
        <f aca="false">A14</f>
        <v>37226</v>
      </c>
      <c r="AK14" s="513"/>
      <c r="AL14" s="514"/>
      <c r="AM14" s="513"/>
      <c r="AN14" s="514"/>
      <c r="AO14" s="513" t="n">
        <f aca="false">+AO13</f>
        <v>0</v>
      </c>
      <c r="AP14" s="514" t="n">
        <f aca="false">+AP13</f>
        <v>0</v>
      </c>
      <c r="AQ14" s="513" t="n">
        <f aca="false">+AQ13</f>
        <v>0</v>
      </c>
      <c r="AR14" s="514" t="n">
        <f aca="false">+AR13</f>
        <v>0</v>
      </c>
      <c r="AS14" s="515" t="n">
        <v>2050</v>
      </c>
      <c r="AT14" s="516" t="n">
        <v>27.6499996185303</v>
      </c>
      <c r="AU14" s="513"/>
      <c r="AV14" s="514"/>
      <c r="AW14" s="513"/>
      <c r="AX14" s="517"/>
      <c r="AY14" s="513"/>
      <c r="AZ14" s="514"/>
      <c r="BA14" s="513"/>
      <c r="BB14" s="514"/>
      <c r="BC14" s="513"/>
      <c r="BD14" s="514"/>
      <c r="BE14" s="513"/>
      <c r="BF14" s="514"/>
      <c r="BG14" s="513"/>
      <c r="BH14" s="514"/>
      <c r="BI14" s="520"/>
      <c r="BJ14" s="517"/>
      <c r="BK14" s="520"/>
      <c r="BL14" s="517"/>
      <c r="BM14" s="520"/>
      <c r="BN14" s="517"/>
      <c r="BO14" s="520"/>
      <c r="BP14" s="517"/>
      <c r="BQ14" s="520"/>
      <c r="BR14" s="517"/>
      <c r="BS14" s="520"/>
      <c r="BT14" s="517"/>
      <c r="BU14" s="520"/>
      <c r="BV14" s="517"/>
      <c r="BW14" s="520"/>
      <c r="BX14" s="517"/>
      <c r="BY14" s="523" t="n">
        <f aca="false">AK14+AM14+AO14+AQ14+AU14+AW14+AY14+BA14+BC14+BE14+BG14+BI14+BK14+BM14+BO14+BQ14+BS14+BU14+BW14+AS14</f>
        <v>2050</v>
      </c>
      <c r="BZ14" s="524" t="n">
        <f aca="false">IF(AND(BY14=0,CC14=0),0,(ABS(AK14)*AL14+ABS(AM14)*AN14+ABS(AO14)*AP14+ABS(AQ14)*AR14+ABS(AU14)*AV14+ABS(AW14)*AX14+ABS(AY14)*AZ14+ABS(BA14)*BB14+ABS(BC14)*BD14+ABS(BE14)*BF14+ABS(BG14)*BH14+ABS(BI14)*BJ14+ABS(BK14)*BL14+ABS(BM14)*BN14+ABS(BO14)*BP14+ABS(BQ14)*BR14+ABS(BS14)*BT14+ABS(BU14)*BV14+ABS(BW14)*BX14)/CC14)</f>
        <v>0</v>
      </c>
      <c r="CB14" s="525" t="n">
        <f aca="false">AJ14</f>
        <v>37226</v>
      </c>
      <c r="CC14" s="222" t="n">
        <f aca="false">ABS(AK14)+ABS(AM14)+ABS(AO14)+ABS(AQ14)+ABS(AS14)+ABS(AU14)+ABS(AW14)+ABS(AY14)+ABS(BA14)+ABS(BC14)+ABS(BE14)+ABS(BG14)+ABS(BI14)+ABS(BK14)+ABS(BM14)+ABS(BO14)+ABS(BQ14)+ABS(BS14)+ABS(BU14)+ABS(BW14)</f>
        <v>2050</v>
      </c>
      <c r="CD14" s="526" t="n">
        <f aca="false">16*DK14</f>
        <v>320</v>
      </c>
      <c r="CE14" s="222" t="n">
        <f aca="false">VLOOKUP(A14,Interest!$X$8:$AC$367,6)</f>
        <v>0.986795796514416</v>
      </c>
      <c r="CF14" s="527" t="n">
        <f aca="false">E14-B14</f>
        <v>647338.042513457</v>
      </c>
      <c r="CG14" s="527" t="n">
        <f aca="false">IF(YEAR($AJ14)=$CG$10,(($I14-$AL$48)*$AK$48+($I14-$AN$48)*$AM$48+($I14-$AP$48)*$AO$48+($I14-$AR$48)*$AQ$48+($I14-$AT$48)*$AS$48+($I14-$AV$48)*$AU$48+($I14-$AX$48)*$AW$48+($I14-$AZ$48)*$AY$48+($I14-$BB$48)*$BA$48+($I14-$BD$48)*$BC$48+($I14-$BF$48)*$BE$48+($I14-$BH$48)*$BG$48+($I14-$BJ$48)*$BI$48+($I14-$BL$48)*$BK$48+($I14-$BN$48)*$BM$48+($I14-$BP$48)*$BO$48+($I14-$BR$48)*$BQ$48+($I14-$BT$48)*$BS$48+($I14-$BV$48)*$BU$48+($I14-$BX$48)*$BW$48)*$CD14*$CE14,0)</f>
        <v>0</v>
      </c>
      <c r="CH14" s="527" t="n">
        <f aca="false">IF(YEAR($AJ14)=$CH$10,(($I14-$AL$49)*$AK$49+($I14-$AN$49)*$AM$49+($I14-$AP$49)*$AO$49+($I14-$AR$49)*$AQ$49+($I14-$AT$49)*$AS$49+($I14-$AV$49)*$AU$49+($I14-$AX$49)*$AW$49+($I14-$AZ$49)*$AY$49+($I14-$BB$49)*$BA$49+($I14-$BD$49)*$BC$49+($I14-$BF$49)*$BE$49+($I14-$BH$49)*$BG$49+($I14-$BJ$49)*$BI$49+($I14-$BL$49)*$BK$49+($I14-$BN$49)*$BM$49+($I14-$BP$49)*$BO$49+($I14-$BR$49)*$BQ$49+($I14-$BT$49)*$BS$49+($I14-$BV$49)*$BU$49+($I14-$BX$49)*$BW$49)*$CD14*$CE14,0)</f>
        <v>0</v>
      </c>
      <c r="CI14" s="527" t="n">
        <f aca="false">IF(YEAR($AJ14)=$CI$10,(($I14-$AL$50)*$AK$50+($I14-$AN$50)*$AM$50+($I14-$AP$50)*$AO$50+($I14-$AR$50)*$AQ$50+($I14-$AT$50)*$AS$50+($I14-$AV$50)*$AU$50+($I14-$AX$50)*$AW$50+($I14-$AZ$50)*$AY$50+($I14-$BB$50)*$BA$50+($I14-$BD$50)*$BC$50+($I14-$BF$50)*$BE$50+($I14-$BH$50)*$BG$50+($I14-$BJ$50)*$BI$50+($I14-$BL$50)*$BK$50+($I14-$BN$50)*$BM$50+($I14-$BP$50)*$BO$50+($I14-$BR$50)*$BQ$50+($I14-$BT$50)*$BS$50+($I14-$BV$50)*$BU$50+($I14-$BX$50)*$BW$50)*$CD14*$CE14,0)</f>
        <v>0</v>
      </c>
      <c r="CJ14" s="439" t="n">
        <f aca="false">CC14*CD14</f>
        <v>656000</v>
      </c>
      <c r="CK14" s="528" t="str">
        <f aca="false">DDE("TWINDDE","RSFRecord","NGM1 LAST")</f>
        <v>+NA+</v>
      </c>
      <c r="CL14" s="529" t="n">
        <v>7.85</v>
      </c>
      <c r="CM14" s="530" t="n">
        <f aca="false">+CF14*CL14/10000</f>
        <v>508.160363373064</v>
      </c>
      <c r="CN14" s="439" t="str">
        <f aca="false">DDE("TWINDDE","RSFRecord","NGM1 CLS")</f>
        <v>+NA+</v>
      </c>
      <c r="CO14" s="439" t="e">
        <f aca="false">+CN14-CN13</f>
        <v>#VALUE!</v>
      </c>
      <c r="CV14" s="531"/>
      <c r="DJ14" s="532" t="n">
        <f aca="false">[1]Cinergy!$D36</f>
        <v>37226</v>
      </c>
      <c r="DK14" s="440" t="n">
        <f aca="false">VLOOKUP(DJ14,DL14:DM255,2)</f>
        <v>20</v>
      </c>
      <c r="DL14" s="533" t="n">
        <v>35796</v>
      </c>
      <c r="DM14" s="459" t="n">
        <v>21</v>
      </c>
      <c r="DP14" s="534" t="n">
        <f aca="false">[1]Cinergy!$D5</f>
        <v>37144</v>
      </c>
      <c r="DQ14" s="234" t="n">
        <f aca="false">[1]OPPD_NPPD!$O5+[1]NSP!$O5</f>
        <v>1194.7822265625</v>
      </c>
      <c r="DR14" s="234" t="n">
        <f aca="false">[1]COMED!$O5</f>
        <v>15930.4296875</v>
      </c>
      <c r="DS14" s="234" t="n">
        <f aca="false">DQ14+DR14</f>
        <v>17125.2119140625</v>
      </c>
      <c r="DT14" s="234" t="n">
        <f aca="false">SUM([1]OPPD_NPPD!$P5:$R5)+SUM([1]NSP!$P5:$R5)</f>
        <v>0</v>
      </c>
      <c r="DU14" s="234" t="n">
        <f aca="false">SUM([1]COMED!$P5:$R5)</f>
        <v>-796.521484375</v>
      </c>
      <c r="DV14" s="234" t="n">
        <f aca="false">DT14+DU14</f>
        <v>-796.521484375</v>
      </c>
      <c r="DW14" s="535"/>
      <c r="DX14" s="536" t="n">
        <f aca="false">[1]OtherPosn!$D5</f>
        <v>37316</v>
      </c>
      <c r="DY14" s="234" t="n">
        <f aca="false">[1]OtherPosn!$N5</f>
        <v>32927.16796875</v>
      </c>
      <c r="DZ14" s="234" t="n">
        <f aca="false">SUM([1]OtherPosn!$O5:$P5)</f>
        <v>0</v>
      </c>
      <c r="EO14" s="532" t="n">
        <f aca="false">DJ14</f>
        <v>37226</v>
      </c>
      <c r="EP14" s="234" t="n">
        <f aca="false">DK14</f>
        <v>20</v>
      </c>
      <c r="EQ14" s="473" t="n">
        <f aca="false">O13*$EP14</f>
        <v>670</v>
      </c>
      <c r="ER14" s="473" t="n">
        <f aca="false">P13*$EP14</f>
        <v>670</v>
      </c>
      <c r="ES14" s="439" t="n">
        <f aca="false">IF(YEAR($EO14)=2000,EP14,0)</f>
        <v>0</v>
      </c>
      <c r="ET14" s="439" t="n">
        <f aca="false">IF(YEAR($EO14)=2000,EQ14,0)</f>
        <v>0</v>
      </c>
      <c r="EU14" s="439" t="n">
        <f aca="false">IF(YEAR($EO14)=2000,ER14,0)</f>
        <v>0</v>
      </c>
    </row>
    <row r="15" customFormat="false" ht="18.75" hidden="false" customHeight="false" outlineLevel="0" collapsed="false">
      <c r="A15" s="537" t="n">
        <f aca="false">[1]Cinergy!$D37</f>
        <v>37257</v>
      </c>
      <c r="B15" s="180" t="n">
        <f aca="false">[1]Cinergy!$O37</f>
        <v>130040.0703125</v>
      </c>
      <c r="C15" s="538" t="n">
        <f aca="false">B15/(CE15*CD15)</f>
        <v>375.409594677419</v>
      </c>
      <c r="D15" s="538" t="n">
        <f aca="false">BY15+IF(YEAR(A15)=$T$20,$BY$48,0)+IF(YEAR(A15)=$T$21,$BY$49,0)+IF(YEAR(A15)=$T$22,$BY$50,0)</f>
        <v>600</v>
      </c>
      <c r="E15" s="160" t="n">
        <f aca="false">B15+(D15*CD15*CE15)</f>
        <v>337877.172223931</v>
      </c>
      <c r="F15" s="539" t="n">
        <f aca="false">C15+D15</f>
        <v>975.409594677419</v>
      </c>
      <c r="G15" s="540" t="n">
        <f aca="false">[1]Cinergy!$E37</f>
        <v>29.6666679382324</v>
      </c>
      <c r="H15" s="498" t="n">
        <f aca="false">IF($R$9,R15,Q15)</f>
        <v>-0.250000181652251</v>
      </c>
      <c r="I15" s="541" t="n">
        <f aca="false">G15+H15</f>
        <v>29.4166677565802</v>
      </c>
      <c r="J15" s="160" t="n">
        <f aca="false">H15*B15</f>
        <v>-32510.0412001964</v>
      </c>
      <c r="K15" s="114" t="n">
        <f aca="false">(((I15-AL15)*AK15+(I15-AN15)*AM15+(I15-AP15)*AO15+(I15-AR15)*AQ15+(I15-AT15)*AS15+(I15-AV15)*AU15+(I15-AX15)*AW15+(I15-AZ15)*AY15+(I15-BB15)*BA15+(I15-BD15)*BC15+(I15-BF15)*BE15+(I15-BH15)*BG15+(I15-BJ15)*BI15+(I15-BL15)*BK15+(I15-BN15)*BM15+(I15-BP15)*BO15+(I15-BR15)*BQ15+(I15-BT15)*BS15+(I15-BV15)*BU15+(I15-BX15)*BW15)*CD15*CE15)+CG15+CH15+CI15</f>
        <v>-51959.3132319352</v>
      </c>
      <c r="L15" s="114" t="n">
        <f aca="false">J15+K15</f>
        <v>-84469.3544321316</v>
      </c>
      <c r="M15" s="549"/>
      <c r="N15" s="500" t="n">
        <f aca="false">A15</f>
        <v>37257</v>
      </c>
      <c r="O15" s="501" t="n">
        <v>25.25</v>
      </c>
      <c r="P15" s="501" t="n">
        <v>25.25</v>
      </c>
      <c r="Q15" s="502" t="n">
        <f aca="false">AVERAGE(O15:P15)-G15</f>
        <v>-4.41666793823242</v>
      </c>
      <c r="R15" s="503" t="n">
        <f aca="false">+Master!L25</f>
        <v>-0.250000181652251</v>
      </c>
      <c r="S15" s="542" t="n">
        <f aca="false">I15</f>
        <v>29.4166677565802</v>
      </c>
      <c r="T15" s="505" t="n">
        <f aca="false">IF(U14=4,T14+1,T14)</f>
        <v>2002</v>
      </c>
      <c r="U15" s="506" t="n">
        <f aca="false">IF(U14=4,1,U14+1)</f>
        <v>3</v>
      </c>
      <c r="V15" s="543" t="str">
        <f aca="false">"Q"&amp;U15&amp;" "&amp;T15</f>
        <v>Q3 2002</v>
      </c>
      <c r="W15" s="508" t="n">
        <f aca="false" t="array" ref="W15:W15">SUM(IF((INT((MONTH($A$12:$A$47)-1)/3)=U15-1)*(YEAR($A$12:$A$47)=T15),$I$12:$I$47*$DK$12:$DK$47))/SUM(IF((INT((MONTH($A$12:$A$47)-1)/3)=U15-1)*(YEAR($A$12:$A$47)=T15),$DK$12:$DK$47))</f>
        <v>46.5546875</v>
      </c>
      <c r="X15" s="544" t="n">
        <f aca="false" t="array" ref="X15:X15">AVERAGE(IF((INT((MONTH($A$12:$A$47)-1)/3)=U15-1)*(YEAR($A$12:$A$47)=T15),$I$12:$I$47))</f>
        <v>46</v>
      </c>
      <c r="Y15" s="545" t="n">
        <f aca="false">W15-$W$12</f>
        <v>20.03828125</v>
      </c>
      <c r="Z15" s="545" t="n">
        <f aca="false">W15-$W$13</f>
        <v>17.8814318161602</v>
      </c>
      <c r="AA15" s="545" t="n">
        <f aca="false">W15-$W$14</f>
        <v>13.3853923137798</v>
      </c>
      <c r="AB15" s="546" t="n">
        <v>0</v>
      </c>
      <c r="AC15" s="511"/>
      <c r="AD15" s="511"/>
      <c r="AE15" s="511"/>
      <c r="AF15" s="511"/>
      <c r="AG15" s="511"/>
      <c r="AH15" s="511"/>
      <c r="AI15" s="511"/>
      <c r="AJ15" s="512" t="n">
        <f aca="false">A15</f>
        <v>37257</v>
      </c>
      <c r="AK15" s="513"/>
      <c r="AL15" s="514"/>
      <c r="AM15" s="513"/>
      <c r="AN15" s="514"/>
      <c r="AO15" s="513"/>
      <c r="AP15" s="514"/>
      <c r="AQ15" s="513"/>
      <c r="AR15" s="514"/>
      <c r="AS15" s="515" t="n">
        <v>600</v>
      </c>
      <c r="AT15" s="516" t="n">
        <v>29.6666679382324</v>
      </c>
      <c r="AU15" s="550"/>
      <c r="AV15" s="551"/>
      <c r="AW15" s="550"/>
      <c r="AX15" s="551"/>
      <c r="AY15" s="515"/>
      <c r="AZ15" s="552"/>
      <c r="BA15" s="513"/>
      <c r="BB15" s="514"/>
      <c r="BC15" s="513"/>
      <c r="BD15" s="514"/>
      <c r="BE15" s="513"/>
      <c r="BF15" s="514"/>
      <c r="BG15" s="513"/>
      <c r="BH15" s="514"/>
      <c r="BI15" s="520"/>
      <c r="BJ15" s="517"/>
      <c r="BK15" s="520"/>
      <c r="BL15" s="517"/>
      <c r="BM15" s="520"/>
      <c r="BN15" s="517"/>
      <c r="BO15" s="520"/>
      <c r="BP15" s="517"/>
      <c r="BQ15" s="520"/>
      <c r="BR15" s="517"/>
      <c r="BS15" s="520"/>
      <c r="BT15" s="517"/>
      <c r="BU15" s="520"/>
      <c r="BV15" s="517"/>
      <c r="BW15" s="520"/>
      <c r="BX15" s="517"/>
      <c r="BY15" s="523" t="n">
        <f aca="false">AK15+AM15+AO15+AQ15+AU15+AW15+AY15+BA15+BC15+BE15+BG15+BI15+BK15+BM15+BO15+BQ15+BS15+BU15+BW15+AS15</f>
        <v>600</v>
      </c>
      <c r="BZ15" s="524" t="n">
        <f aca="false">IF(AND(BY15=0,CC15=0),0,(ABS(AK15)*AL15+ABS(AM15)*AN15+ABS(AO15)*AP15+ABS(AQ15)*AR15+ABS(AU15)*AV15+ABS(AW15)*AX15+ABS(AY15)*AZ15+ABS(BA15)*BB15+ABS(BC15)*BD15+ABS(BE15)*BF15+ABS(BG15)*BH15+ABS(BI15)*BJ15+ABS(BK15)*BL15+ABS(BM15)*BN15+ABS(BO15)*BP15+ABS(BQ15)*BR15+ABS(BS15)*BT15+ABS(BU15)*BV15+ABS(BW15)*BX15)/CC15)</f>
        <v>0</v>
      </c>
      <c r="CB15" s="525" t="n">
        <f aca="false">AJ15</f>
        <v>37257</v>
      </c>
      <c r="CC15" s="222" t="n">
        <f aca="false">ABS(AK15)+ABS(AM15)+ABS(AO15)+ABS(AQ15)+ABS(AS15)+ABS(AU15)+ABS(AW15)+ABS(AY15)+ABS(BA15)+ABS(BC15)+ABS(BE15)+ABS(BG15)+ABS(BI15)+ABS(BK15)+ABS(BM15)+ABS(BO15)+ABS(BQ15)+ABS(BS15)+ABS(BU15)+ABS(BW15)</f>
        <v>600</v>
      </c>
      <c r="CD15" s="526" t="n">
        <f aca="false">16*DK15</f>
        <v>352</v>
      </c>
      <c r="CE15" s="222" t="n">
        <f aca="false">VLOOKUP(A15,Interest!$X$8:$AC$367,6)</f>
        <v>0.984077187080641</v>
      </c>
      <c r="CF15" s="527" t="n">
        <f aca="false">E15-B15</f>
        <v>207837.101911431</v>
      </c>
      <c r="CG15" s="527" t="n">
        <f aca="false">IF(YEAR($AJ15)=$CG$10,(($I15-$AL$48)*$AK$48+($I15-$AN$48)*$AM$48+($I15-$AP$48)*$AO$48+($I15-$AR$48)*$AQ$48+($I15-$AT$48)*$AS$48+($I15-$AV$48)*$AU$48+($I15-$AX$48)*$AW$48+($I15-$AZ$48)*$AY$48+($I15-$BB$48)*$BA$48+($I15-$BD$48)*$BC$48+($I15-$BF$48)*$BE$48+($I15-$BH$48)*$BG$48+($I15-$BJ$48)*$BI$48+($I15-$BL$48)*$BK$48+($I15-$BN$48)*$BM$48+($I15-$BP$48)*$BO$48+($I15-$BR$48)*$BQ$48+($I15-$BT$48)*$BS$48+($I15-$BV$48)*$BU$48+($I15-$BX$48)*$BW$48)*$CD15*$CE15,0)</f>
        <v>0</v>
      </c>
      <c r="CH15" s="527" t="n">
        <f aca="false">IF(YEAR($AJ15)=$CH$10,(($I15-$AL$49)*$AK$49+($I15-$AN$49)*$AM$49+($I15-$AP$49)*$AO$49+($I15-$AR$49)*$AQ$49+($I15-$AT$49)*$AS$49+($I15-$AV$49)*$AU$49+($I15-$AX$49)*$AW$49+($I15-$AZ$49)*$AY$49+($I15-$BB$49)*$BA$49+($I15-$BD$49)*$BC$49+($I15-$BF$49)*$BE$49+($I15-$BH$49)*$BG$49+($I15-$BJ$49)*$BI$49+($I15-$BL$49)*$BK$49+($I15-$BN$49)*$BM$49+($I15-$BP$49)*$BO$49+($I15-$BR$49)*$BQ$49+($I15-$BT$49)*$BS$49+($I15-$BV$49)*$BU$49+($I15-$BX$49)*$BW$49)*$CD15*$CE15,0)</f>
        <v>0</v>
      </c>
      <c r="CI15" s="527" t="n">
        <f aca="false">IF(YEAR($AJ15)=$CI$10,(($I15-$AL$50)*$AK$50+($I15-$AN$50)*$AM$50+($I15-$AP$50)*$AO$50+($I15-$AR$50)*$AQ$50+($I15-$AT$50)*$AS$50+($I15-$AV$50)*$AU$50+($I15-$AX$50)*$AW$50+($I15-$AZ$50)*$AY$50+($I15-$BB$50)*$BA$50+($I15-$BD$50)*$BC$50+($I15-$BF$50)*$BE$50+($I15-$BH$50)*$BG$50+($I15-$BJ$50)*$BI$50+($I15-$BL$50)*$BK$50+($I15-$BN$50)*$BM$50+($I15-$BP$50)*$BO$50+($I15-$BR$50)*$BQ$50+($I15-$BT$50)*$BS$50+($I15-$BV$50)*$BU$50+($I15-$BX$50)*$BW$50)*$CD15*$CE15,0)</f>
        <v>0</v>
      </c>
      <c r="CJ15" s="439" t="n">
        <f aca="false">CC15*CD15</f>
        <v>211200</v>
      </c>
      <c r="CK15" s="528" t="str">
        <f aca="false">DDE("TWINDDE","RSFRecord","NGN1 LAST")</f>
        <v>+NA+</v>
      </c>
      <c r="CL15" s="529" t="n">
        <v>7.82</v>
      </c>
      <c r="CM15" s="530" t="n">
        <f aca="false">+CF15*CL15/10000</f>
        <v>162.528613694739</v>
      </c>
      <c r="CN15" s="439" t="str">
        <f aca="false">DDE("TWINDDE","RSFRecord","NGN1 CLS")</f>
        <v>+NA+</v>
      </c>
      <c r="CO15" s="439" t="e">
        <f aca="false">+CN15-CN14</f>
        <v>#VALUE!</v>
      </c>
      <c r="CQ15" s="535"/>
      <c r="CV15" s="531"/>
      <c r="DJ15" s="532" t="n">
        <f aca="false">[1]Cinergy!$D37</f>
        <v>37257</v>
      </c>
      <c r="DK15" s="440" t="n">
        <f aca="false">VLOOKUP(DJ15,DL15:DM256,2)</f>
        <v>22</v>
      </c>
      <c r="DL15" s="533" t="n">
        <v>35827</v>
      </c>
      <c r="DM15" s="459" t="n">
        <v>20</v>
      </c>
      <c r="DP15" s="534" t="n">
        <f aca="false">[1]Cinergy!$D6</f>
        <v>37145</v>
      </c>
      <c r="DQ15" s="234" t="n">
        <f aca="false">[1]OPPD_NPPD!$O6+[1]NSP!$O6</f>
        <v>1194.7822265625</v>
      </c>
      <c r="DR15" s="234" t="n">
        <f aca="false">[1]COMED!$O6</f>
        <v>15930.4296875</v>
      </c>
      <c r="DS15" s="234" t="n">
        <f aca="false">DQ15+DR15</f>
        <v>17125.2119140625</v>
      </c>
      <c r="DT15" s="234" t="n">
        <f aca="false">SUM([1]OPPD_NPPD!$P6:$R6)+SUM([1]NSP!$P6:$R6)</f>
        <v>0</v>
      </c>
      <c r="DU15" s="234" t="n">
        <f aca="false">SUM([1]COMED!$P6:$R6)</f>
        <v>-796.521484375</v>
      </c>
      <c r="DV15" s="234" t="n">
        <f aca="false">DT15+DU15</f>
        <v>-796.521484375</v>
      </c>
      <c r="DW15" s="535"/>
      <c r="DX15" s="536" t="n">
        <f aca="false">[1]OtherPosn!$D6</f>
        <v>37347</v>
      </c>
      <c r="DY15" s="234" t="n">
        <f aca="false">[1]OtherPosn!$N6</f>
        <v>34387.6953125</v>
      </c>
      <c r="DZ15" s="234" t="n">
        <f aca="false">SUM([1]OtherPosn!$O6:$P6)</f>
        <v>0</v>
      </c>
      <c r="EO15" s="532" t="n">
        <f aca="false">DJ15</f>
        <v>37257</v>
      </c>
      <c r="EP15" s="234" t="n">
        <f aca="false">DK15</f>
        <v>22</v>
      </c>
      <c r="EQ15" s="473" t="n">
        <f aca="false">O14*$EP15</f>
        <v>555.5</v>
      </c>
      <c r="ER15" s="473" t="n">
        <f aca="false">P14*$EP15</f>
        <v>555.5</v>
      </c>
      <c r="ES15" s="439" t="n">
        <f aca="false">IF(YEAR($EO15)=2000,EP15,0)</f>
        <v>0</v>
      </c>
      <c r="ET15" s="439" t="n">
        <f aca="false">IF(YEAR($EO15)=2000,EQ15,0)</f>
        <v>0</v>
      </c>
      <c r="EU15" s="439" t="n">
        <f aca="false">IF(YEAR($EO15)=2000,ER15,0)</f>
        <v>0</v>
      </c>
    </row>
    <row r="16" customFormat="false" ht="18.75" hidden="false" customHeight="false" outlineLevel="0" collapsed="false">
      <c r="A16" s="95" t="n">
        <f aca="false">[1]Cinergy!$D38</f>
        <v>37288</v>
      </c>
      <c r="B16" s="122" t="n">
        <f aca="false">[1]Cinergy!$O38</f>
        <v>116952.0859375</v>
      </c>
      <c r="C16" s="163" t="n">
        <f aca="false">B16/(CE16*CD16)</f>
        <v>372.378993134201</v>
      </c>
      <c r="D16" s="496" t="n">
        <f aca="false">BY16+IF(YEAR(A16)=$T$20,$BY$48,0)+IF(YEAR(A16)=$T$21,$BY$49,0)+IF(YEAR(A16)=$T$22,$BY$50,0)</f>
        <v>600</v>
      </c>
      <c r="E16" s="163" t="n">
        <f aca="false">B16+(D16*CD16*CE16)</f>
        <v>305392.499753247</v>
      </c>
      <c r="F16" s="497" t="n">
        <f aca="false">C16+D16</f>
        <v>972.378993134201</v>
      </c>
      <c r="G16" s="498" t="n">
        <f aca="false">[1]Cinergy!$E38</f>
        <v>29.3166656494141</v>
      </c>
      <c r="H16" s="498" t="n">
        <f aca="false">IF($R$9,R16,Q16)</f>
        <v>-0.250000181652251</v>
      </c>
      <c r="I16" s="499" t="n">
        <f aca="false">G16+H16</f>
        <v>29.0666654677618</v>
      </c>
      <c r="J16" s="122" t="n">
        <f aca="false">H16*B16</f>
        <v>-29238.0427289846</v>
      </c>
      <c r="K16" s="123" t="n">
        <f aca="false">(((I16-AL16)*AK16+(I16-AN16)*AM16+(I16-AP16)*AO16+(I16-AR16)*AQ16+(I16-AT16)*AS16+(I16-AV16)*AU16+(I16-AX16)*AW16+(I16-AZ16)*AY16+(I16-BB16)*BA16+(I16-BD16)*BC16+(I16-BF16)*BE16+(I16-BH16)*BG16+(I16-BJ16)*BI16+(I16-BL16)*BK16+(I16-BN16)*BM16+(I16-BP16)*BO16+(I16-BR16)*BQ16+(I16-BT16)*BS16+(I16-BV16)*BU16+(I16-BX16)*BW16)*CD16*CE16)+CG16+CH16+CI16</f>
        <v>-47110.137684562</v>
      </c>
      <c r="L16" s="123" t="n">
        <f aca="false">J16+K16</f>
        <v>-76348.1804135466</v>
      </c>
      <c r="M16" s="0"/>
      <c r="N16" s="500" t="n">
        <f aca="false">A16</f>
        <v>37288</v>
      </c>
      <c r="O16" s="501" t="n">
        <v>25.25</v>
      </c>
      <c r="P16" s="501" t="n">
        <v>25.25</v>
      </c>
      <c r="Q16" s="502" t="n">
        <f aca="false">AVERAGE(O16:P16)-G16</f>
        <v>-4.06666564941406</v>
      </c>
      <c r="R16" s="503" t="n">
        <f aca="false">+R15</f>
        <v>-0.250000181652251</v>
      </c>
      <c r="S16" s="542" t="n">
        <f aca="false">I16</f>
        <v>29.0666654677618</v>
      </c>
      <c r="T16" s="505" t="n">
        <f aca="false">IF(U15=4,T15+1,T15)</f>
        <v>2002</v>
      </c>
      <c r="U16" s="506" t="n">
        <f aca="false">IF(U15=4,1,U15+1)</f>
        <v>4</v>
      </c>
      <c r="V16" s="547" t="str">
        <f aca="false">"Q"&amp;U16&amp;" "&amp;T16</f>
        <v>Q4 2002</v>
      </c>
      <c r="W16" s="508" t="n">
        <f aca="false" t="array" ref="W16:W16">SUM(IF((INT((MONTH($A$12:$A$47)-1)/3)=U16-1)*(YEAR($A$12:$A$47)=T16),$I$12:$I$47*$DK$12:$DK$47))/SUM(IF((INT((MONTH($A$12:$A$47)-1)/3)=U16-1)*(YEAR($A$12:$A$47)=T16),$DK$12:$DK$47))</f>
        <v>29</v>
      </c>
      <c r="X16" s="544" t="n">
        <f aca="false" t="array" ref="X16:X16">AVERAGE(IF((INT((MONTH($A$12:$A$47)-1)/3)=U16-1)*(YEAR($A$12:$A$47)=T16),$I$12:$I$47))</f>
        <v>29.0062500536442</v>
      </c>
      <c r="Y16" s="548" t="n">
        <f aca="false">W16-$W$12</f>
        <v>2.48359375</v>
      </c>
      <c r="Z16" s="548" t="n">
        <f aca="false">W16-$W$13</f>
        <v>0.32674431616022</v>
      </c>
      <c r="AA16" s="548" t="n">
        <f aca="false">W16-$W$14</f>
        <v>-4.16929518622021</v>
      </c>
      <c r="AB16" s="548" t="n">
        <f aca="false">W16-$W$15</f>
        <v>-17.5546875</v>
      </c>
      <c r="AC16" s="510" t="n">
        <v>0</v>
      </c>
      <c r="AD16" s="511"/>
      <c r="AE16" s="511"/>
      <c r="AF16" s="511"/>
      <c r="AG16" s="511"/>
      <c r="AH16" s="511"/>
      <c r="AI16" s="511"/>
      <c r="AJ16" s="512" t="n">
        <f aca="false">A16</f>
        <v>37288</v>
      </c>
      <c r="AK16" s="513" t="n">
        <f aca="false">+AK15</f>
        <v>0</v>
      </c>
      <c r="AL16" s="514" t="n">
        <f aca="false">+AL15</f>
        <v>0</v>
      </c>
      <c r="AM16" s="513" t="n">
        <f aca="false">+AM15</f>
        <v>0</v>
      </c>
      <c r="AN16" s="514" t="n">
        <f aca="false">+AN15</f>
        <v>0</v>
      </c>
      <c r="AO16" s="513" t="n">
        <f aca="false">+AO15</f>
        <v>0</v>
      </c>
      <c r="AP16" s="514" t="n">
        <f aca="false">+AP15</f>
        <v>0</v>
      </c>
      <c r="AQ16" s="513" t="n">
        <f aca="false">+AQ15</f>
        <v>0</v>
      </c>
      <c r="AR16" s="514" t="n">
        <f aca="false">+AR15</f>
        <v>0</v>
      </c>
      <c r="AS16" s="515" t="n">
        <v>600</v>
      </c>
      <c r="AT16" s="516" t="n">
        <v>29.3166656494141</v>
      </c>
      <c r="AU16" s="550" t="n">
        <f aca="false">+AU15</f>
        <v>0</v>
      </c>
      <c r="AV16" s="551" t="n">
        <f aca="false">+AV15</f>
        <v>0</v>
      </c>
      <c r="AW16" s="550" t="n">
        <f aca="false">+AW15</f>
        <v>0</v>
      </c>
      <c r="AX16" s="551" t="n">
        <f aca="false">+AX15</f>
        <v>0</v>
      </c>
      <c r="AY16" s="518"/>
      <c r="AZ16" s="519"/>
      <c r="BA16" s="550"/>
      <c r="BB16" s="551"/>
      <c r="BC16" s="513"/>
      <c r="BD16" s="514"/>
      <c r="BE16" s="513"/>
      <c r="BF16" s="514"/>
      <c r="BG16" s="513"/>
      <c r="BH16" s="514"/>
      <c r="BI16" s="520"/>
      <c r="BJ16" s="517"/>
      <c r="BK16" s="520"/>
      <c r="BL16" s="517"/>
      <c r="BM16" s="520"/>
      <c r="BN16" s="517"/>
      <c r="BO16" s="520"/>
      <c r="BP16" s="517"/>
      <c r="BQ16" s="520"/>
      <c r="BR16" s="517"/>
      <c r="BS16" s="520"/>
      <c r="BT16" s="517"/>
      <c r="BU16" s="520"/>
      <c r="BV16" s="517"/>
      <c r="BW16" s="520"/>
      <c r="BX16" s="517"/>
      <c r="BY16" s="523" t="n">
        <f aca="false">AK16+AM16+AO16+AQ16+AU16+AW16+AY16+BA16+BC16+BE16+BG16+BI16+BK16+BM16+BO16+BQ16+BS16+BU16+BW16+AS16</f>
        <v>600</v>
      </c>
      <c r="BZ16" s="524" t="n">
        <f aca="false">IF(AND(BY16=0,CC16=0),0,(ABS(AK16)*AL16+ABS(AM16)*AN16+ABS(AO16)*AP16+ABS(AQ16)*AR16+ABS(AU16)*AV16+ABS(AW16)*AX16+ABS(AY16)*AZ16+ABS(BA16)*BB16+ABS(BC16)*BD16+ABS(BE16)*BF16+ABS(BG16)*BH16+ABS(BI16)*BJ16+ABS(BK16)*BL16+ABS(BM16)*BN16+ABS(BO16)*BP16+ABS(BQ16)*BR16+ABS(BS16)*BT16+ABS(BU16)*BV16+ABS(BW16)*BX16)/CC16)</f>
        <v>0</v>
      </c>
      <c r="CB16" s="525" t="n">
        <f aca="false">AJ16</f>
        <v>37288</v>
      </c>
      <c r="CC16" s="222" t="n">
        <f aca="false">ABS(AK16)+ABS(AM16)+ABS(AO16)+ABS(AQ16)+ABS(AS16)+ABS(AU16)+ABS(AW16)+ABS(AY16)+ABS(BA16)+ABS(BC16)+ABS(BE16)+ABS(BG16)+ABS(BI16)+ABS(BK16)+ABS(BM16)+ABS(BO16)+ABS(BQ16)+ABS(BS16)+ABS(BU16)+ABS(BW16)</f>
        <v>600</v>
      </c>
      <c r="CD16" s="526" t="n">
        <f aca="false">16*DK16</f>
        <v>320</v>
      </c>
      <c r="CE16" s="222" t="n">
        <f aca="false">VLOOKUP(A16,Interest!$X$8:$AC$367,6)</f>
        <v>0.981460488623682</v>
      </c>
      <c r="CF16" s="527" t="n">
        <f aca="false">E16-B16</f>
        <v>188440.413815747</v>
      </c>
      <c r="CG16" s="527" t="n">
        <f aca="false">IF(YEAR($AJ16)=$CG$10,(($I16-$AL$48)*$AK$48+($I16-$AN$48)*$AM$48+($I16-$AP$48)*$AO$48+($I16-$AR$48)*$AQ$48+($I16-$AT$48)*$AS$48+($I16-$AV$48)*$AU$48+($I16-$AX$48)*$AW$48+($I16-$AZ$48)*$AY$48+($I16-$BB$48)*$BA$48+($I16-$BD$48)*$BC$48+($I16-$BF$48)*$BE$48+($I16-$BH$48)*$BG$48+($I16-$BJ$48)*$BI$48+($I16-$BL$48)*$BK$48+($I16-$BN$48)*$BM$48+($I16-$BP$48)*$BO$48+($I16-$BR$48)*$BQ$48+($I16-$BT$48)*$BS$48+($I16-$BV$48)*$BU$48+($I16-$BX$48)*$BW$48)*$CD16*$CE16,0)</f>
        <v>0</v>
      </c>
      <c r="CH16" s="527" t="n">
        <f aca="false">IF(YEAR($AJ16)=$CH$10,(($I16-$AL$49)*$AK$49+($I16-$AN$49)*$AM$49+($I16-$AP$49)*$AO$49+($I16-$AR$49)*$AQ$49+($I16-$AT$49)*$AS$49+($I16-$AV$49)*$AU$49+($I16-$AX$49)*$AW$49+($I16-$AZ$49)*$AY$49+($I16-$BB$49)*$BA$49+($I16-$BD$49)*$BC$49+($I16-$BF$49)*$BE$49+($I16-$BH$49)*$BG$49+($I16-$BJ$49)*$BI$49+($I16-$BL$49)*$BK$49+($I16-$BN$49)*$BM$49+($I16-$BP$49)*$BO$49+($I16-$BR$49)*$BQ$49+($I16-$BT$49)*$BS$49+($I16-$BV$49)*$BU$49+($I16-$BX$49)*$BW$49)*$CD16*$CE16,0)</f>
        <v>0</v>
      </c>
      <c r="CI16" s="527" t="n">
        <f aca="false">IF(YEAR($AJ16)=$CI$10,(($I16-$AL$50)*$AK$50+($I16-$AN$50)*$AM$50+($I16-$AP$50)*$AO$50+($I16-$AR$50)*$AQ$50+($I16-$AT$50)*$AS$50+($I16-$AV$50)*$AU$50+($I16-$AX$50)*$AW$50+($I16-$AZ$50)*$AY$50+($I16-$BB$50)*$BA$50+($I16-$BD$50)*$BC$50+($I16-$BF$50)*$BE$50+($I16-$BH$50)*$BG$50+($I16-$BJ$50)*$BI$50+($I16-$BL$50)*$BK$50+($I16-$BN$50)*$BM$50+($I16-$BP$50)*$BO$50+($I16-$BR$50)*$BQ$50+($I16-$BT$50)*$BS$50+($I16-$BV$50)*$BU$50+($I16-$BX$50)*$BW$50)*$CD16*$CE16,0)</f>
        <v>0</v>
      </c>
      <c r="CJ16" s="439" t="n">
        <f aca="false">CC16*CD16</f>
        <v>192000</v>
      </c>
      <c r="CK16" s="528" t="str">
        <f aca="false">DDE("TWINDDE","RSFRecord","NGQ1 LAST")</f>
        <v>+NA+</v>
      </c>
      <c r="CL16" s="529" t="n">
        <v>8.35</v>
      </c>
      <c r="CM16" s="530" t="n">
        <f aca="false">+CF16*CL16/10000</f>
        <v>157.347745536149</v>
      </c>
      <c r="CN16" s="439" t="str">
        <f aca="false">DDE("TWINDDE","RSFRecord","NGQ1 CLS")</f>
        <v>+NA+</v>
      </c>
      <c r="CO16" s="439" t="e">
        <f aca="false">+CN16-CN15</f>
        <v>#VALUE!</v>
      </c>
      <c r="CQ16" s="535" t="n">
        <f aca="false">SUM(CD15:CD16)</f>
        <v>672</v>
      </c>
      <c r="CR16" s="439" t="n">
        <f aca="false">+'EOL LINKS'!H60</f>
        <v>28.625</v>
      </c>
      <c r="CS16" s="439" t="n">
        <f aca="false">+CR16*CQ16</f>
        <v>19236</v>
      </c>
      <c r="CU16" s="458" t="n">
        <f aca="false">+'EOL LINKS'!H68</f>
        <v>25.1</v>
      </c>
      <c r="CV16" s="531" t="n">
        <f aca="false">+CU16*CD12</f>
        <v>9236.8</v>
      </c>
      <c r="DJ16" s="532" t="n">
        <f aca="false">[1]Cinergy!$D38</f>
        <v>37288</v>
      </c>
      <c r="DK16" s="440" t="n">
        <f aca="false">VLOOKUP(DJ16,DL16:DM257,2)</f>
        <v>20</v>
      </c>
      <c r="DL16" s="533" t="n">
        <v>35855</v>
      </c>
      <c r="DM16" s="459" t="n">
        <v>22</v>
      </c>
      <c r="DP16" s="534" t="n">
        <f aca="false">[1]Cinergy!$D7</f>
        <v>37146</v>
      </c>
      <c r="DQ16" s="234" t="n">
        <f aca="false">[1]OPPD_NPPD!$O7+[1]NSP!$O7</f>
        <v>1194.7822265625</v>
      </c>
      <c r="DR16" s="234" t="n">
        <f aca="false">[1]COMED!$O7</f>
        <v>15930.4296875</v>
      </c>
      <c r="DS16" s="234" t="n">
        <f aca="false">DQ16+DR16</f>
        <v>17125.2119140625</v>
      </c>
      <c r="DT16" s="234" t="n">
        <f aca="false">SUM([1]OPPD_NPPD!$P7:$R7)+SUM([1]NSP!$P7:$R7)</f>
        <v>0</v>
      </c>
      <c r="DU16" s="234" t="n">
        <f aca="false">SUM([1]COMED!$P7:$R7)</f>
        <v>-796.521484375</v>
      </c>
      <c r="DV16" s="234" t="n">
        <f aca="false">DT16+DU16</f>
        <v>-796.521484375</v>
      </c>
      <c r="DW16" s="535"/>
      <c r="DX16" s="536" t="n">
        <f aca="false">[1]OtherPosn!$D7</f>
        <v>37377</v>
      </c>
      <c r="DY16" s="234" t="n">
        <f aca="false">[1]OtherPosn!$N7</f>
        <v>34283.1328125</v>
      </c>
      <c r="DZ16" s="234" t="n">
        <f aca="false">SUM([1]OtherPosn!$O7:$P7)</f>
        <v>0</v>
      </c>
      <c r="EO16" s="532" t="n">
        <f aca="false">DJ16</f>
        <v>37288</v>
      </c>
      <c r="EP16" s="234" t="n">
        <f aca="false">DK16</f>
        <v>20</v>
      </c>
      <c r="EQ16" s="473" t="e">
        <f aca="false">#REF!*$EP16</f>
        <v>#REF!</v>
      </c>
      <c r="ER16" s="473" t="e">
        <f aca="false">#REF!*$EP16</f>
        <v>#REF!</v>
      </c>
      <c r="ES16" s="439" t="n">
        <f aca="false">IF(YEAR($EO16)=2000,EP16,0)</f>
        <v>0</v>
      </c>
      <c r="ET16" s="439" t="n">
        <f aca="false">IF(YEAR($EO16)=2000,EQ16,0)</f>
        <v>0</v>
      </c>
      <c r="EU16" s="439" t="n">
        <f aca="false">IF(YEAR($EO16)=2000,ER16,0)</f>
        <v>0</v>
      </c>
    </row>
    <row r="17" customFormat="false" ht="18.75" hidden="false" customHeight="false" outlineLevel="0" collapsed="false">
      <c r="A17" s="537" t="n">
        <f aca="false">[1]Cinergy!$D39</f>
        <v>37316</v>
      </c>
      <c r="B17" s="180" t="n">
        <f aca="false">[1]Cinergy!$O39</f>
        <v>24575.98828125</v>
      </c>
      <c r="C17" s="538" t="n">
        <f aca="false">B17/(CE17*CD17)</f>
        <v>74.7442701103715</v>
      </c>
      <c r="D17" s="538" t="n">
        <f aca="false">BY17+IF(YEAR(A17)=$T$20,$BY$48,0)+IF(YEAR(A17)=$T$21,$BY$49,0)+IF(YEAR(A17)=$T$22,$BY$50,0)</f>
        <v>-50</v>
      </c>
      <c r="E17" s="160" t="n">
        <f aca="false">B17+(D17*CD17*CE17)</f>
        <v>8135.93993710286</v>
      </c>
      <c r="F17" s="539" t="n">
        <f aca="false">C17+D17</f>
        <v>24.7442701103715</v>
      </c>
      <c r="G17" s="540" t="n">
        <f aca="false">[1]Cinergy!$E39</f>
        <v>27.7697677612305</v>
      </c>
      <c r="H17" s="498" t="n">
        <f aca="false">IF($R$9,R17,Q17)</f>
        <v>-0.25000070971112</v>
      </c>
      <c r="I17" s="541" t="n">
        <f aca="false">G17+H17</f>
        <v>27.5197670515194</v>
      </c>
      <c r="J17" s="160" t="n">
        <f aca="false">H17*B17</f>
        <v>-6144.01451216467</v>
      </c>
      <c r="K17" s="114" t="n">
        <f aca="false">(((I17-AL17)*AK17+(I17-AN17)*AM17+(I17-AP17)*AO17+(I17-AR17)*AQ17+(I17-AT17)*AS17+(I17-AV17)*AU17+(I17-AX17)*AW17+(I17-AZ17)*AY17+(I17-BB17)*BA17+(I17-BD17)*BC17+(I17-BF17)*BE17+(I17-BH17)*BG17+(I17-BJ17)*BI17+(I17-BL17)*BK17+(I17-BN17)*BM17+(I17-BP17)*BO17+(I17-BR17)*BQ17+(I17-BT17)*BS17+(I17-BV17)*BU17+(I17-BX17)*BW17)*CD17*CE17)+CG17+CH17+CI17</f>
        <v>4110.02375372191</v>
      </c>
      <c r="L17" s="114" t="n">
        <f aca="false">J17+K17</f>
        <v>-2033.99075844276</v>
      </c>
      <c r="M17" s="0"/>
      <c r="N17" s="500" t="n">
        <f aca="false">A17</f>
        <v>37316</v>
      </c>
      <c r="O17" s="501" t="n">
        <v>30</v>
      </c>
      <c r="P17" s="501" t="n">
        <v>30</v>
      </c>
      <c r="Q17" s="502" t="n">
        <f aca="false">AVERAGE(O17:P17)-G17</f>
        <v>2.23023223876953</v>
      </c>
      <c r="R17" s="503" t="n">
        <f aca="false">+Master!L28</f>
        <v>-0.25000070971112</v>
      </c>
      <c r="S17" s="542" t="n">
        <f aca="false">I17</f>
        <v>27.5197670515194</v>
      </c>
      <c r="T17" s="505" t="n">
        <f aca="false">IF(U16=4,T16+1,T16)</f>
        <v>2003</v>
      </c>
      <c r="U17" s="506" t="n">
        <f aca="false">IF(U16=4,1,U16+1)</f>
        <v>1</v>
      </c>
      <c r="V17" s="543" t="str">
        <f aca="false">"Q"&amp;U17&amp;" "&amp;T17</f>
        <v>Q1 2003</v>
      </c>
      <c r="W17" s="508" t="n">
        <f aca="false" t="array" ref="W17:W17">SUM(IF((INT((MONTH($A$12:$A$47)-1)/3)=U17-1)*(YEAR($A$12:$A$47)=T17),$I$12:$I$47*$DK$12:$DK$47))/SUM(IF((INT((MONTH($A$12:$A$47)-1)/3)=U17-1)*(YEAR($A$12:$A$47)=T17),$DK$12:$DK$47))</f>
        <v>29.4658926438916</v>
      </c>
      <c r="X17" s="544" t="n">
        <f aca="false" t="array" ref="X17:X17">AVERAGE(IF((INT((MONTH($A$12:$A$47)-1)/3)=U17-1)*(YEAR($A$12:$A$47)=T17),$I$12:$I$47))</f>
        <v>29.4563687374866</v>
      </c>
      <c r="Y17" s="545" t="n">
        <f aca="false">W17-$W$12</f>
        <v>2.94948639389156</v>
      </c>
      <c r="Z17" s="545" t="n">
        <f aca="false">W17-$W$13</f>
        <v>0.792636960051784</v>
      </c>
      <c r="AA17" s="545" t="n">
        <f aca="false">W17-$W$14</f>
        <v>-3.70340254232865</v>
      </c>
      <c r="AB17" s="545" t="n">
        <f aca="false">W17-$W$15</f>
        <v>-17.0887948561084</v>
      </c>
      <c r="AC17" s="545" t="n">
        <f aca="false">W17-$W$16</f>
        <v>0.465892643891564</v>
      </c>
      <c r="AD17" s="546" t="n">
        <v>0</v>
      </c>
      <c r="AE17" s="511"/>
      <c r="AF17" s="511"/>
      <c r="AG17" s="511"/>
      <c r="AH17" s="511"/>
      <c r="AI17" s="511"/>
      <c r="AJ17" s="512" t="n">
        <f aca="false">A17</f>
        <v>37316</v>
      </c>
      <c r="AK17" s="513"/>
      <c r="AL17" s="514"/>
      <c r="AM17" s="513"/>
      <c r="AN17" s="514"/>
      <c r="AO17" s="513"/>
      <c r="AP17" s="514"/>
      <c r="AQ17" s="513"/>
      <c r="AR17" s="514"/>
      <c r="AS17" s="515" t="n">
        <v>-50</v>
      </c>
      <c r="AT17" s="516" t="n">
        <v>27.7697677612305</v>
      </c>
      <c r="AU17" s="550" t="n">
        <f aca="false">+AU16</f>
        <v>0</v>
      </c>
      <c r="AV17" s="551" t="n">
        <f aca="false">+AV16</f>
        <v>0</v>
      </c>
      <c r="AW17" s="550" t="n">
        <f aca="false">+AW16</f>
        <v>0</v>
      </c>
      <c r="AX17" s="551" t="n">
        <f aca="false">+AX16</f>
        <v>0</v>
      </c>
      <c r="AY17" s="518"/>
      <c r="AZ17" s="519"/>
      <c r="BA17" s="550"/>
      <c r="BB17" s="551"/>
      <c r="BC17" s="513"/>
      <c r="BD17" s="514"/>
      <c r="BE17" s="513"/>
      <c r="BF17" s="514"/>
      <c r="BG17" s="513"/>
      <c r="BH17" s="514"/>
      <c r="BI17" s="513"/>
      <c r="BJ17" s="517"/>
      <c r="BK17" s="520"/>
      <c r="BL17" s="517"/>
      <c r="BM17" s="520"/>
      <c r="BN17" s="517"/>
      <c r="BO17" s="520"/>
      <c r="BP17" s="517"/>
      <c r="BQ17" s="520"/>
      <c r="BR17" s="517"/>
      <c r="BS17" s="520"/>
      <c r="BT17" s="517"/>
      <c r="BU17" s="520"/>
      <c r="BV17" s="517"/>
      <c r="BW17" s="520"/>
      <c r="BX17" s="517"/>
      <c r="BY17" s="523" t="n">
        <f aca="false">AK17+AM17+AO17+AQ17+AU17+AW17+AY17+BA17+BC17+BE17+BG17+BI17+BK17+BM17+BO17+BQ17+BS17+BU17+BW17+AS17</f>
        <v>-50</v>
      </c>
      <c r="BZ17" s="524" t="n">
        <f aca="false">IF(AND(BY17=0,CC17=0),0,(ABS(AK17)*AL17+ABS(AM17)*AN17+ABS(AO17)*AP17+ABS(AQ17)*AR17+ABS(AU17)*AV17+ABS(AW17)*AX17+ABS(AY17)*AZ17+ABS(BA17)*BB17+ABS(BC17)*BD17+ABS(BE17)*BF17+ABS(BG17)*BH17+ABS(BI17)*BJ17+ABS(BK17)*BL17+ABS(BM17)*BN17+ABS(BO17)*BP17+ABS(BQ17)*BR17+ABS(BS17)*BT17+ABS(BU17)*BV17+ABS(BW17)*BX17)/CC17)</f>
        <v>0</v>
      </c>
      <c r="CB17" s="525" t="n">
        <f aca="false">AJ17</f>
        <v>37316</v>
      </c>
      <c r="CC17" s="222" t="n">
        <f aca="false">ABS(AK17)+ABS(AM17)+ABS(AO17)+ABS(AQ17)+ABS(AS17)+ABS(AU17)+ABS(AW17)+ABS(AY17)+ABS(BA17)+ABS(BC17)+ABS(BE17)+ABS(BG17)+ABS(BI17)+ABS(BK17)+ABS(BM17)+ABS(BO17)+ABS(BQ17)+ABS(BS17)+ABS(BU17)+ABS(BW17)</f>
        <v>50</v>
      </c>
      <c r="CD17" s="526" t="n">
        <f aca="false">16*DK17</f>
        <v>336</v>
      </c>
      <c r="CE17" s="222" t="n">
        <f aca="false">VLOOKUP(A17,Interest!$X$8:$AC$367,6)</f>
        <v>0.978574306199235</v>
      </c>
      <c r="CF17" s="527" t="n">
        <f aca="false">E17-B17</f>
        <v>-16440.0483441471</v>
      </c>
      <c r="CG17" s="527" t="n">
        <f aca="false">IF(YEAR($AJ17)=$CG$10,(($I17-$AL$48)*$AK$48+($I17-$AN$48)*$AM$48+($I17-$AP$48)*$AO$48+($I17-$AR$48)*$AQ$48+($I17-$AT$48)*$AS$48+($I17-$AV$48)*$AU$48+($I17-$AX$48)*$AW$48+($I17-$AZ$48)*$AY$48+($I17-$BB$48)*$BA$48+($I17-$BD$48)*$BC$48+($I17-$BF$48)*$BE$48+($I17-$BH$48)*$BG$48+($I17-$BJ$48)*$BI$48+($I17-$BL$48)*$BK$48+($I17-$BN$48)*$BM$48+($I17-$BP$48)*$BO$48+($I17-$BR$48)*$BQ$48+($I17-$BT$48)*$BS$48+($I17-$BV$48)*$BU$48+($I17-$BX$48)*$BW$48)*$CD17*$CE17,0)</f>
        <v>0</v>
      </c>
      <c r="CH17" s="527" t="n">
        <f aca="false">IF(YEAR($AJ17)=$CH$10,(($I17-$AL$49)*$AK$49+($I17-$AN$49)*$AM$49+($I17-$AP$49)*$AO$49+($I17-$AR$49)*$AQ$49+($I17-$AT$49)*$AS$49+($I17-$AV$49)*$AU$49+($I17-$AX$49)*$AW$49+($I17-$AZ$49)*$AY$49+($I17-$BB$49)*$BA$49+($I17-$BD$49)*$BC$49+($I17-$BF$49)*$BE$49+($I17-$BH$49)*$BG$49+($I17-$BJ$49)*$BI$49+($I17-$BL$49)*$BK$49+($I17-$BN$49)*$BM$49+($I17-$BP$49)*$BO$49+($I17-$BR$49)*$BQ$49+($I17-$BT$49)*$BS$49+($I17-$BV$49)*$BU$49+($I17-$BX$49)*$BW$49)*$CD17*$CE17,0)</f>
        <v>0</v>
      </c>
      <c r="CI17" s="527" t="n">
        <f aca="false">IF(YEAR($AJ17)=$CI$10,(($I17-$AL$50)*$AK$50+($I17-$AN$50)*$AM$50+($I17-$AP$50)*$AO$50+($I17-$AR$50)*$AQ$50+($I17-$AT$50)*$AS$50+($I17-$AV$50)*$AU$50+($I17-$AX$50)*$AW$50+($I17-$AZ$50)*$AY$50+($I17-$BB$50)*$BA$50+($I17-$BD$50)*$BC$50+($I17-$BF$50)*$BE$50+($I17-$BH$50)*$BG$50+($I17-$BJ$50)*$BI$50+($I17-$BL$50)*$BK$50+($I17-$BN$50)*$BM$50+($I17-$BP$50)*$BO$50+($I17-$BR$50)*$BQ$50+($I17-$BT$50)*$BS$50+($I17-$BV$50)*$BU$50+($I17-$BX$50)*$BW$50)*$CD17*$CE17,0)</f>
        <v>0</v>
      </c>
      <c r="CJ17" s="439" t="n">
        <f aca="false">CC17*CD17</f>
        <v>16800</v>
      </c>
      <c r="CK17" s="528" t="str">
        <f aca="false">DDE("TWINDDE","RSFRecord","NGU1 LAST")</f>
        <v>+NA+</v>
      </c>
      <c r="CL17" s="529" t="n">
        <v>8.44</v>
      </c>
      <c r="CM17" s="530" t="n">
        <f aca="false">+CF17*CL17/10000</f>
        <v>-13.8754008024602</v>
      </c>
      <c r="CN17" s="439" t="str">
        <f aca="false">DDE("TWINDDE","RSFRecord","NGU1 CLS")</f>
        <v>+NA+</v>
      </c>
      <c r="CO17" s="439" t="e">
        <f aca="false">+CN17-CN16</f>
        <v>#VALUE!</v>
      </c>
      <c r="CU17" s="458" t="n">
        <f aca="false">+'EOL LINKS'!H69</f>
        <v>25.5</v>
      </c>
      <c r="CV17" s="531" t="n">
        <f aca="false">+CU17*CD13</f>
        <v>8568</v>
      </c>
      <c r="DJ17" s="532" t="n">
        <f aca="false">[1]Cinergy!$D39</f>
        <v>37316</v>
      </c>
      <c r="DK17" s="440" t="n">
        <f aca="false">VLOOKUP(DJ17,DL17:DM258,2)</f>
        <v>21</v>
      </c>
      <c r="DL17" s="533" t="n">
        <v>35886</v>
      </c>
      <c r="DM17" s="459" t="n">
        <v>22</v>
      </c>
      <c r="DP17" s="534" t="n">
        <f aca="false">[1]Cinergy!$D8</f>
        <v>37147</v>
      </c>
      <c r="DQ17" s="234" t="n">
        <f aca="false">[1]OPPD_NPPD!$O8+[1]NSP!$O8</f>
        <v>1194.7822265625</v>
      </c>
      <c r="DR17" s="234" t="n">
        <f aca="false">[1]COMED!$O8</f>
        <v>15930.4296875</v>
      </c>
      <c r="DS17" s="234" t="n">
        <f aca="false">DQ17+DR17</f>
        <v>17125.2119140625</v>
      </c>
      <c r="DT17" s="234" t="n">
        <f aca="false">SUM([1]OPPD_NPPD!$P8:$R8)+SUM([1]NSP!$P8:$R8)</f>
        <v>0</v>
      </c>
      <c r="DU17" s="234" t="n">
        <f aca="false">SUM([1]COMED!$P8:$R8)</f>
        <v>-796.521484375</v>
      </c>
      <c r="DV17" s="234" t="n">
        <f aca="false">DT17+DU17</f>
        <v>-796.521484375</v>
      </c>
      <c r="DW17" s="535"/>
      <c r="DX17" s="536" t="n">
        <f aca="false">[1]OtherPosn!$D8</f>
        <v>37408</v>
      </c>
      <c r="DY17" s="234" t="n">
        <f aca="false">[1]OtherPosn!$N8</f>
        <v>31069.0625</v>
      </c>
      <c r="DZ17" s="234" t="n">
        <f aca="false">SUM([1]OtherPosn!$O8:$P8)</f>
        <v>0</v>
      </c>
      <c r="EO17" s="532" t="n">
        <f aca="false">DJ17</f>
        <v>37316</v>
      </c>
      <c r="EP17" s="234" t="n">
        <f aca="false">DK17</f>
        <v>21</v>
      </c>
      <c r="EQ17" s="473" t="n">
        <f aca="false">O15*$EP17</f>
        <v>530.25</v>
      </c>
      <c r="ER17" s="473" t="n">
        <f aca="false">P15*$EP17</f>
        <v>530.25</v>
      </c>
      <c r="ES17" s="439" t="n">
        <f aca="false">IF(YEAR($EO17)=2000,EP17,0)</f>
        <v>0</v>
      </c>
      <c r="ET17" s="439" t="n">
        <f aca="false">IF(YEAR($EO17)=2000,EQ17,0)</f>
        <v>0</v>
      </c>
      <c r="EU17" s="439" t="n">
        <f aca="false">IF(YEAR($EO17)=2000,ER17,0)</f>
        <v>0</v>
      </c>
    </row>
    <row r="18" customFormat="false" ht="18.75" hidden="false" customHeight="false" outlineLevel="0" collapsed="false">
      <c r="A18" s="95" t="n">
        <f aca="false">[1]Cinergy!$D40</f>
        <v>37347</v>
      </c>
      <c r="B18" s="122" t="n">
        <f aca="false">[1]Cinergy!$O40</f>
        <v>24357.748046875</v>
      </c>
      <c r="C18" s="163" t="n">
        <f aca="false">B18/(CE18*CD18)</f>
        <v>70.9169396080429</v>
      </c>
      <c r="D18" s="496" t="n">
        <f aca="false">BY18+IF(YEAR(A18)=$T$20,$BY$48,0)+IF(YEAR(A18)=$T$21,$BY$49,0)+IF(YEAR(A18)=$T$22,$BY$50,0)</f>
        <v>-50</v>
      </c>
      <c r="E18" s="163" t="n">
        <f aca="false">B18+(D18*CD18*CE18)</f>
        <v>7184.31375776158</v>
      </c>
      <c r="F18" s="497" t="n">
        <f aca="false">C18+D18</f>
        <v>20.9169396080429</v>
      </c>
      <c r="G18" s="498" t="n">
        <f aca="false">[1]Cinergy!$E40</f>
        <v>28.2197685241699</v>
      </c>
      <c r="H18" s="498" t="n">
        <f aca="false">IF($R$9,R18,Q18)</f>
        <v>-0.25000070971112</v>
      </c>
      <c r="I18" s="499" t="n">
        <f aca="false">G18+H18</f>
        <v>27.9697678144588</v>
      </c>
      <c r="J18" s="122" t="n">
        <f aca="false">H18*B18</f>
        <v>-6089.4542986834</v>
      </c>
      <c r="K18" s="123" t="n">
        <f aca="false">(((I18-AL18)*AK18+(I18-AN18)*AM18+(I18-AP18)*AO18+(I18-AR18)*AQ18+(I18-AT18)*AS18+(I18-AV18)*AU18+(I18-AX18)*AW18+(I18-AZ18)*AY18+(I18-BB18)*BA18+(I18-BD18)*BC18+(I18-BF18)*BE18+(I18-BH18)*BG18+(I18-BJ18)*BI18+(I18-BL18)*BK18+(I18-BN18)*BM18+(I18-BP18)*BO18+(I18-BR18)*BQ18+(I18-BT18)*BS18+(I18-BV18)*BU18+(I18-BX18)*BW18)*CD18*CE18)+CG18+CH18+CI18</f>
        <v>4293.37076045564</v>
      </c>
      <c r="L18" s="123" t="n">
        <f aca="false">J18+K18</f>
        <v>-1796.08353822776</v>
      </c>
      <c r="M18" s="0"/>
      <c r="N18" s="500" t="n">
        <f aca="false">A18</f>
        <v>37347</v>
      </c>
      <c r="O18" s="501" t="n">
        <v>28</v>
      </c>
      <c r="P18" s="501" t="n">
        <v>28</v>
      </c>
      <c r="Q18" s="502" t="n">
        <f aca="false">AVERAGE(O18:P18)-G18</f>
        <v>-0.219768524169922</v>
      </c>
      <c r="R18" s="503" t="n">
        <f aca="false">+R17</f>
        <v>-0.25000070971112</v>
      </c>
      <c r="S18" s="542" t="n">
        <f aca="false">I18</f>
        <v>27.9697678144588</v>
      </c>
      <c r="T18" s="505" t="n">
        <f aca="false">IF(U17=4,T17+1,T17)</f>
        <v>2003</v>
      </c>
      <c r="U18" s="506" t="n">
        <f aca="false">IF(U17=4,1,U17+1)</f>
        <v>2</v>
      </c>
      <c r="V18" s="547" t="str">
        <f aca="false">"Q"&amp;U18&amp;" "&amp;T18</f>
        <v>Q2 2003</v>
      </c>
      <c r="W18" s="508" t="n">
        <f aca="false" t="array" ref="W18:W18">SUM(IF((INT((MONTH($A$12:$A$47)-1)/3)=U18-1)*(YEAR($A$12:$A$47)=T18),$I$12:$I$47*$DK$12:$DK$47))/SUM(IF((INT((MONTH($A$12:$A$47)-1)/3)=U18-1)*(YEAR($A$12:$A$47)=T18),$DK$12:$DK$47))</f>
        <v>32.9222463036692</v>
      </c>
      <c r="X18" s="544" t="n">
        <f aca="false" t="array" ref="X18:X18">AVERAGE(IF((INT((MONTH($A$12:$A$47)-1)/3)=U18-1)*(YEAR($A$12:$A$47)=T18),$I$12:$I$47))</f>
        <v>32.9908903550732</v>
      </c>
      <c r="Y18" s="548" t="n">
        <f aca="false">W18-$W$12</f>
        <v>6.40584005366924</v>
      </c>
      <c r="Z18" s="548" t="n">
        <f aca="false">W18-$W$13</f>
        <v>4.24899061982946</v>
      </c>
      <c r="AA18" s="548" t="n">
        <f aca="false">W18-$W$14</f>
        <v>-0.24704888255097</v>
      </c>
      <c r="AB18" s="548" t="n">
        <f aca="false">W18-$W$15</f>
        <v>-13.6324411963308</v>
      </c>
      <c r="AC18" s="548" t="n">
        <f aca="false">W18-$W$16</f>
        <v>3.92224630366924</v>
      </c>
      <c r="AD18" s="548" t="n">
        <f aca="false">W18-$W$17</f>
        <v>3.45635365977768</v>
      </c>
      <c r="AE18" s="510" t="n">
        <v>0</v>
      </c>
      <c r="AF18" s="511"/>
      <c r="AG18" s="511"/>
      <c r="AH18" s="511"/>
      <c r="AI18" s="511"/>
      <c r="AJ18" s="512" t="n">
        <f aca="false">A18</f>
        <v>37347</v>
      </c>
      <c r="AK18" s="513" t="n">
        <f aca="false">+AK17</f>
        <v>0</v>
      </c>
      <c r="AL18" s="514" t="n">
        <f aca="false">+AL17</f>
        <v>0</v>
      </c>
      <c r="AM18" s="513" t="n">
        <f aca="false">+AM17</f>
        <v>0</v>
      </c>
      <c r="AN18" s="514" t="n">
        <f aca="false">+AN17</f>
        <v>0</v>
      </c>
      <c r="AO18" s="513" t="n">
        <f aca="false">+AO17</f>
        <v>0</v>
      </c>
      <c r="AP18" s="514" t="n">
        <f aca="false">+AP17</f>
        <v>0</v>
      </c>
      <c r="AQ18" s="513" t="n">
        <f aca="false">+AQ17</f>
        <v>0</v>
      </c>
      <c r="AR18" s="514" t="n">
        <f aca="false">+AR17</f>
        <v>0</v>
      </c>
      <c r="AS18" s="515" t="n">
        <v>-50</v>
      </c>
      <c r="AT18" s="516" t="n">
        <v>28.2197685241699</v>
      </c>
      <c r="AU18" s="550" t="n">
        <f aca="false">+AU17</f>
        <v>0</v>
      </c>
      <c r="AV18" s="551" t="n">
        <f aca="false">+AV17</f>
        <v>0</v>
      </c>
      <c r="AW18" s="550" t="n">
        <f aca="false">+AW17</f>
        <v>0</v>
      </c>
      <c r="AX18" s="551" t="n">
        <f aca="false">+AX17</f>
        <v>0</v>
      </c>
      <c r="AY18" s="550"/>
      <c r="AZ18" s="551"/>
      <c r="BA18" s="550"/>
      <c r="BB18" s="551"/>
      <c r="BC18" s="513"/>
      <c r="BD18" s="514"/>
      <c r="BE18" s="513"/>
      <c r="BF18" s="514"/>
      <c r="BG18" s="513"/>
      <c r="BH18" s="514"/>
      <c r="BI18" s="513"/>
      <c r="BJ18" s="517"/>
      <c r="BK18" s="520"/>
      <c r="BL18" s="517"/>
      <c r="BM18" s="520"/>
      <c r="BN18" s="517"/>
      <c r="BO18" s="520"/>
      <c r="BP18" s="517"/>
      <c r="BQ18" s="520"/>
      <c r="BR18" s="517"/>
      <c r="BS18" s="520"/>
      <c r="BT18" s="517"/>
      <c r="BU18" s="520"/>
      <c r="BV18" s="517"/>
      <c r="BW18" s="520"/>
      <c r="BX18" s="517"/>
      <c r="BY18" s="523" t="n">
        <f aca="false">AK18+AM18+AO18+AQ18+AU18+AW18+AY18+BA18+BC18+BE18+BG18+BI18+BK18+BM18+BO18+BQ18+BS18+BU18+BW18+AS18</f>
        <v>-50</v>
      </c>
      <c r="BZ18" s="524" t="n">
        <f aca="false">IF(AND(BY18=0,CC18=0),0,(ABS(AK18)*AL18+ABS(AM18)*AN18+ABS(AO18)*AP18+ABS(AQ18)*AR18+ABS(AU18)*AV18+ABS(AW18)*AX18+ABS(AY18)*AZ18+ABS(BA18)*BB18+ABS(BC18)*BD18+ABS(BE18)*BF18+ABS(BG18)*BH18+ABS(BI18)*BJ18+ABS(BK18)*BL18+ABS(BM18)*BN18+ABS(BO18)*BP18+ABS(BQ18)*BR18+ABS(BS18)*BT18+ABS(BU18)*BV18+ABS(BW18)*BX18)/CC18)</f>
        <v>0</v>
      </c>
      <c r="CB18" s="525" t="n">
        <f aca="false">AJ18</f>
        <v>37347</v>
      </c>
      <c r="CC18" s="222" t="n">
        <f aca="false">ABS(AK18)+ABS(AM18)+ABS(AO18)+ABS(AQ18)+ABS(AS18)+ABS(AU18)+ABS(AW18)+ABS(AY18)+ABS(BA18)+ABS(BC18)+ABS(BE18)+ABS(BG18)+ABS(BI18)+ABS(BK18)+ABS(BM18)+ABS(BO18)+ABS(BQ18)+ABS(BS18)+ABS(BU18)+ABS(BW18)</f>
        <v>50</v>
      </c>
      <c r="CD18" s="526" t="n">
        <f aca="false">16*DK18</f>
        <v>352</v>
      </c>
      <c r="CE18" s="222" t="n">
        <f aca="false">VLOOKUP(A18,Interest!$X$8:$AC$367,6)</f>
        <v>0.975763311881444</v>
      </c>
      <c r="CF18" s="527" t="n">
        <f aca="false">E18-B18</f>
        <v>-17173.4342891134</v>
      </c>
      <c r="CG18" s="527" t="n">
        <f aca="false">IF(YEAR($AJ18)=$CG$10,(($I18-$AL$48)*$AK$48+($I18-$AN$48)*$AM$48+($I18-$AP$48)*$AO$48+($I18-$AR$48)*$AQ$48+($I18-$AT$48)*$AS$48+($I18-$AV$48)*$AU$48+($I18-$AX$48)*$AW$48+($I18-$AZ$48)*$AY$48+($I18-$BB$48)*$BA$48+($I18-$BD$48)*$BC$48+($I18-$BF$48)*$BE$48+($I18-$BH$48)*$BG$48+($I18-$BJ$48)*$BI$48+($I18-$BL$48)*$BK$48+($I18-$BN$48)*$BM$48+($I18-$BP$48)*$BO$48+($I18-$BR$48)*$BQ$48+($I18-$BT$48)*$BS$48+($I18-$BV$48)*$BU$48+($I18-$BX$48)*$BW$48)*$CD18*$CE18,0)</f>
        <v>0</v>
      </c>
      <c r="CH18" s="527" t="n">
        <f aca="false">IF(YEAR($AJ18)=$CH$10,(($I18-$AL$49)*$AK$49+($I18-$AN$49)*$AM$49+($I18-$AP$49)*$AO$49+($I18-$AR$49)*$AQ$49+($I18-$AT$49)*$AS$49+($I18-$AV$49)*$AU$49+($I18-$AX$49)*$AW$49+($I18-$AZ$49)*$AY$49+($I18-$BB$49)*$BA$49+($I18-$BD$49)*$BC$49+($I18-$BF$49)*$BE$49+($I18-$BH$49)*$BG$49+($I18-$BJ$49)*$BI$49+($I18-$BL$49)*$BK$49+($I18-$BN$49)*$BM$49+($I18-$BP$49)*$BO$49+($I18-$BR$49)*$BQ$49+($I18-$BT$49)*$BS$49+($I18-$BV$49)*$BU$49+($I18-$BX$49)*$BW$49)*$CD18*$CE18,0)</f>
        <v>0</v>
      </c>
      <c r="CI18" s="527" t="n">
        <f aca="false">IF(YEAR($AJ18)=$CI$10,(($I18-$AL$50)*$AK$50+($I18-$AN$50)*$AM$50+($I18-$AP$50)*$AO$50+($I18-$AR$50)*$AQ$50+($I18-$AT$50)*$AS$50+($I18-$AV$50)*$AU$50+($I18-$AX$50)*$AW$50+($I18-$AZ$50)*$AY$50+($I18-$BB$50)*$BA$50+($I18-$BD$50)*$BC$50+($I18-$BF$50)*$BE$50+($I18-$BH$50)*$BG$50+($I18-$BJ$50)*$BI$50+($I18-$BL$50)*$BK$50+($I18-$BN$50)*$BM$50+($I18-$BP$50)*$BO$50+($I18-$BR$50)*$BQ$50+($I18-$BT$50)*$BS$50+($I18-$BV$50)*$BU$50+($I18-$BX$50)*$BW$50)*$CD18*$CE18,0)</f>
        <v>0</v>
      </c>
      <c r="CJ18" s="439" t="n">
        <f aca="false">CC18*CD18</f>
        <v>17600</v>
      </c>
      <c r="CK18" s="528" t="n">
        <f aca="false">DDE("TWINDDE","RSFRecord","NGV1 LAST")</f>
        <v>2.445</v>
      </c>
      <c r="CL18" s="553" t="n">
        <v>8.29</v>
      </c>
      <c r="CM18" s="530" t="n">
        <f aca="false">+CF18*CL18/10000</f>
        <v>-14.236777025675</v>
      </c>
      <c r="CN18" s="439" t="n">
        <f aca="false">DDE("TWINDDE","RSFRecord","NGV1 CLS")</f>
        <v>2.44</v>
      </c>
      <c r="CO18" s="439" t="e">
        <f aca="false">+CN18-CN17</f>
        <v>#VALUE!</v>
      </c>
      <c r="CQ18" s="535" t="n">
        <f aca="false">SUM(CD17:CD18)</f>
        <v>688</v>
      </c>
      <c r="CR18" s="439" t="n">
        <f aca="false">+'EOL LINKS'!H61</f>
        <v>27.125</v>
      </c>
      <c r="CS18" s="439" t="n">
        <f aca="false">+CR18*CQ18</f>
        <v>18662</v>
      </c>
      <c r="CU18" s="458" t="n">
        <f aca="false">+'EOL LINKS'!H70</f>
        <v>26.75</v>
      </c>
      <c r="CV18" s="531" t="n">
        <f aca="false">+CU18*CD14</f>
        <v>8560</v>
      </c>
      <c r="CW18" s="439" t="n">
        <f aca="false">SUM(CV16:CV18)/SUM(CD12:CD14)</f>
        <v>25.746875</v>
      </c>
      <c r="DJ18" s="532" t="n">
        <f aca="false">[1]Cinergy!$D40</f>
        <v>37347</v>
      </c>
      <c r="DK18" s="440" t="n">
        <f aca="false">VLOOKUP(DJ18,DL18:DM259,2)</f>
        <v>22</v>
      </c>
      <c r="DL18" s="533" t="n">
        <v>35916</v>
      </c>
      <c r="DM18" s="459" t="n">
        <v>20</v>
      </c>
      <c r="DP18" s="534" t="n">
        <f aca="false">[1]Cinergy!$D9</f>
        <v>37148</v>
      </c>
      <c r="DQ18" s="234" t="n">
        <f aca="false">[1]OPPD_NPPD!$O9+[1]NSP!$O9</f>
        <v>1194.7822265625</v>
      </c>
      <c r="DR18" s="234" t="n">
        <f aca="false">[1]COMED!$O9</f>
        <v>15930.4296875</v>
      </c>
      <c r="DS18" s="234" t="n">
        <f aca="false">DQ18+DR18</f>
        <v>17125.2119140625</v>
      </c>
      <c r="DT18" s="234" t="n">
        <f aca="false">SUM([1]OPPD_NPPD!$P9:$R9)+SUM([1]NSP!$P9:$R9)</f>
        <v>0</v>
      </c>
      <c r="DU18" s="234" t="n">
        <f aca="false">SUM([1]COMED!$P9:$R9)</f>
        <v>-796.521484375</v>
      </c>
      <c r="DV18" s="234" t="n">
        <f aca="false">DT18+DU18</f>
        <v>-796.521484375</v>
      </c>
      <c r="DW18" s="535"/>
      <c r="DX18" s="536" t="n">
        <f aca="false">[1]OtherPosn!$D9</f>
        <v>37438</v>
      </c>
      <c r="DY18" s="234" t="n">
        <f aca="false">[1]OtherPosn!$N9</f>
        <v>85172.3984375</v>
      </c>
      <c r="DZ18" s="234" t="n">
        <f aca="false">SUM([1]OtherPosn!$O9:$P9)</f>
        <v>0</v>
      </c>
      <c r="EO18" s="532" t="n">
        <f aca="false">DJ18</f>
        <v>37347</v>
      </c>
      <c r="EP18" s="234" t="n">
        <f aca="false">DK18</f>
        <v>22</v>
      </c>
      <c r="EQ18" s="473" t="n">
        <f aca="false">O16*$EP18</f>
        <v>555.5</v>
      </c>
      <c r="ER18" s="473" t="n">
        <f aca="false">P16*$EP18</f>
        <v>555.5</v>
      </c>
      <c r="ES18" s="439" t="n">
        <f aca="false">IF(YEAR($EO18)=2000,EP18,0)</f>
        <v>0</v>
      </c>
      <c r="ET18" s="439" t="n">
        <f aca="false">IF(YEAR($EO18)=2000,EQ18,0)</f>
        <v>0</v>
      </c>
      <c r="EU18" s="439" t="n">
        <f aca="false">IF(YEAR($EO18)=2000,ER18,0)</f>
        <v>0</v>
      </c>
    </row>
    <row r="19" customFormat="false" ht="18.75" hidden="false" customHeight="false" outlineLevel="0" collapsed="false">
      <c r="A19" s="537" t="n">
        <f aca="false">[1]Cinergy!$D41</f>
        <v>37377</v>
      </c>
      <c r="B19" s="180" t="n">
        <f aca="false">[1]Cinergy!$O41</f>
        <v>-166816.125</v>
      </c>
      <c r="C19" s="538" t="n">
        <f aca="false">B19/(CE19*CD19)</f>
        <v>-487.153688222772</v>
      </c>
      <c r="D19" s="538" t="n">
        <f aca="false">BY19+IF(YEAR(A19)=$T$20,$BY$48,0)+IF(YEAR(A19)=$T$21,$BY$49,0)+IF(YEAR(A19)=$T$22,$BY$50,0)</f>
        <v>0</v>
      </c>
      <c r="E19" s="160" t="n">
        <f aca="false">B19+(D19*CD19*CE19)</f>
        <v>-166816.125</v>
      </c>
      <c r="F19" s="539" t="n">
        <f aca="false">C19+D19</f>
        <v>-487.153688222772</v>
      </c>
      <c r="G19" s="540" t="n">
        <f aca="false">[1]Cinergy!$E41</f>
        <v>31.25</v>
      </c>
      <c r="H19" s="498" t="n">
        <f aca="false">IF($R$9,R19,Q19)</f>
        <v>0</v>
      </c>
      <c r="I19" s="541" t="n">
        <f aca="false">G19+H19</f>
        <v>31.25</v>
      </c>
      <c r="J19" s="160" t="n">
        <f aca="false">H19*B19</f>
        <v>-0</v>
      </c>
      <c r="K19" s="114" t="n">
        <f aca="false">(((I19-AL19)*AK19+(I19-AN19)*AM19+(I19-AP19)*AO19+(I19-AR19)*AQ19+(I19-AT19)*AS19+(I19-AV19)*AU19+(I19-AX19)*AW19+(I19-AZ19)*AY19+(I19-BB19)*BA19+(I19-BD19)*BC19+(I19-BF19)*BE19+(I19-BH19)*BG19+(I19-BJ19)*BI19+(I19-BL19)*BK19+(I19-BN19)*BM19+(I19-BP19)*BO19+(I19-BR19)*BQ19+(I19-BT19)*BS19+(I19-BV19)*BU19+(I19-BX19)*BW19)*CD19*CE19)+CG19+CH19+CI19</f>
        <v>4280.3772462592</v>
      </c>
      <c r="L19" s="114" t="n">
        <f aca="false">J19+K19</f>
        <v>4280.3772462592</v>
      </c>
      <c r="M19" s="0"/>
      <c r="N19" s="500" t="n">
        <f aca="false">A19</f>
        <v>37377</v>
      </c>
      <c r="O19" s="501" t="n">
        <v>33</v>
      </c>
      <c r="P19" s="501" t="n">
        <v>35</v>
      </c>
      <c r="Q19" s="502" t="n">
        <f aca="false">AVERAGE(O19:P19)-G19</f>
        <v>2.75</v>
      </c>
      <c r="R19" s="503" t="n">
        <f aca="false">+Master!L29</f>
        <v>0</v>
      </c>
      <c r="S19" s="542" t="n">
        <f aca="false">I19</f>
        <v>31.25</v>
      </c>
      <c r="T19" s="505" t="n">
        <f aca="false">IF(U18=4,T18+1,T18)</f>
        <v>2003</v>
      </c>
      <c r="U19" s="506" t="n">
        <f aca="false">IF(U18=4,1,U18+1)</f>
        <v>3</v>
      </c>
      <c r="V19" s="543" t="str">
        <f aca="false">"Q"&amp;U19&amp;" "&amp;T19</f>
        <v>Q3 2003</v>
      </c>
      <c r="W19" s="508" t="n">
        <f aca="false" t="array" ref="W19:W19">SUM(IF((INT((MONTH($A$12:$A$47)-1)/3)=U19-1)*(YEAR($A$12:$A$47)=T19),$I$12:$I$47*$DK$12:$DK$47))/SUM(IF((INT((MONTH($A$12:$A$47)-1)/3)=U19-1)*(YEAR($A$12:$A$47)=T19),$DK$12:$DK$47))</f>
        <v>42.611328125</v>
      </c>
      <c r="X19" s="544" t="n">
        <f aca="false" t="array" ref="X19:X19">AVERAGE(IF((INT((MONTH($A$12:$A$47)-1)/3)=U19-1)*(YEAR($A$12:$A$47)=T19),$I$12:$I$47))</f>
        <v>42.5</v>
      </c>
      <c r="Y19" s="545" t="n">
        <f aca="false">W19-$W$12</f>
        <v>16.094921875</v>
      </c>
      <c r="Z19" s="545" t="n">
        <f aca="false">W19-$W$13</f>
        <v>13.9380724411602</v>
      </c>
      <c r="AA19" s="545" t="n">
        <f aca="false">W19-$W$14</f>
        <v>9.44203293877979</v>
      </c>
      <c r="AB19" s="545" t="n">
        <f aca="false">W19-$W$15</f>
        <v>-3.943359375</v>
      </c>
      <c r="AC19" s="545" t="n">
        <f aca="false">W19-$W$16</f>
        <v>13.611328125</v>
      </c>
      <c r="AD19" s="545" t="n">
        <f aca="false">W19-$W$17</f>
        <v>13.1454354811084</v>
      </c>
      <c r="AE19" s="545" t="n">
        <f aca="false">W19-$W$18</f>
        <v>9.68908182133076</v>
      </c>
      <c r="AF19" s="546" t="n">
        <v>0</v>
      </c>
      <c r="AG19" s="511"/>
      <c r="AH19" s="511"/>
      <c r="AI19" s="511"/>
      <c r="AJ19" s="512" t="n">
        <f aca="false">A19</f>
        <v>37377</v>
      </c>
      <c r="AK19" s="513" t="n">
        <v>50</v>
      </c>
      <c r="AL19" s="514" t="n">
        <v>31</v>
      </c>
      <c r="AM19" s="513"/>
      <c r="AN19" s="514"/>
      <c r="AO19" s="513"/>
      <c r="AP19" s="514"/>
      <c r="AQ19" s="513"/>
      <c r="AR19" s="514"/>
      <c r="AS19" s="515" t="n">
        <v>-50</v>
      </c>
      <c r="AT19" s="516" t="n">
        <v>31.25</v>
      </c>
      <c r="AU19" s="550" t="n">
        <f aca="false">+AU18</f>
        <v>0</v>
      </c>
      <c r="AV19" s="551" t="n">
        <f aca="false">+AV18</f>
        <v>0</v>
      </c>
      <c r="AW19" s="550" t="n">
        <f aca="false">+AW18</f>
        <v>0</v>
      </c>
      <c r="AX19" s="551" t="n">
        <f aca="false">+AX18</f>
        <v>0</v>
      </c>
      <c r="AY19" s="550"/>
      <c r="AZ19" s="551"/>
      <c r="BA19" s="550"/>
      <c r="BB19" s="551"/>
      <c r="BC19" s="513"/>
      <c r="BD19" s="514"/>
      <c r="BE19" s="513"/>
      <c r="BF19" s="514"/>
      <c r="BG19" s="513"/>
      <c r="BH19" s="514"/>
      <c r="BI19" s="513"/>
      <c r="BJ19" s="517"/>
      <c r="BK19" s="520"/>
      <c r="BL19" s="517"/>
      <c r="BM19" s="520"/>
      <c r="BN19" s="517"/>
      <c r="BO19" s="520"/>
      <c r="BP19" s="517"/>
      <c r="BQ19" s="520"/>
      <c r="BR19" s="517"/>
      <c r="BS19" s="520"/>
      <c r="BT19" s="517"/>
      <c r="BU19" s="520"/>
      <c r="BV19" s="517"/>
      <c r="BW19" s="520"/>
      <c r="BX19" s="517"/>
      <c r="BY19" s="523" t="n">
        <f aca="false">AK19+AM19+AO19+AQ19+AU19+AW19+AY19+BA19+BC19+BE19+BG19+BI19+BK19+BM19+BO19+BQ19+BS19+BU19+BW19+AS19</f>
        <v>0</v>
      </c>
      <c r="BZ19" s="524" t="n">
        <f aca="false">IF(AND(BY19=0,CC19=0),0,(ABS(AK19)*AL19+ABS(AM19)*AN19+ABS(AO19)*AP19+ABS(AQ19)*AR19+ABS(AU19)*AV19+ABS(AW19)*AX19+ABS(AY19)*AZ19+ABS(BA19)*BB19+ABS(BC19)*BD19+ABS(BE19)*BF19+ABS(BG19)*BH19+ABS(BI19)*BJ19+ABS(BK19)*BL19+ABS(BM19)*BN19+ABS(BO19)*BP19+ABS(BQ19)*BR19+ABS(BS19)*BT19+ABS(BU19)*BV19+ABS(BW19)*BX19)/CC19)</f>
        <v>15.5</v>
      </c>
      <c r="CB19" s="525" t="n">
        <f aca="false">AJ19</f>
        <v>37377</v>
      </c>
      <c r="CC19" s="222" t="n">
        <f aca="false">ABS(AK19)+ABS(AM19)+ABS(AO19)+ABS(AQ19)+ABS(AS19)+ABS(AU19)+ABS(AW19)+ABS(AY19)+ABS(BA19)+ABS(BC19)+ABS(BE19)+ABS(BG19)+ABS(BI19)+ABS(BK19)+ABS(BM19)+ABS(BO19)+ABS(BQ19)+ABS(BS19)+ABS(BU19)+ABS(BW19)</f>
        <v>100</v>
      </c>
      <c r="CD19" s="526" t="n">
        <f aca="false">16*DK19</f>
        <v>352</v>
      </c>
      <c r="CE19" s="222" t="n">
        <f aca="false">VLOOKUP(A19,Interest!$X$8:$AC$367,6)</f>
        <v>0.972813010513454</v>
      </c>
      <c r="CF19" s="527" t="n">
        <f aca="false">E19-B19</f>
        <v>0</v>
      </c>
      <c r="CG19" s="527" t="n">
        <f aca="false">IF(YEAR($AJ19)=$CG$10,(($I19-$AL$48)*$AK$48+($I19-$AN$48)*$AM$48+($I19-$AP$48)*$AO$48+($I19-$AR$48)*$AQ$48+($I19-$AT$48)*$AS$48+($I19-$AV$48)*$AU$48+($I19-$AX$48)*$AW$48+($I19-$AZ$48)*$AY$48+($I19-$BB$48)*$BA$48+($I19-$BD$48)*$BC$48+($I19-$BF$48)*$BE$48+($I19-$BH$48)*$BG$48+($I19-$BJ$48)*$BI$48+($I19-$BL$48)*$BK$48+($I19-$BN$48)*$BM$48+($I19-$BP$48)*$BO$48+($I19-$BR$48)*$BQ$48+($I19-$BT$48)*$BS$48+($I19-$BV$48)*$BU$48+($I19-$BX$48)*$BW$48)*$CD19*$CE19,0)</f>
        <v>0</v>
      </c>
      <c r="CH19" s="527" t="n">
        <f aca="false">IF(YEAR($AJ19)=$CH$10,(($I19-$AL$49)*$AK$49+($I19-$AN$49)*$AM$49+($I19-$AP$49)*$AO$49+($I19-$AR$49)*$AQ$49+($I19-$AT$49)*$AS$49+($I19-$AV$49)*$AU$49+($I19-$AX$49)*$AW$49+($I19-$AZ$49)*$AY$49+($I19-$BB$49)*$BA$49+($I19-$BD$49)*$BC$49+($I19-$BF$49)*$BE$49+($I19-$BH$49)*$BG$49+($I19-$BJ$49)*$BI$49+($I19-$BL$49)*$BK$49+($I19-$BN$49)*$BM$49+($I19-$BP$49)*$BO$49+($I19-$BR$49)*$BQ$49+($I19-$BT$49)*$BS$49+($I19-$BV$49)*$BU$49+($I19-$BX$49)*$BW$49)*$CD19*$CE19,0)</f>
        <v>0</v>
      </c>
      <c r="CI19" s="527" t="n">
        <f aca="false">IF(YEAR($AJ19)=$CI$10,(($I19-$AL$50)*$AK$50+($I19-$AN$50)*$AM$50+($I19-$AP$50)*$AO$50+($I19-$AR$50)*$AQ$50+($I19-$AT$50)*$AS$50+($I19-$AV$50)*$AU$50+($I19-$AX$50)*$AW$50+($I19-$AZ$50)*$AY$50+($I19-$BB$50)*$BA$50+($I19-$BD$50)*$BC$50+($I19-$BF$50)*$BE$50+($I19-$BH$50)*$BG$50+($I19-$BJ$50)*$BI$50+($I19-$BL$50)*$BK$50+($I19-$BN$50)*$BM$50+($I19-$BP$50)*$BO$50+($I19-$BR$50)*$BQ$50+($I19-$BT$50)*$BS$50+($I19-$BV$50)*$BU$50+($I19-$BX$50)*$BW$50)*$CD19*$CE19,0)</f>
        <v>0</v>
      </c>
      <c r="CJ19" s="439" t="n">
        <f aca="false">CC19*CD19</f>
        <v>35200</v>
      </c>
      <c r="CK19" s="528" t="n">
        <f aca="false">DDE("TWINDDE","RSFRecord","NGX1 LAST")</f>
        <v>2.735</v>
      </c>
      <c r="CL19" s="553" t="n">
        <v>8.76</v>
      </c>
      <c r="CM19" s="530" t="n">
        <f aca="false">+CF19*CL19/10000</f>
        <v>0</v>
      </c>
      <c r="CN19" s="439" t="n">
        <f aca="false">DDE("TWINDDE","RSFRecord","NGX1 CLS")</f>
        <v>2.74</v>
      </c>
      <c r="CO19" s="439" t="n">
        <f aca="false">+CN19-CN18</f>
        <v>0.3</v>
      </c>
      <c r="CQ19" s="535" t="n">
        <f aca="false">+CD19</f>
        <v>352</v>
      </c>
      <c r="CR19" s="439" t="n">
        <f aca="false">+'EOL LINKS'!H62</f>
        <v>30.375</v>
      </c>
      <c r="CS19" s="439" t="n">
        <f aca="false">+CR19*CQ19</f>
        <v>10692</v>
      </c>
      <c r="CV19" s="531"/>
      <c r="DJ19" s="532" t="n">
        <f aca="false">[1]Cinergy!$D41</f>
        <v>37377</v>
      </c>
      <c r="DK19" s="440" t="n">
        <f aca="false">VLOOKUP(DJ19,DL19:DM260,2)</f>
        <v>22</v>
      </c>
      <c r="DL19" s="533" t="n">
        <v>35947</v>
      </c>
      <c r="DM19" s="459" t="n">
        <v>22</v>
      </c>
      <c r="DP19" s="534" t="n">
        <f aca="false">[1]Cinergy!$D10</f>
        <v>37149</v>
      </c>
      <c r="DQ19" s="234" t="n">
        <f aca="false">[1]OPPD_NPPD!$O10+[1]NSP!$O10</f>
        <v>0</v>
      </c>
      <c r="DR19" s="234" t="n">
        <f aca="false">[1]COMED!$O10</f>
        <v>0</v>
      </c>
      <c r="DS19" s="234" t="n">
        <f aca="false">DQ19+DR19</f>
        <v>0</v>
      </c>
      <c r="DT19" s="234" t="n">
        <f aca="false">SUM([1]OPPD_NPPD!$P10:$R10)+SUM([1]NSP!$P10:$R10)</f>
        <v>0</v>
      </c>
      <c r="DU19" s="234" t="n">
        <f aca="false">SUM([1]COMED!$P10:$R10)</f>
        <v>-3186.0859375</v>
      </c>
      <c r="DV19" s="234" t="n">
        <f aca="false">DT19+DU19</f>
        <v>-3186.0859375</v>
      </c>
      <c r="DW19" s="535"/>
      <c r="DX19" s="536" t="n">
        <f aca="false">[1]OtherPosn!$D10</f>
        <v>37469</v>
      </c>
      <c r="DY19" s="234" t="n">
        <f aca="false">[1]OtherPosn!$N10</f>
        <v>84873.765625</v>
      </c>
      <c r="DZ19" s="234" t="n">
        <f aca="false">SUM([1]OtherPosn!$O10:$P10)</f>
        <v>0</v>
      </c>
      <c r="EO19" s="532" t="n">
        <f aca="false">DJ19</f>
        <v>37377</v>
      </c>
      <c r="EP19" s="234" t="n">
        <f aca="false">DK19</f>
        <v>22</v>
      </c>
      <c r="EQ19" s="473" t="n">
        <f aca="false">O17*$EP19</f>
        <v>660</v>
      </c>
      <c r="ER19" s="473" t="n">
        <f aca="false">P17*$EP19</f>
        <v>660</v>
      </c>
      <c r="ES19" s="439" t="n">
        <f aca="false">IF(YEAR($EO19)=2000,EP19,0)</f>
        <v>0</v>
      </c>
      <c r="ET19" s="439" t="n">
        <f aca="false">IF(YEAR($EO19)=2000,EQ19,0)</f>
        <v>0</v>
      </c>
      <c r="EU19" s="439" t="n">
        <f aca="false">IF(YEAR($EO19)=2000,ER19,0)</f>
        <v>0</v>
      </c>
    </row>
    <row r="20" customFormat="false" ht="18.75" hidden="false" customHeight="false" outlineLevel="0" collapsed="false">
      <c r="A20" s="95" t="n">
        <f aca="false">[1]Cinergy!$D42</f>
        <v>37408</v>
      </c>
      <c r="B20" s="122" t="n">
        <f aca="false">[1]Cinergy!$O42</f>
        <v>-418908.625</v>
      </c>
      <c r="C20" s="163" t="n">
        <f aca="false">B20/(CE20*CD20)</f>
        <v>-1349.64497299409</v>
      </c>
      <c r="D20" s="496" t="n">
        <f aca="false">BY20+IF(YEAR(A20)=$T$20,$BY$48,0)+IF(YEAR(A20)=$T$21,$BY$49,0)+IF(YEAR(A20)=$T$22,$BY$50,0)</f>
        <v>-300</v>
      </c>
      <c r="E20" s="163" t="n">
        <f aca="false">B20+(D20*CD20*CE20)</f>
        <v>-512023.91829169</v>
      </c>
      <c r="F20" s="497" t="n">
        <f aca="false">C20+D20</f>
        <v>-1649.64497299409</v>
      </c>
      <c r="G20" s="498" t="n">
        <f aca="false">[1]Cinergy!$E42</f>
        <v>41.375</v>
      </c>
      <c r="H20" s="498" t="n">
        <f aca="false">IF($R$9,R20,Q20)</f>
        <v>-0.375</v>
      </c>
      <c r="I20" s="499" t="n">
        <f aca="false">G20+H20</f>
        <v>41</v>
      </c>
      <c r="J20" s="122" t="n">
        <f aca="false">H20*B20</f>
        <v>157090.734375</v>
      </c>
      <c r="K20" s="123" t="n">
        <f aca="false">(((I20-AL20)*AK20+(I20-AN20)*AM20+(I20-AP20)*AO20+(I20-AR20)*AQ20+(I20-AT20)*AS20+(I20-AV20)*AU20+(I20-AX20)*AW20+(I20-AZ20)*AY20+(I20-BB20)*BA20+(I20-BD20)*BC20+(I20-BF20)*BE20+(I20-BH20)*BG20+(I20-BJ20)*BI20+(I20-BL20)*BK20+(I20-BN20)*BM20+(I20-BP20)*BO20+(I20-BR20)*BQ20+(I20-BT20)*BS20+(I20-BV20)*BU20+(I20-BX20)*BW20)*CD20*CE20)+CG20+CH20+CI20</f>
        <v>34918.2349843838</v>
      </c>
      <c r="L20" s="123" t="n">
        <f aca="false">J20+K20</f>
        <v>192008.969359384</v>
      </c>
      <c r="M20" s="0"/>
      <c r="N20" s="500" t="n">
        <f aca="false">A20</f>
        <v>37408</v>
      </c>
      <c r="O20" s="501" t="n">
        <v>33</v>
      </c>
      <c r="P20" s="501" t="n">
        <v>35</v>
      </c>
      <c r="Q20" s="502" t="n">
        <f aca="false">AVERAGE(O20:P20)-G20</f>
        <v>-7.375</v>
      </c>
      <c r="R20" s="503" t="n">
        <f aca="false">+Master!L30</f>
        <v>-0.375</v>
      </c>
      <c r="S20" s="542" t="n">
        <f aca="false">I20</f>
        <v>41</v>
      </c>
      <c r="T20" s="505" t="n">
        <f aca="false">IF(MONTH($B$2)&gt;8,YEAR($B$2)+1,YEAR($B$2))</f>
        <v>2002</v>
      </c>
      <c r="U20" s="506"/>
      <c r="V20" s="547" t="str">
        <f aca="false">"Bal "&amp;T20</f>
        <v>Bal 2002</v>
      </c>
      <c r="W20" s="508" t="n">
        <f aca="false" t="array" ref="W20:W20">SUM(IF((YEAR($A$12:$A$47)=T20),$I$12:$I$47*$DK$12:$DK$47))/SUM(IF((YEAR($A$12:$A$47)=T20),$DK$12:$DK$47))</f>
        <v>34.371568627451</v>
      </c>
      <c r="X20" s="544" t="n">
        <f aca="false" t="array" ref="X20:X20">AVERAGE(IF((YEAR($A$12:$A$47)=T20),$I$12:$I$47))</f>
        <v>34.2701348542711</v>
      </c>
      <c r="Y20" s="548" t="n">
        <f aca="false">W20-$W$12</f>
        <v>7.85516237745098</v>
      </c>
      <c r="Z20" s="548" t="n">
        <f aca="false">W20-$W$13</f>
        <v>5.6983129436112</v>
      </c>
      <c r="AA20" s="548" t="n">
        <f aca="false">W20-$W$14</f>
        <v>1.20227344123077</v>
      </c>
      <c r="AB20" s="548" t="n">
        <f aca="false">W20-$W$15</f>
        <v>-12.183118872549</v>
      </c>
      <c r="AC20" s="548" t="n">
        <f aca="false">W20-$W$16</f>
        <v>5.37156862745098</v>
      </c>
      <c r="AD20" s="548" t="n">
        <f aca="false">W20-$W$17</f>
        <v>4.90567598355942</v>
      </c>
      <c r="AE20" s="548" t="n">
        <f aca="false">W20-$W$18</f>
        <v>1.44932232378174</v>
      </c>
      <c r="AF20" s="548" t="n">
        <f aca="false">W20-$W$19</f>
        <v>-8.23975949754902</v>
      </c>
      <c r="AG20" s="510" t="n">
        <v>0</v>
      </c>
      <c r="AH20" s="554"/>
      <c r="AI20" s="511"/>
      <c r="AJ20" s="512" t="n">
        <f aca="false">A20</f>
        <v>37408</v>
      </c>
      <c r="AK20" s="513"/>
      <c r="AL20" s="514"/>
      <c r="AM20" s="513"/>
      <c r="AN20" s="514"/>
      <c r="AO20" s="513"/>
      <c r="AP20" s="514"/>
      <c r="AQ20" s="513"/>
      <c r="AR20" s="514"/>
      <c r="AS20" s="515" t="n">
        <v>-300</v>
      </c>
      <c r="AT20" s="516" t="n">
        <v>41.375</v>
      </c>
      <c r="AU20" s="550" t="n">
        <f aca="false">+AU19</f>
        <v>0</v>
      </c>
      <c r="AV20" s="551" t="n">
        <f aca="false">+AV19</f>
        <v>0</v>
      </c>
      <c r="AW20" s="550" t="n">
        <f aca="false">+AW19</f>
        <v>0</v>
      </c>
      <c r="AX20" s="551" t="n">
        <f aca="false">+AX19</f>
        <v>0</v>
      </c>
      <c r="AY20" s="550"/>
      <c r="AZ20" s="551"/>
      <c r="BA20" s="550"/>
      <c r="BB20" s="551"/>
      <c r="BC20" s="513"/>
      <c r="BD20" s="514"/>
      <c r="BE20" s="513"/>
      <c r="BF20" s="514"/>
      <c r="BG20" s="513"/>
      <c r="BH20" s="514"/>
      <c r="BI20" s="520"/>
      <c r="BJ20" s="517"/>
      <c r="BK20" s="520"/>
      <c r="BL20" s="517"/>
      <c r="BM20" s="520"/>
      <c r="BN20" s="517"/>
      <c r="BO20" s="520"/>
      <c r="BP20" s="517"/>
      <c r="BQ20" s="520"/>
      <c r="BR20" s="517"/>
      <c r="BS20" s="520"/>
      <c r="BT20" s="517"/>
      <c r="BU20" s="520"/>
      <c r="BV20" s="517"/>
      <c r="BW20" s="520"/>
      <c r="BX20" s="517"/>
      <c r="BY20" s="523" t="n">
        <f aca="false">AK20+AM20+AO20+AQ20+AU20+AW20+AY20+BA20+BC20+BE20+BG20+BI20+BK20+BM20+BO20+BQ20+BS20+BU20+BW20+AS20</f>
        <v>-300</v>
      </c>
      <c r="BZ20" s="524" t="n">
        <f aca="false">IF(AND(BY20=0,CC20=0),0,(ABS(AK20)*AL20+ABS(AM20)*AN20+ABS(AO20)*AP20+ABS(AQ20)*AR20+ABS(AU20)*AV20+ABS(AW20)*AX20+ABS(AY20)*AZ20+ABS(BA20)*BB20+ABS(BC20)*BD20+ABS(BE20)*BF20+ABS(BG20)*BH20+ABS(BI20)*BJ20+ABS(BK20)*BL20+ABS(BM20)*BN20+ABS(BO20)*BP20+ABS(BQ20)*BR20+ABS(BS20)*BT20+ABS(BU20)*BV20+ABS(BW20)*BX20)/CC20)</f>
        <v>0</v>
      </c>
      <c r="CB20" s="525" t="n">
        <f aca="false">AJ20</f>
        <v>37408</v>
      </c>
      <c r="CC20" s="222" t="n">
        <f aca="false">ABS(AK20)+ABS(AM20)+ABS(AO20)+ABS(AQ20)+ABS(AS20)+ABS(AU20)+ABS(AW20)+ABS(AY20)+ABS(BA20)+ABS(BC20)+ABS(BE20)+ABS(BG20)+ABS(BI20)+ABS(BK20)+ABS(BM20)+ABS(BO20)+ABS(BQ20)+ABS(BS20)+ABS(BU20)+ABS(BW20)</f>
        <v>300</v>
      </c>
      <c r="CD20" s="526" t="n">
        <f aca="false">16*DK20</f>
        <v>320</v>
      </c>
      <c r="CE20" s="222" t="n">
        <f aca="false">VLOOKUP(A20,Interest!$X$8:$AC$367,6)</f>
        <v>0.969950971788438</v>
      </c>
      <c r="CF20" s="527" t="n">
        <f aca="false">E20-B20</f>
        <v>-93115.29329169</v>
      </c>
      <c r="CG20" s="527" t="n">
        <f aca="false">IF(YEAR($AJ20)=$CG$10,(($I20-$AL$48)*$AK$48+($I20-$AN$48)*$AM$48+($I20-$AP$48)*$AO$48+($I20-$AR$48)*$AQ$48+($I20-$AT$48)*$AS$48+($I20-$AV$48)*$AU$48+($I20-$AX$48)*$AW$48+($I20-$AZ$48)*$AY$48+($I20-$BB$48)*$BA$48+($I20-$BD$48)*$BC$48+($I20-$BF$48)*$BE$48+($I20-$BH$48)*$BG$48+($I20-$BJ$48)*$BI$48+($I20-$BL$48)*$BK$48+($I20-$BN$48)*$BM$48+($I20-$BP$48)*$BO$48+($I20-$BR$48)*$BQ$48+($I20-$BT$48)*$BS$48+($I20-$BV$48)*$BU$48+($I20-$BX$48)*$BW$48)*$CD20*$CE20,0)</f>
        <v>0</v>
      </c>
      <c r="CH20" s="527" t="n">
        <f aca="false">IF(YEAR($AJ20)=$CH$10,(($I20-$AL$49)*$AK$49+($I20-$AN$49)*$AM$49+($I20-$AP$49)*$AO$49+($I20-$AR$49)*$AQ$49+($I20-$AT$49)*$AS$49+($I20-$AV$49)*$AU$49+($I20-$AX$49)*$AW$49+($I20-$AZ$49)*$AY$49+($I20-$BB$49)*$BA$49+($I20-$BD$49)*$BC$49+($I20-$BF$49)*$BE$49+($I20-$BH$49)*$BG$49+($I20-$BJ$49)*$BI$49+($I20-$BL$49)*$BK$49+($I20-$BN$49)*$BM$49+($I20-$BP$49)*$BO$49+($I20-$BR$49)*$BQ$49+($I20-$BT$49)*$BS$49+($I20-$BV$49)*$BU$49+($I20-$BX$49)*$BW$49)*$CD20*$CE20,0)</f>
        <v>0</v>
      </c>
      <c r="CI20" s="527" t="n">
        <f aca="false">IF(YEAR($AJ20)=$CI$10,(($I20-$AL$50)*$AK$50+($I20-$AN$50)*$AM$50+($I20-$AP$50)*$AO$50+($I20-$AR$50)*$AQ$50+($I20-$AT$50)*$AS$50+($I20-$AV$50)*$AU$50+($I20-$AX$50)*$AW$50+($I20-$AZ$50)*$AY$50+($I20-$BB$50)*$BA$50+($I20-$BD$50)*$BC$50+($I20-$BF$50)*$BE$50+($I20-$BH$50)*$BG$50+($I20-$BJ$50)*$BI$50+($I20-$BL$50)*$BK$50+($I20-$BN$50)*$BM$50+($I20-$BP$50)*$BO$50+($I20-$BR$50)*$BQ$50+($I20-$BT$50)*$BS$50+($I20-$BV$50)*$BU$50+($I20-$BX$50)*$BW$50)*$CD20*$CE20,0)</f>
        <v>0</v>
      </c>
      <c r="CJ20" s="439" t="n">
        <f aca="false">CC20*CD20</f>
        <v>96000</v>
      </c>
      <c r="CK20" s="528" t="n">
        <f aca="false">DDE("TWINDDE","RSFRecord","NGZ1 LAST")</f>
        <v>3.05</v>
      </c>
      <c r="CL20" s="553" t="n">
        <v>9.39</v>
      </c>
      <c r="CM20" s="530" t="n">
        <f aca="false">+CF20*CL20/10000</f>
        <v>-87.4352604008969</v>
      </c>
      <c r="CN20" s="439" t="n">
        <f aca="false">DDE("TWINDDE","RSFRecord","NGZ1 CLS")</f>
        <v>3.06</v>
      </c>
      <c r="CO20" s="439" t="n">
        <f aca="false">+CN20-CN19</f>
        <v>0.32</v>
      </c>
      <c r="CQ20" s="535" t="n">
        <f aca="false">+CD20</f>
        <v>320</v>
      </c>
      <c r="CR20" s="439" t="n">
        <f aca="false">+'EOL LINKS'!H63</f>
        <v>39.75</v>
      </c>
      <c r="CS20" s="439" t="n">
        <f aca="false">+CR20*CQ20</f>
        <v>12720</v>
      </c>
      <c r="CV20" s="531"/>
      <c r="DJ20" s="532" t="n">
        <f aca="false">[1]Cinergy!$D42</f>
        <v>37408</v>
      </c>
      <c r="DK20" s="440" t="n">
        <f aca="false">VLOOKUP(DJ20,DL20:DM261,2)</f>
        <v>20</v>
      </c>
      <c r="DL20" s="533" t="n">
        <v>35977</v>
      </c>
      <c r="DM20" s="459" t="n">
        <v>23</v>
      </c>
      <c r="DP20" s="534" t="n">
        <f aca="false">[1]Cinergy!$D11</f>
        <v>37150</v>
      </c>
      <c r="DQ20" s="234" t="n">
        <f aca="false">[1]OPPD_NPPD!$O11+[1]NSP!$O11</f>
        <v>0</v>
      </c>
      <c r="DR20" s="234" t="n">
        <f aca="false">[1]COMED!$O11</f>
        <v>0</v>
      </c>
      <c r="DS20" s="234" t="n">
        <f aca="false">DQ20+DR20</f>
        <v>0</v>
      </c>
      <c r="DT20" s="234" t="n">
        <f aca="false">SUM([1]OPPD_NPPD!$P11:$R11)+SUM([1]NSP!$P11:$R11)</f>
        <v>0</v>
      </c>
      <c r="DU20" s="234" t="n">
        <f aca="false">SUM([1]COMED!$P11:$R11)</f>
        <v>-3186.0859375</v>
      </c>
      <c r="DV20" s="234" t="n">
        <f aca="false">DT20+DU20</f>
        <v>-3186.0859375</v>
      </c>
      <c r="DW20" s="535"/>
      <c r="DX20" s="536" t="n">
        <f aca="false">[1]OtherPosn!$D11</f>
        <v>37500</v>
      </c>
      <c r="DY20" s="234" t="n">
        <f aca="false">[1]OtherPosn!$N11</f>
        <v>30768.26953125</v>
      </c>
      <c r="DZ20" s="234" t="n">
        <f aca="false">SUM([1]OtherPosn!$O11:$P11)</f>
        <v>0</v>
      </c>
      <c r="EO20" s="532" t="n">
        <f aca="false">DJ20</f>
        <v>37408</v>
      </c>
      <c r="EP20" s="234" t="n">
        <f aca="false">DK20</f>
        <v>20</v>
      </c>
      <c r="EQ20" s="473" t="n">
        <f aca="false">O18*$EP20</f>
        <v>560</v>
      </c>
      <c r="ER20" s="473" t="n">
        <f aca="false">P18*$EP20</f>
        <v>560</v>
      </c>
      <c r="ES20" s="439" t="n">
        <f aca="false">IF(YEAR($EO20)=2000,EP20,0)</f>
        <v>0</v>
      </c>
      <c r="ET20" s="439" t="n">
        <f aca="false">IF(YEAR($EO20)=2000,EQ20,0)</f>
        <v>0</v>
      </c>
      <c r="EU20" s="439" t="n">
        <f aca="false">IF(YEAR($EO20)=2000,ER20,0)</f>
        <v>0</v>
      </c>
    </row>
    <row r="21" customFormat="false" ht="18.75" hidden="false" customHeight="false" outlineLevel="0" collapsed="false">
      <c r="A21" s="537" t="n">
        <f aca="false">[1]Cinergy!$D43</f>
        <v>37438</v>
      </c>
      <c r="B21" s="180" t="n">
        <f aca="false">[1]Cinergy!$O43</f>
        <v>-164653.953125</v>
      </c>
      <c r="C21" s="538" t="n">
        <f aca="false">B21/(CE21*CD21)</f>
        <v>-483.765138428714</v>
      </c>
      <c r="D21" s="538" t="n">
        <f aca="false">BY21+IF(YEAR(A21)=$T$20,$BY$48,0)+IF(YEAR(A21)=$T$21,$BY$49,0)+IF(YEAR(A21)=$T$22,$BY$50,0)</f>
        <v>-650</v>
      </c>
      <c r="E21" s="160" t="n">
        <f aca="false">B21+(D21*CD21*CE21)</f>
        <v>-385887.483674289</v>
      </c>
      <c r="F21" s="539" t="n">
        <f aca="false">C21+D21</f>
        <v>-1133.76513842871</v>
      </c>
      <c r="G21" s="540" t="n">
        <f aca="false">[1]Cinergy!$E43</f>
        <v>55.375</v>
      </c>
      <c r="H21" s="498" t="n">
        <f aca="false">IF($R$9,R21,Q21)</f>
        <v>-0.5</v>
      </c>
      <c r="I21" s="541" t="n">
        <f aca="false">G21+H21</f>
        <v>54.875</v>
      </c>
      <c r="J21" s="160" t="n">
        <f aca="false">H21*B21</f>
        <v>82326.9765625</v>
      </c>
      <c r="K21" s="114" t="n">
        <f aca="false">(((I21-AL21)*AK21+(I21-AN21)*AM21+(I21-AP21)*AO21+(I21-AR21)*AQ21+(I21-AT21)*AS21+(I21-AV21)*AU21+(I21-AX21)*AW21+(I21-AZ21)*AY21+(I21-BB21)*BA21+(I21-BD21)*BC21+(I21-BF21)*BE21+(I21-BH21)*BG21+(I21-BJ21)*BI21+(I21-BL21)*BK21+(I21-BN21)*BM21+(I21-BP21)*BO21+(I21-BR21)*BQ21+(I21-BT21)*BS21+(I21-BV21)*BU21+(I21-BX21)*BW21)*CD21*CE21)+CG21+CH21+CI21</f>
        <v>116998.501732797</v>
      </c>
      <c r="L21" s="114" t="n">
        <f aca="false">J21+K21</f>
        <v>199325.478295297</v>
      </c>
      <c r="M21" s="0"/>
      <c r="N21" s="500" t="n">
        <f aca="false">A21</f>
        <v>37438</v>
      </c>
      <c r="O21" s="501" t="n">
        <v>27</v>
      </c>
      <c r="P21" s="501" t="n">
        <v>28</v>
      </c>
      <c r="Q21" s="502" t="n">
        <f aca="false">AVERAGE(O21:P21)-G21</f>
        <v>-27.875</v>
      </c>
      <c r="R21" s="503" t="n">
        <f aca="false">+Master!L31</f>
        <v>-0.5</v>
      </c>
      <c r="S21" s="542" t="n">
        <f aca="false">I21</f>
        <v>54.875</v>
      </c>
      <c r="T21" s="505" t="n">
        <f aca="false">T20+1</f>
        <v>2003</v>
      </c>
      <c r="U21" s="506"/>
      <c r="V21" s="555" t="n">
        <f aca="false">T21</f>
        <v>2003</v>
      </c>
      <c r="W21" s="508" t="n">
        <f aca="false" t="array" ref="W21:W21">SUM(IF((YEAR($A$12:$A$47)=T21),$I$12:$I$47*$DK$12:$DK$47))/SUM(IF((YEAR($A$12:$A$47)=T21),$DK$12:$DK$47))</f>
        <v>33.5796860638787</v>
      </c>
      <c r="X21" s="544" t="n">
        <f aca="false" t="array" ref="X21:X21">AVERAGE(IF((YEAR($A$12:$A$47)=T21),$I$12:$I$47))</f>
        <v>33.5509551823711</v>
      </c>
      <c r="Y21" s="545" t="n">
        <f aca="false">W21-$W$12</f>
        <v>7.06327981387867</v>
      </c>
      <c r="Z21" s="545" t="n">
        <f aca="false">W21-$W$13</f>
        <v>4.9064303800389</v>
      </c>
      <c r="AA21" s="545" t="n">
        <f aca="false">W21-$W$14</f>
        <v>0.410390877658465</v>
      </c>
      <c r="AB21" s="545" t="n">
        <f aca="false">W21-$W$15</f>
        <v>-12.9750014361213</v>
      </c>
      <c r="AC21" s="545" t="n">
        <f aca="false">W21-$W$16</f>
        <v>4.57968606387868</v>
      </c>
      <c r="AD21" s="545" t="n">
        <f aca="false">W21-$W$17</f>
        <v>4.11379341998711</v>
      </c>
      <c r="AE21" s="545" t="n">
        <f aca="false">W21-$W$18</f>
        <v>0.657439760209435</v>
      </c>
      <c r="AF21" s="545" t="n">
        <f aca="false">W21-$W$19</f>
        <v>-9.03164206112133</v>
      </c>
      <c r="AG21" s="545" t="n">
        <f aca="false">W21-$W$20</f>
        <v>-0.791882563572308</v>
      </c>
      <c r="AH21" s="546" t="n">
        <v>0</v>
      </c>
      <c r="AI21" s="554"/>
      <c r="AJ21" s="512" t="n">
        <f aca="false">A21</f>
        <v>37438</v>
      </c>
      <c r="AK21" s="513" t="n">
        <v>50</v>
      </c>
      <c r="AL21" s="514" t="n">
        <v>55</v>
      </c>
      <c r="AM21" s="513"/>
      <c r="AN21" s="514"/>
      <c r="AO21" s="513"/>
      <c r="AP21" s="514"/>
      <c r="AQ21" s="513"/>
      <c r="AR21" s="514"/>
      <c r="AS21" s="515" t="n">
        <v>-700</v>
      </c>
      <c r="AT21" s="516" t="n">
        <v>55.375</v>
      </c>
      <c r="AU21" s="550" t="n">
        <f aca="false">+AU20</f>
        <v>0</v>
      </c>
      <c r="AV21" s="551" t="n">
        <f aca="false">+AV20</f>
        <v>0</v>
      </c>
      <c r="AW21" s="550" t="n">
        <f aca="false">+AW20</f>
        <v>0</v>
      </c>
      <c r="AX21" s="551" t="n">
        <f aca="false">+AX20</f>
        <v>0</v>
      </c>
      <c r="AY21" s="513"/>
      <c r="AZ21" s="514"/>
      <c r="BA21" s="550"/>
      <c r="BB21" s="551"/>
      <c r="BC21" s="513"/>
      <c r="BD21" s="514"/>
      <c r="BE21" s="513"/>
      <c r="BF21" s="514"/>
      <c r="BG21" s="513"/>
      <c r="BH21" s="514"/>
      <c r="BI21" s="520"/>
      <c r="BJ21" s="517"/>
      <c r="BK21" s="520"/>
      <c r="BL21" s="517"/>
      <c r="BM21" s="520"/>
      <c r="BN21" s="517"/>
      <c r="BO21" s="520"/>
      <c r="BP21" s="517"/>
      <c r="BQ21" s="520"/>
      <c r="BR21" s="517"/>
      <c r="BS21" s="520"/>
      <c r="BT21" s="517"/>
      <c r="BU21" s="520"/>
      <c r="BV21" s="517"/>
      <c r="BW21" s="520"/>
      <c r="BX21" s="517"/>
      <c r="BY21" s="556" t="n">
        <f aca="false">AK21+AM21+AO21+AQ21+AS21+AU21+AW21+AY21+BA21+BC21+BE21+BG21+BI21+BK21+BM21+BO21+BQ21+BS21+BU21+BW21</f>
        <v>-650</v>
      </c>
      <c r="BZ21" s="524" t="n">
        <f aca="false">IF(AND(BY21=0,CC21=0),0,(ABS(AK21)*AL21+ABS(AM21)*AN21+ABS(AO21)*AP21+ABS(AQ21)*AR21+ABS(AS21)*AT21+ABS(AU21)*AV21+ABS(AW21)*AX21+ABS(AY21)*AZ21+ABS(BA21)*BB21+ABS(BC21)*BD21+ABS(BE21)*BF21+ABS(BG21)*BH21+ABS(BI21)*BJ21+ABS(BK21)*BL21+ABS(BM21)*BN21+ABS(BO21)*BP21+ABS(BQ21)*BR21+ABS(BS21)*BT21+ABS(BU21)*BV21+ABS(BW21)*BX21)/CC21)</f>
        <v>55.35</v>
      </c>
      <c r="CB21" s="525" t="n">
        <f aca="false">AJ21</f>
        <v>37438</v>
      </c>
      <c r="CC21" s="222" t="n">
        <f aca="false">ABS(AK21)+ABS(AM21)+ABS(AO21)+ABS(AQ21)+ABS(AS21)+ABS(AU21)+ABS(AW21)+ABS(AY21)+ABS(BA21)+ABS(BC21)+ABS(BE21)+ABS(BG21)+ABS(BI21)+ABS(BK21)+ABS(BM21)+ABS(BO21)+ABS(BQ21)+ABS(BS21)+ABS(BU21)+ABS(BW21)</f>
        <v>750</v>
      </c>
      <c r="CD21" s="526" t="n">
        <f aca="false">16*DK21</f>
        <v>352</v>
      </c>
      <c r="CE21" s="222" t="n">
        <f aca="false">VLOOKUP(A21,Interest!$X$8:$AC$367,6)</f>
        <v>0.966929766386753</v>
      </c>
      <c r="CF21" s="527" t="n">
        <f aca="false">E21-B21</f>
        <v>-221233.530549289</v>
      </c>
      <c r="CG21" s="527" t="n">
        <f aca="false">IF(YEAR($AJ21)=$CG$10,(($I21-$AL$48)*$AK$48+($I21-$AN$48)*$AM$48+($I21-$AP$48)*$AO$48+($I21-$AR$48)*$AQ$48+($I21-$AT$48)*$AS$48+($I21-$AV$48)*$AU$48+($I21-$AX$48)*$AW$48+($I21-$AZ$48)*$AY$48+($I21-$BB$48)*$BA$48+($I21-$BD$48)*$BC$48+($I21-$BF$48)*$BE$48+($I21-$BH$48)*$BG$48+($I21-$BJ$48)*$BI$48+($I21-$BL$48)*$BK$48+($I21-$BN$48)*$BM$48+($I21-$BP$48)*$BO$48+($I21-$BR$48)*$BQ$48+($I21-$BT$48)*$BS$48+($I21-$BV$48)*$BU$48+($I21-$BX$48)*$BW$48)*$CD21*$CE21,0)</f>
        <v>0</v>
      </c>
      <c r="CH21" s="527" t="n">
        <f aca="false">IF(YEAR($AJ21)=$CH$10,(($I21-$AL$49)*$AK$49+($I21-$AN$49)*$AM$49+($I21-$AP$49)*$AO$49+($I21-$AR$49)*$AQ$49+($I21-$AT$49)*$AS$49+($I21-$AV$49)*$AU$49+($I21-$AX$49)*$AW$49+($I21-$AZ$49)*$AY$49+($I21-$BB$49)*$BA$49+($I21-$BD$49)*$BC$49+($I21-$BF$49)*$BE$49+($I21-$BH$49)*$BG$49+($I21-$BJ$49)*$BI$49+($I21-$BL$49)*$BK$49+($I21-$BN$49)*$BM$49+($I21-$BP$49)*$BO$49+($I21-$BR$49)*$BQ$49+($I21-$BT$49)*$BS$49+($I21-$BV$49)*$BU$49+($I21-$BX$49)*$BW$49)*$CD21*$CE21,0)</f>
        <v>0</v>
      </c>
      <c r="CI21" s="527" t="n">
        <f aca="false">IF(YEAR($AJ21)=$CI$10,(($I21-$AL$50)*$AK$50+($I21-$AN$50)*$AM$50+($I21-$AP$50)*$AO$50+($I21-$AR$50)*$AQ$50+($I21-$AT$50)*$AS$50+($I21-$AV$50)*$AU$50+($I21-$AX$50)*$AW$50+($I21-$AZ$50)*$AY$50+($I21-$BB$50)*$BA$50+($I21-$BD$50)*$BC$50+($I21-$BF$50)*$BE$50+($I21-$BH$50)*$BG$50+($I21-$BJ$50)*$BI$50+($I21-$BL$50)*$BK$50+($I21-$BN$50)*$BM$50+($I21-$BP$50)*$BO$50+($I21-$BR$50)*$BQ$50+($I21-$BT$50)*$BS$50+($I21-$BV$50)*$BU$50+($I21-$BX$50)*$BW$50)*$CD21*$CE21,0)</f>
        <v>0</v>
      </c>
      <c r="CJ21" s="439" t="n">
        <f aca="false">CC21*CD21</f>
        <v>264000</v>
      </c>
      <c r="CK21" s="528" t="n">
        <f aca="false">DDE("TWINDDE","RSFRecord","NGF2 LAST")</f>
        <v>3.2</v>
      </c>
      <c r="CL21" s="553" t="n">
        <v>12.39</v>
      </c>
      <c r="CM21" s="530" t="n">
        <f aca="false">+CF21*CL21/10000</f>
        <v>-274.108344350569</v>
      </c>
      <c r="CN21" s="439" t="n">
        <f aca="false">DDE("TWINDDE","RSFRecord","NGF2 CLS")</f>
        <v>3.205</v>
      </c>
      <c r="CO21" s="439" t="n">
        <f aca="false">+CN21-CN20</f>
        <v>0.145</v>
      </c>
      <c r="CV21" s="531"/>
      <c r="DJ21" s="532" t="n">
        <f aca="false">[1]Cinergy!$D43</f>
        <v>37438</v>
      </c>
      <c r="DK21" s="440" t="n">
        <f aca="false">VLOOKUP(DJ21,DL21:DM262,2)</f>
        <v>22</v>
      </c>
      <c r="DL21" s="533" t="n">
        <v>36008</v>
      </c>
      <c r="DM21" s="459" t="n">
        <v>21</v>
      </c>
      <c r="DP21" s="534" t="n">
        <f aca="false">[1]Cinergy!$D12</f>
        <v>37151</v>
      </c>
      <c r="DQ21" s="234" t="n">
        <f aca="false">[1]OPPD_NPPD!$O12+[1]NSP!$O12</f>
        <v>1593.04296875</v>
      </c>
      <c r="DR21" s="234" t="n">
        <f aca="false">[1]COMED!$O12</f>
        <v>15930.4296875</v>
      </c>
      <c r="DS21" s="234" t="n">
        <f aca="false">DQ21+DR21</f>
        <v>17523.47265625</v>
      </c>
      <c r="DT21" s="234" t="n">
        <f aca="false">SUM([1]OPPD_NPPD!$P12:$R12)+SUM([1]NSP!$P12:$R12)</f>
        <v>0</v>
      </c>
      <c r="DU21" s="234" t="n">
        <f aca="false">SUM([1]COMED!$P12:$R12)</f>
        <v>-796.521484375</v>
      </c>
      <c r="DV21" s="234" t="n">
        <f aca="false">DT21+DU21</f>
        <v>-796.521484375</v>
      </c>
      <c r="DW21" s="535"/>
      <c r="DX21" s="536" t="n">
        <f aca="false">[1]OtherPosn!$D12</f>
        <v>37530</v>
      </c>
      <c r="DY21" s="234" t="n">
        <f aca="false">[1]OtherPosn!$N12</f>
        <v>35258.61328125</v>
      </c>
      <c r="DZ21" s="234" t="n">
        <f aca="false">SUM([1]OtherPosn!$O12:$P12)</f>
        <v>0</v>
      </c>
      <c r="EO21" s="532" t="n">
        <f aca="false">DJ21</f>
        <v>37438</v>
      </c>
      <c r="EP21" s="234" t="n">
        <f aca="false">DK21</f>
        <v>22</v>
      </c>
      <c r="EQ21" s="473" t="n">
        <f aca="false">O19*$EP21</f>
        <v>726</v>
      </c>
      <c r="ER21" s="473" t="n">
        <f aca="false">P19*$EP21</f>
        <v>770</v>
      </c>
      <c r="ES21" s="439" t="n">
        <f aca="false">IF(YEAR($EO21)=2000,EP21,0)</f>
        <v>0</v>
      </c>
      <c r="ET21" s="439" t="n">
        <f aca="false">IF(YEAR($EO21)=2000,EQ21,0)</f>
        <v>0</v>
      </c>
      <c r="EU21" s="439" t="n">
        <f aca="false">IF(YEAR($EO21)=2000,ER21,0)</f>
        <v>0</v>
      </c>
    </row>
    <row r="22" customFormat="false" ht="18.75" hidden="false" customHeight="false" outlineLevel="0" collapsed="false">
      <c r="A22" s="95" t="n">
        <f aca="false">[1]Cinergy!$D44</f>
        <v>37469</v>
      </c>
      <c r="B22" s="122" t="n">
        <f aca="false">[1]Cinergy!$O44</f>
        <v>-174802.015625</v>
      </c>
      <c r="C22" s="163" t="n">
        <f aca="false">B22/(CE22*CD22)</f>
        <v>-515.261521097754</v>
      </c>
      <c r="D22" s="496" t="n">
        <f aca="false">BY22+IF(YEAR(A22)=$T$20,$BY$48,0)+IF(YEAR(A22)=$T$21,$BY$49,0)+IF(YEAR(A22)=$T$22,$BY$50,0)</f>
        <v>-650</v>
      </c>
      <c r="E22" s="163" t="n">
        <f aca="false">B22+(D22*CD22*CE22)</f>
        <v>-395313.941130678</v>
      </c>
      <c r="F22" s="497" t="n">
        <f aca="false">C22+D22</f>
        <v>-1165.26152109775</v>
      </c>
      <c r="G22" s="498" t="n">
        <f aca="false">[1]Cinergy!$E44</f>
        <v>55.375</v>
      </c>
      <c r="H22" s="498" t="n">
        <f aca="false">IF($R$9,R22,Q22)</f>
        <v>-0.5</v>
      </c>
      <c r="I22" s="499" t="n">
        <f aca="false">G22+H22</f>
        <v>54.875</v>
      </c>
      <c r="J22" s="122" t="n">
        <f aca="false">H22*B22</f>
        <v>87401.0078125</v>
      </c>
      <c r="K22" s="123" t="n">
        <f aca="false">(((I22-AL22)*AK22+(I22-AN22)*AM22+(I22-AP22)*AO22+(I22-AR22)*AQ22+(I22-AT22)*AS22+(I22-AV22)*AU22+(I22-AX22)*AW22+(I22-AZ22)*AY22+(I22-BB22)*BA22+(I22-BD22)*BC22+(I22-BF22)*BE22+(I22-BH22)*BG22+(I22-BJ22)*BI22+(I22-BL22)*BK22+(I22-BN22)*BM22+(I22-BP22)*BO22+(I22-BR22)*BQ22+(I22-BT22)*BS22+(I22-BV22)*BU22+(I22-BX22)*BW22)*CD22*CE22)+CG22+CH22+CI22</f>
        <v>116616.883680887</v>
      </c>
      <c r="L22" s="123" t="n">
        <f aca="false">J22+K22</f>
        <v>204017.891493387</v>
      </c>
      <c r="M22" s="0"/>
      <c r="N22" s="500" t="n">
        <f aca="false">A22</f>
        <v>37469</v>
      </c>
      <c r="O22" s="501" t="n">
        <v>29</v>
      </c>
      <c r="P22" s="501" t="n">
        <v>30</v>
      </c>
      <c r="Q22" s="502" t="n">
        <f aca="false">AVERAGE(O22:P22)-G22</f>
        <v>-25.875</v>
      </c>
      <c r="R22" s="503" t="n">
        <f aca="false">+R21</f>
        <v>-0.5</v>
      </c>
      <c r="S22" s="542" t="n">
        <f aca="false">I22</f>
        <v>54.875</v>
      </c>
      <c r="T22" s="505" t="n">
        <f aca="false">T21+1</f>
        <v>2004</v>
      </c>
      <c r="U22" s="506"/>
      <c r="V22" s="557" t="n">
        <f aca="false">T22</f>
        <v>2004</v>
      </c>
      <c r="W22" s="558" t="n">
        <f aca="false" t="array" ref="W22:W22">SUM(IF((YEAR($A$12:$A$50)=T22),$I$12:$I$50*$DK$12:$DK$50))/SUM(IF((YEAR($A$12:$A$50)=T22),$DK$12:$DK$50))</f>
        <v>33.9326986167017</v>
      </c>
      <c r="X22" s="559" t="n">
        <f aca="false" t="array" ref="X22:X22">AVERAGE(IF((YEAR($A$12:$A$50)=T22),$I$12:$I$50))</f>
        <v>33.8551222940858</v>
      </c>
      <c r="Y22" s="560" t="n">
        <f aca="false">W22-$W$12</f>
        <v>7.41629236670165</v>
      </c>
      <c r="Z22" s="560" t="n">
        <f aca="false">W22-$W$13</f>
        <v>5.25944293286188</v>
      </c>
      <c r="AA22" s="560" t="n">
        <f aca="false">W22-$W$14</f>
        <v>0.763403430481446</v>
      </c>
      <c r="AB22" s="560" t="n">
        <f aca="false">W22-$W$15</f>
        <v>-12.6219888832983</v>
      </c>
      <c r="AC22" s="560" t="n">
        <f aca="false">W22-$W$16</f>
        <v>4.93269861670166</v>
      </c>
      <c r="AD22" s="560" t="n">
        <f aca="false">W22-$W$17</f>
        <v>4.46680597281009</v>
      </c>
      <c r="AE22" s="560" t="n">
        <f aca="false">W22-$W$18</f>
        <v>1.01045231303242</v>
      </c>
      <c r="AF22" s="560" t="n">
        <f aca="false">W22-$W$19</f>
        <v>-8.67862950829834</v>
      </c>
      <c r="AG22" s="560" t="n">
        <f aca="false">W22-$W$20</f>
        <v>-0.438870010749326</v>
      </c>
      <c r="AH22" s="560" t="n">
        <f aca="false">W22-$W$21</f>
        <v>0.353012552822982</v>
      </c>
      <c r="AI22" s="561" t="n">
        <v>0</v>
      </c>
      <c r="AJ22" s="512" t="n">
        <f aca="false">A22</f>
        <v>37469</v>
      </c>
      <c r="AK22" s="513" t="n">
        <f aca="false">+AK21</f>
        <v>50</v>
      </c>
      <c r="AL22" s="514" t="n">
        <f aca="false">+AL21</f>
        <v>55</v>
      </c>
      <c r="AM22" s="513" t="n">
        <f aca="false">+AM21</f>
        <v>0</v>
      </c>
      <c r="AN22" s="514" t="n">
        <f aca="false">+AN21</f>
        <v>0</v>
      </c>
      <c r="AO22" s="513" t="n">
        <f aca="false">+AO21</f>
        <v>0</v>
      </c>
      <c r="AP22" s="514" t="n">
        <f aca="false">+AP21</f>
        <v>0</v>
      </c>
      <c r="AQ22" s="513" t="n">
        <f aca="false">+AQ21</f>
        <v>0</v>
      </c>
      <c r="AR22" s="514" t="n">
        <f aca="false">+AR21</f>
        <v>0</v>
      </c>
      <c r="AS22" s="515" t="n">
        <v>-700</v>
      </c>
      <c r="AT22" s="516" t="n">
        <v>55.375</v>
      </c>
      <c r="AU22" s="550" t="n">
        <f aca="false">+AU21</f>
        <v>0</v>
      </c>
      <c r="AV22" s="551" t="n">
        <f aca="false">+AV21</f>
        <v>0</v>
      </c>
      <c r="AW22" s="550" t="n">
        <f aca="false">+AW21</f>
        <v>0</v>
      </c>
      <c r="AX22" s="551" t="n">
        <f aca="false">+AX21</f>
        <v>0</v>
      </c>
      <c r="AY22" s="562"/>
      <c r="AZ22" s="563"/>
      <c r="BA22" s="550"/>
      <c r="BB22" s="551"/>
      <c r="BC22" s="513"/>
      <c r="BD22" s="514"/>
      <c r="BE22" s="513"/>
      <c r="BF22" s="514"/>
      <c r="BG22" s="513"/>
      <c r="BH22" s="514"/>
      <c r="BI22" s="520"/>
      <c r="BJ22" s="517"/>
      <c r="BK22" s="520"/>
      <c r="BL22" s="517"/>
      <c r="BM22" s="520"/>
      <c r="BN22" s="517"/>
      <c r="BO22" s="520"/>
      <c r="BP22" s="517"/>
      <c r="BQ22" s="520"/>
      <c r="BR22" s="517"/>
      <c r="BS22" s="520"/>
      <c r="BT22" s="517"/>
      <c r="BU22" s="520"/>
      <c r="BV22" s="517"/>
      <c r="BW22" s="520"/>
      <c r="BX22" s="517"/>
      <c r="BY22" s="556" t="n">
        <f aca="false">AK22+AM22+AO22+AQ22+AS22+AU22+AW22+AY22+BA22+BC22+BE22+BG22+BI22+BK22+BM22+BO22+BQ22+BS22+BU22+BW22</f>
        <v>-650</v>
      </c>
      <c r="BZ22" s="524" t="n">
        <f aca="false">IF(AND(BY22=0,CC22=0),0,(ABS(AK22)*AL22+ABS(AM22)*AN22+ABS(AO22)*AP22+ABS(AQ22)*AR22+ABS(AS22)*AT22+ABS(AU22)*AV22+ABS(AW22)*AX22+ABS(AY22)*AZ22+ABS(BA22)*BB22+ABS(BC22)*BD22+ABS(BE22)*BF22+ABS(BG22)*BH22+ABS(BI22)*BJ22+ABS(BK22)*BL22+ABS(BM22)*BN22+ABS(BO22)*BP22+ABS(BQ22)*BR22+ABS(BS22)*BT22+ABS(BU22)*BV22+ABS(BW22)*BX22)/CC22)</f>
        <v>55.35</v>
      </c>
      <c r="CB22" s="525" t="n">
        <f aca="false">AJ22</f>
        <v>37469</v>
      </c>
      <c r="CC22" s="222" t="n">
        <f aca="false">ABS(AK22)+ABS(AM22)+ABS(AO22)+ABS(AQ22)+ABS(AS22)+ABS(AU22)+ABS(AW22)+ABS(AY22)+ABS(BA22)+ABS(BC22)+ABS(BE22)+ABS(BG22)+ABS(BI22)+ABS(BK22)+ABS(BM22)+ABS(BO22)+ABS(BQ22)+ABS(BS22)+ABS(BU22)+ABS(BW22)</f>
        <v>750</v>
      </c>
      <c r="CD22" s="526" t="n">
        <f aca="false">16*DK22</f>
        <v>352</v>
      </c>
      <c r="CE22" s="222" t="n">
        <f aca="false">VLOOKUP(A22,Interest!$X$8:$AC$367,6)</f>
        <v>0.963775898189151</v>
      </c>
      <c r="CF22" s="527" t="n">
        <f aca="false">E22-B22</f>
        <v>-220511.925505678</v>
      </c>
      <c r="CG22" s="527" t="n">
        <f aca="false">IF(YEAR($AJ22)=$CG$10,(($I22-$AL$48)*$AK$48+($I22-$AN$48)*$AM$48+($I22-$AP$48)*$AO$48+($I22-$AR$48)*$AQ$48+($I22-$AT$48)*$AS$48+($I22-$AV$48)*$AU$48+($I22-$AX$48)*$AW$48+($I22-$AZ$48)*$AY$48+($I22-$BB$48)*$BA$48+($I22-$BD$48)*$BC$48+($I22-$BF$48)*$BE$48+($I22-$BH$48)*$BG$48+($I22-$BJ$48)*$BI$48+($I22-$BL$48)*$BK$48+($I22-$BN$48)*$BM$48+($I22-$BP$48)*$BO$48+($I22-$BR$48)*$BQ$48+($I22-$BT$48)*$BS$48+($I22-$BV$48)*$BU$48+($I22-$BX$48)*$BW$48)*$CD22*$CE22,0)</f>
        <v>0</v>
      </c>
      <c r="CH22" s="527" t="n">
        <f aca="false">IF(YEAR($AJ22)=$CH$10,(($I22-$AL$49)*$AK$49+($I22-$AN$49)*$AM$49+($I22-$AP$49)*$AO$49+($I22-$AR$49)*$AQ$49+($I22-$AT$49)*$AS$49+($I22-$AV$49)*$AU$49+($I22-$AX$49)*$AW$49+($I22-$AZ$49)*$AY$49+($I22-$BB$49)*$BA$49+($I22-$BD$49)*$BC$49+($I22-$BF$49)*$BE$49+($I22-$BH$49)*$BG$49+($I22-$BJ$49)*$BI$49+($I22-$BL$49)*$BK$49+($I22-$BN$49)*$BM$49+($I22-$BP$49)*$BO$49+($I22-$BR$49)*$BQ$49+($I22-$BT$49)*$BS$49+($I22-$BV$49)*$BU$49+($I22-$BX$49)*$BW$49)*$CD22*$CE22,0)</f>
        <v>0</v>
      </c>
      <c r="CI22" s="527" t="n">
        <f aca="false">IF(YEAR($AJ22)=$CI$10,(($I22-$AL$50)*$AK$50+($I22-$AN$50)*$AM$50+($I22-$AP$50)*$AO$50+($I22-$AR$50)*$AQ$50+($I22-$AT$50)*$AS$50+($I22-$AV$50)*$AU$50+($I22-$AX$50)*$AW$50+($I22-$AZ$50)*$AY$50+($I22-$BB$50)*$BA$50+($I22-$BD$50)*$BC$50+($I22-$BF$50)*$BE$50+($I22-$BH$50)*$BG$50+($I22-$BJ$50)*$BI$50+($I22-$BL$50)*$BK$50+($I22-$BN$50)*$BM$50+($I22-$BP$50)*$BO$50+($I22-$BR$50)*$BQ$50+($I22-$BT$50)*$BS$50+($I22-$BV$50)*$BU$50+($I22-$BX$50)*$BW$50)*$CD22*$CE22,0)</f>
        <v>0</v>
      </c>
      <c r="CJ22" s="439" t="n">
        <f aca="false">CC22*CD22</f>
        <v>264000</v>
      </c>
      <c r="CK22" s="528"/>
      <c r="CL22" s="553" t="n">
        <v>16.52</v>
      </c>
      <c r="CM22" s="530" t="n">
        <f aca="false">+CF22*CL22/10000</f>
        <v>-364.285700935379</v>
      </c>
      <c r="CN22" s="439" t="n">
        <f aca="false">DDE("TWINDDE","RSFRecord","NGG2 CLS")</f>
        <v>3.177</v>
      </c>
      <c r="CO22" s="439" t="n">
        <f aca="false">+CN22-CN21</f>
        <v>-0.028</v>
      </c>
      <c r="CQ22" s="535" t="n">
        <f aca="false">SUM(CD21:CD22)</f>
        <v>704</v>
      </c>
      <c r="CR22" s="439" t="n">
        <f aca="false">+'EOL LINKS'!H64</f>
        <v>54.125</v>
      </c>
      <c r="CS22" s="439" t="n">
        <f aca="false">+CR22*CQ22</f>
        <v>38104</v>
      </c>
      <c r="CV22" s="531"/>
      <c r="DJ22" s="532" t="n">
        <f aca="false">[1]Cinergy!$D44</f>
        <v>37469</v>
      </c>
      <c r="DK22" s="440" t="n">
        <f aca="false">VLOOKUP(DJ22,DL22:DM263,2)</f>
        <v>22</v>
      </c>
      <c r="DL22" s="533" t="n">
        <v>36039</v>
      </c>
      <c r="DM22" s="459" t="n">
        <v>21</v>
      </c>
      <c r="DP22" s="534" t="n">
        <f aca="false">[1]Cinergy!$D13</f>
        <v>37152</v>
      </c>
      <c r="DQ22" s="234" t="n">
        <f aca="false">[1]OPPD_NPPD!$O13+[1]NSP!$O13</f>
        <v>1593.04296875</v>
      </c>
      <c r="DR22" s="234" t="n">
        <f aca="false">[1]COMED!$O13</f>
        <v>15930.4296875</v>
      </c>
      <c r="DS22" s="234" t="n">
        <f aca="false">DQ22+DR22</f>
        <v>17523.47265625</v>
      </c>
      <c r="DT22" s="234" t="n">
        <f aca="false">SUM([1]OPPD_NPPD!$P13:$R13)+SUM([1]NSP!$P13:$R13)</f>
        <v>0</v>
      </c>
      <c r="DU22" s="234" t="n">
        <f aca="false">SUM([1]COMED!$P13:$R13)</f>
        <v>-796.521484375</v>
      </c>
      <c r="DV22" s="234" t="n">
        <f aca="false">DT22+DU22</f>
        <v>-796.521484375</v>
      </c>
      <c r="DW22" s="535"/>
      <c r="DX22" s="536" t="n">
        <f aca="false">[1]OtherPosn!$D13</f>
        <v>37561</v>
      </c>
      <c r="DY22" s="234" t="n">
        <f aca="false">[1]OtherPosn!$N13</f>
        <v>30556.296875</v>
      </c>
      <c r="DZ22" s="234" t="n">
        <f aca="false">SUM([1]OtherPosn!$O13:$P13)</f>
        <v>0</v>
      </c>
      <c r="EO22" s="532" t="n">
        <f aca="false">DJ22</f>
        <v>37469</v>
      </c>
      <c r="EP22" s="234" t="n">
        <f aca="false">DK22</f>
        <v>22</v>
      </c>
      <c r="EQ22" s="473" t="n">
        <f aca="false">O20*$EP22</f>
        <v>726</v>
      </c>
      <c r="ER22" s="473" t="n">
        <f aca="false">P20*$EP22</f>
        <v>770</v>
      </c>
      <c r="ES22" s="439" t="n">
        <f aca="false">IF(YEAR($EO22)=2000,EP22,0)</f>
        <v>0</v>
      </c>
      <c r="ET22" s="439" t="n">
        <f aca="false">IF(YEAR($EO22)=2000,EQ22,0)</f>
        <v>0</v>
      </c>
      <c r="EU22" s="439" t="n">
        <f aca="false">IF(YEAR($EO22)=2000,ER22,0)</f>
        <v>0</v>
      </c>
    </row>
    <row r="23" customFormat="false" ht="18" hidden="false" customHeight="false" outlineLevel="0" collapsed="false">
      <c r="A23" s="537" t="n">
        <f aca="false">[1]Cinergy!$D45</f>
        <v>37500</v>
      </c>
      <c r="B23" s="180" t="n">
        <f aca="false">[1]Cinergy!$O45</f>
        <v>-245783.4375</v>
      </c>
      <c r="C23" s="538" t="n">
        <f aca="false">B23/(CE23*CD23)</f>
        <v>-799.506710585405</v>
      </c>
      <c r="D23" s="538" t="n">
        <f aca="false">BY23+IF(YEAR(A23)=$T$20,$BY$48,0)+IF(YEAR(A23)=$T$21,$BY$49,0)+IF(YEAR(A23)=$T$22,$BY$50,0)</f>
        <v>-50</v>
      </c>
      <c r="E23" s="160" t="n">
        <f aca="false">B23+(D23*CD23*CE23)</f>
        <v>-261154.380247937</v>
      </c>
      <c r="F23" s="539" t="n">
        <f aca="false">C23+D23</f>
        <v>-849.506710585405</v>
      </c>
      <c r="G23" s="540" t="n">
        <f aca="false">[1]Cinergy!$E45</f>
        <v>28.25</v>
      </c>
      <c r="H23" s="498" t="n">
        <f aca="false">IF($R$9,R23,Q23)</f>
        <v>0</v>
      </c>
      <c r="I23" s="541" t="n">
        <f aca="false">G23+H23</f>
        <v>28.25</v>
      </c>
      <c r="J23" s="160" t="n">
        <f aca="false">H23*B23</f>
        <v>-0</v>
      </c>
      <c r="K23" s="114" t="n">
        <f aca="false">(((I23-AL23)*AK23+(I23-AN23)*AM23+(I23-AP23)*AO23+(I23-AR23)*AQ23+(I23-AT23)*AS23+(I23-AV23)*AU23+(I23-AX23)*AW23+(I23-AZ23)*AY23+(I23-BB23)*BA23+(I23-BD23)*BC23+(I23-BF23)*BE23+(I23-BH23)*BG23+(I23-BJ23)*BI23+(I23-BL23)*BK23+(I23-BN23)*BM23+(I23-BP23)*BO23+(I23-BR23)*BQ23+(I23-BT23)*BS23+(I23-BV23)*BU23+(I23-BX23)*BW23)*CD23*CE23)+CG23+CH23+CI23</f>
        <v>0</v>
      </c>
      <c r="L23" s="114" t="n">
        <f aca="false">J23+K23</f>
        <v>0</v>
      </c>
      <c r="M23" s="0"/>
      <c r="N23" s="500" t="n">
        <f aca="false">A23</f>
        <v>37500</v>
      </c>
      <c r="O23" s="501" t="n">
        <v>37</v>
      </c>
      <c r="P23" s="501" t="n">
        <v>40</v>
      </c>
      <c r="Q23" s="502" t="n">
        <f aca="false">AVERAGE(O23:P23)-G23</f>
        <v>10.25</v>
      </c>
      <c r="R23" s="503" t="n">
        <f aca="false">+Master!L32</f>
        <v>0</v>
      </c>
      <c r="S23" s="542" t="n">
        <f aca="false">I23</f>
        <v>28.25</v>
      </c>
      <c r="T23" s="505" t="n">
        <f aca="false">T22+1</f>
        <v>2005</v>
      </c>
      <c r="U23" s="506"/>
      <c r="V23" s="555" t="n">
        <v>2004</v>
      </c>
      <c r="W23" s="508" t="n">
        <f aca="false" t="array" ref="W23:W23">SUM(IF((YEAR([1]Cinergy!$D$34:$D$99)=T23),[1]Cinergy!$G$34:$G$99*$DK$12:$DK$77))/SUM(IF((YEAR([1]Cinergy!$D$34:$D$99)=T23),$DK$12:$DK$77))</f>
        <v>34.372858827354</v>
      </c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512" t="n">
        <f aca="false">A23</f>
        <v>37500</v>
      </c>
      <c r="AK23" s="513"/>
      <c r="AL23" s="514"/>
      <c r="AM23" s="513"/>
      <c r="AN23" s="514"/>
      <c r="AO23" s="513"/>
      <c r="AP23" s="514"/>
      <c r="AQ23" s="513"/>
      <c r="AR23" s="514"/>
      <c r="AS23" s="515" t="n">
        <v>-50</v>
      </c>
      <c r="AT23" s="516" t="n">
        <v>28.25</v>
      </c>
      <c r="AU23" s="550" t="n">
        <f aca="false">+AU22</f>
        <v>0</v>
      </c>
      <c r="AV23" s="551" t="n">
        <f aca="false">+AV22</f>
        <v>0</v>
      </c>
      <c r="AW23" s="550" t="n">
        <f aca="false">+AW22</f>
        <v>0</v>
      </c>
      <c r="AX23" s="551" t="n">
        <f aca="false">+AX22</f>
        <v>0</v>
      </c>
      <c r="AY23" s="562"/>
      <c r="AZ23" s="563"/>
      <c r="BA23" s="550"/>
      <c r="BB23" s="551"/>
      <c r="BC23" s="513"/>
      <c r="BD23" s="514"/>
      <c r="BE23" s="564"/>
      <c r="BF23" s="565"/>
      <c r="BG23" s="513"/>
      <c r="BH23" s="514"/>
      <c r="BI23" s="520"/>
      <c r="BJ23" s="517"/>
      <c r="BK23" s="520"/>
      <c r="BL23" s="517"/>
      <c r="BM23" s="520"/>
      <c r="BN23" s="517"/>
      <c r="BO23" s="520"/>
      <c r="BP23" s="517"/>
      <c r="BQ23" s="520"/>
      <c r="BR23" s="517"/>
      <c r="BS23" s="520"/>
      <c r="BT23" s="517"/>
      <c r="BU23" s="520"/>
      <c r="BV23" s="517"/>
      <c r="BW23" s="520"/>
      <c r="BX23" s="517"/>
      <c r="BY23" s="556" t="n">
        <f aca="false">AK23+AM23+AO23+AQ23+AS23+AU23+AW23+AY23+BA23+BC23+BE23+BG23+BI23+BK23+BM23+BO23+BQ23+BS23+BU23+BW23</f>
        <v>-50</v>
      </c>
      <c r="BZ23" s="524" t="n">
        <f aca="false">IF(AND(BY23=0,CC23=0),0,(ABS(AK23)*AL23+ABS(AM23)*AN23+ABS(AO23)*AP23+ABS(AQ23)*AR23+ABS(AS23)*AT23+ABS(AU23)*AV23+ABS(AW23)*AX23+ABS(AY23)*AZ23+ABS(BA23)*BB23+ABS(BC23)*BD23+ABS(BE23)*BF23+ABS(BG23)*BH23+ABS(BI23)*BJ23+ABS(BK23)*BL23+ABS(BM23)*BN23+ABS(BO23)*BP23+ABS(BQ23)*BR23+ABS(BS23)*BT23+ABS(BU23)*BV23+ABS(BW23)*BX23)/CC23)</f>
        <v>28.25</v>
      </c>
      <c r="CB23" s="525" t="n">
        <f aca="false">AJ23</f>
        <v>37500</v>
      </c>
      <c r="CC23" s="222" t="n">
        <f aca="false">ABS(AK23)+ABS(AM23)+ABS(AO23)+ABS(AQ23)+ABS(AS23)+ABS(AU23)+ABS(AW23)+ABS(AY23)+ABS(BA23)+ABS(BC23)+ABS(BE23)+ABS(BG23)+ABS(BI23)+ABS(BK23)+ABS(BM23)+ABS(BO23)+ABS(BQ23)+ABS(BS23)+ABS(BU23)+ABS(BW23)</f>
        <v>50</v>
      </c>
      <c r="CD23" s="526" t="n">
        <f aca="false">16*DK23</f>
        <v>320</v>
      </c>
      <c r="CE23" s="222" t="n">
        <f aca="false">VLOOKUP(A23,Interest!$X$8:$AC$367,6)</f>
        <v>0.960683921746086</v>
      </c>
      <c r="CF23" s="527" t="n">
        <f aca="false">E23-B23</f>
        <v>-15370.9427479374</v>
      </c>
      <c r="CG23" s="527" t="n">
        <f aca="false">IF(YEAR($AJ23)=$CG$10,(($I23-$AL$48)*$AK$48+($I23-$AN$48)*$AM$48+($I23-$AP$48)*$AO$48+($I23-$AR$48)*$AQ$48+($I23-$AT$48)*$AS$48+($I23-$AV$48)*$AU$48+($I23-$AX$48)*$AW$48+($I23-$AZ$48)*$AY$48+($I23-$BB$48)*$BA$48+($I23-$BD$48)*$BC$48+($I23-$BF$48)*$BE$48+($I23-$BH$48)*$BG$48+($I23-$BJ$48)*$BI$48+($I23-$BL$48)*$BK$48+($I23-$BN$48)*$BM$48+($I23-$BP$48)*$BO$48+($I23-$BR$48)*$BQ$48+($I23-$BT$48)*$BS$48+($I23-$BV$48)*$BU$48+($I23-$BX$48)*$BW$48)*$CD23*$CE23,0)</f>
        <v>0</v>
      </c>
      <c r="CH23" s="527" t="n">
        <f aca="false">IF(YEAR($AJ23)=$CH$10,(($I23-$AL$49)*$AK$49+($I23-$AN$49)*$AM$49+($I23-$AP$49)*$AO$49+($I23-$AR$49)*$AQ$49+($I23-$AT$49)*$AS$49+($I23-$AV$49)*$AU$49+($I23-$AX$49)*$AW$49+($I23-$AZ$49)*$AY$49+($I23-$BB$49)*$BA$49+($I23-$BD$49)*$BC$49+($I23-$BF$49)*$BE$49+($I23-$BH$49)*$BG$49+($I23-$BJ$49)*$BI$49+($I23-$BL$49)*$BK$49+($I23-$BN$49)*$BM$49+($I23-$BP$49)*$BO$49+($I23-$BR$49)*$BQ$49+($I23-$BT$49)*$BS$49+($I23-$BV$49)*$BU$49+($I23-$BX$49)*$BW$49)*$CD23*$CE23,0)</f>
        <v>0</v>
      </c>
      <c r="CI23" s="527" t="n">
        <f aca="false">IF(YEAR($AJ23)=$CI$10,(($I23-$AL$50)*$AK$50+($I23-$AN$50)*$AM$50+($I23-$AP$50)*$AO$50+($I23-$AR$50)*$AQ$50+($I23-$AT$50)*$AS$50+($I23-$AV$50)*$AU$50+($I23-$AX$50)*$AW$50+($I23-$AZ$50)*$AY$50+($I23-$BB$50)*$BA$50+($I23-$BD$50)*$BC$50+($I23-$BF$50)*$BE$50+($I23-$BH$50)*$BG$50+($I23-$BJ$50)*$BI$50+($I23-$BL$50)*$BK$50+($I23-$BN$50)*$BM$50+($I23-$BP$50)*$BO$50+($I23-$BR$50)*$BQ$50+($I23-$BT$50)*$BS$50+($I23-$BV$50)*$BU$50+($I23-$BX$50)*$BW$50)*$CD23*$CE23,0)</f>
        <v>0</v>
      </c>
      <c r="CJ23" s="439" t="n">
        <f aca="false">CC23*CD23</f>
        <v>16000</v>
      </c>
      <c r="CK23" s="528"/>
      <c r="CL23" s="553" t="n">
        <v>16.33</v>
      </c>
      <c r="CM23" s="530" t="n">
        <f aca="false">+CF23*CL23/10000</f>
        <v>-25.1007495073817</v>
      </c>
      <c r="CN23" s="439" t="n">
        <f aca="false">DDE("TWINDDE","RSFRecord","NGH2 CLS")</f>
        <v>3.105</v>
      </c>
      <c r="CO23" s="439" t="n">
        <f aca="false">+CN23-CN22</f>
        <v>-0.0720000000000001</v>
      </c>
      <c r="CQ23" s="535" t="n">
        <f aca="false">+CD23</f>
        <v>320</v>
      </c>
      <c r="CR23" s="439" t="n">
        <f aca="false">+'EOL LINKS'!H65</f>
        <v>27.5</v>
      </c>
      <c r="CS23" s="439" t="n">
        <f aca="false">+CR23*CQ23</f>
        <v>8800</v>
      </c>
      <c r="CV23" s="531"/>
      <c r="DJ23" s="532" t="n">
        <f aca="false">[1]Cinergy!$D45</f>
        <v>37500</v>
      </c>
      <c r="DK23" s="440" t="n">
        <f aca="false">VLOOKUP(DJ23,DL23:DM264,2)</f>
        <v>20</v>
      </c>
      <c r="DL23" s="533" t="n">
        <v>36069</v>
      </c>
      <c r="DM23" s="459" t="n">
        <v>22</v>
      </c>
      <c r="DP23" s="534" t="n">
        <f aca="false">[1]Cinergy!$D14</f>
        <v>37153</v>
      </c>
      <c r="DQ23" s="234" t="n">
        <f aca="false">[1]OPPD_NPPD!$O14+[1]NSP!$O14</f>
        <v>1593.04296875</v>
      </c>
      <c r="DR23" s="234" t="n">
        <f aca="false">[1]COMED!$O14</f>
        <v>15930.4296875</v>
      </c>
      <c r="DS23" s="234" t="n">
        <f aca="false">DQ23+DR23</f>
        <v>17523.47265625</v>
      </c>
      <c r="DT23" s="234" t="n">
        <f aca="false">SUM([1]OPPD_NPPD!$P14:$R14)+SUM([1]NSP!$P14:$R14)</f>
        <v>0</v>
      </c>
      <c r="DU23" s="234" t="n">
        <f aca="false">SUM([1]COMED!$P14:$R14)</f>
        <v>-796.521484375</v>
      </c>
      <c r="DV23" s="234" t="n">
        <f aca="false">DT23+DU23</f>
        <v>-796.521484375</v>
      </c>
      <c r="DW23" s="535"/>
      <c r="DX23" s="536" t="n">
        <f aca="false">[1]OtherPosn!$D14</f>
        <v>37591</v>
      </c>
      <c r="DY23" s="234" t="n">
        <f aca="false">[1]OtherPosn!$N14</f>
        <v>31956.65234375</v>
      </c>
      <c r="DZ23" s="234" t="n">
        <f aca="false">SUM([1]OtherPosn!$O14:$P14)</f>
        <v>0</v>
      </c>
      <c r="EO23" s="532" t="n">
        <f aca="false">DJ23</f>
        <v>37500</v>
      </c>
      <c r="EP23" s="234" t="n">
        <f aca="false">DK23</f>
        <v>20</v>
      </c>
      <c r="EQ23" s="473" t="n">
        <f aca="false">O21*$EP23</f>
        <v>540</v>
      </c>
      <c r="ER23" s="473" t="n">
        <f aca="false">P21*$EP23</f>
        <v>560</v>
      </c>
      <c r="ES23" s="439" t="n">
        <f aca="false">IF(YEAR($EO23)=2000,EP23,0)</f>
        <v>0</v>
      </c>
      <c r="ET23" s="439" t="n">
        <f aca="false">IF(YEAR($EO23)=2000,EQ23,0)</f>
        <v>0</v>
      </c>
      <c r="EU23" s="439" t="n">
        <f aca="false">IF(YEAR($EO23)=2000,ER23,0)</f>
        <v>0</v>
      </c>
    </row>
    <row r="24" customFormat="false" ht="18.75" hidden="false" customHeight="false" outlineLevel="0" collapsed="false">
      <c r="A24" s="95" t="n">
        <f aca="false">[1]Cinergy!$D46</f>
        <v>37530</v>
      </c>
      <c r="B24" s="122" t="n">
        <f aca="false">[1]Cinergy!$O46</f>
        <v>227736.65625</v>
      </c>
      <c r="C24" s="163" t="n">
        <f aca="false">B24/(CE24*CD24)</f>
        <v>646.377151287315</v>
      </c>
      <c r="D24" s="496" t="n">
        <f aca="false">BY24+IF(YEAR(A24)=$T$20,$BY$48,0)+IF(YEAR(A24)=$T$21,$BY$49,0)+IF(YEAR(A24)=$T$22,$BY$50,0)</f>
        <v>-50</v>
      </c>
      <c r="E24" s="163" t="n">
        <f aca="false">B24+(D24*CD24*CE24)</f>
        <v>210120.264968498</v>
      </c>
      <c r="F24" s="497" t="n">
        <f aca="false">C24+D24</f>
        <v>596.377151287315</v>
      </c>
      <c r="G24" s="498" t="n">
        <f aca="false">[1]Cinergy!$E46</f>
        <v>28.8062496185303</v>
      </c>
      <c r="H24" s="498" t="n">
        <f aca="false">IF($R$9,R24,Q24)</f>
        <v>-3.27825546264648E-007</v>
      </c>
      <c r="I24" s="499" t="n">
        <f aca="false">G24+H24</f>
        <v>28.8062492907047</v>
      </c>
      <c r="J24" s="122" t="n">
        <f aca="false">H24*B24</f>
        <v>-0.0746578937396407</v>
      </c>
      <c r="K24" s="123" t="n">
        <f aca="false">(((I24-AL24)*AK24+(I24-AN24)*AM24+(I24-AP24)*AO24+(I24-AR24)*AQ24+(I24-AT24)*AS24+(I24-AV24)*AU24+(I24-AX24)*AW24+(I24-AZ24)*AY24+(I24-BB24)*BA24+(I24-BD24)*BC24+(I24-BF24)*BE24+(I24-BH24)*BG24+(I24-BJ24)*BI24+(I24-BL24)*BK24+(I24-BN24)*BM24+(I24-BP24)*BO24+(I24-BR24)*BQ24+(I24-BT24)*BS24+(I24-BV24)*BU24+(I24-BX24)*BW24)*CD24*CE24)+CG24+CH24+CI24</f>
        <v>0.00577510309507021</v>
      </c>
      <c r="L24" s="123" t="n">
        <f aca="false">J24+K24</f>
        <v>-0.0688827906445705</v>
      </c>
      <c r="M24" s="549"/>
      <c r="N24" s="500" t="n">
        <f aca="false">A24</f>
        <v>37530</v>
      </c>
      <c r="O24" s="501" t="n">
        <v>68</v>
      </c>
      <c r="P24" s="501" t="n">
        <v>70</v>
      </c>
      <c r="Q24" s="502" t="n">
        <f aca="false">AVERAGE(O24:P24)-G24</f>
        <v>40.1937503814697</v>
      </c>
      <c r="R24" s="503" t="n">
        <f aca="false">+Master!L33</f>
        <v>-3.27825546264648E-007</v>
      </c>
      <c r="S24" s="542" t="n">
        <f aca="false">I24</f>
        <v>28.8062492907047</v>
      </c>
      <c r="T24" s="505" t="n">
        <f aca="false">T23+1</f>
        <v>2006</v>
      </c>
      <c r="U24" s="506"/>
      <c r="V24" s="557" t="n">
        <v>2005</v>
      </c>
      <c r="W24" s="508" t="n">
        <f aca="false" t="array" ref="W24:W24">SUM(IF((YEAR([1]Cinergy!$D$34:$D$99)=T24),[1]Cinergy!$G$34:$G$99*$DK$12:$DK$77))/SUM(IF((YEAR([1]Cinergy!$D$34:$D$99)=T24),$DK$12:$DK$77))</f>
        <v>34.5430539584627</v>
      </c>
      <c r="X24" s="46"/>
      <c r="Y24" s="46"/>
      <c r="Z24" s="0"/>
      <c r="AA24" s="0"/>
      <c r="AB24" s="0"/>
      <c r="AC24" s="0"/>
      <c r="AD24" s="0"/>
      <c r="AE24" s="46"/>
      <c r="AF24" s="46"/>
      <c r="AG24" s="46"/>
      <c r="AH24" s="46"/>
      <c r="AI24" s="46"/>
      <c r="AJ24" s="512" t="n">
        <f aca="false">A24</f>
        <v>37530</v>
      </c>
      <c r="AK24" s="513"/>
      <c r="AL24" s="514"/>
      <c r="AM24" s="513"/>
      <c r="AN24" s="514"/>
      <c r="AO24" s="513"/>
      <c r="AP24" s="514"/>
      <c r="AQ24" s="513"/>
      <c r="AR24" s="514"/>
      <c r="AS24" s="515" t="n">
        <v>-50</v>
      </c>
      <c r="AT24" s="516" t="n">
        <v>28.8062496185303</v>
      </c>
      <c r="AU24" s="550" t="n">
        <f aca="false">+AU23</f>
        <v>0</v>
      </c>
      <c r="AV24" s="551" t="n">
        <f aca="false">+AV23</f>
        <v>0</v>
      </c>
      <c r="AW24" s="550" t="n">
        <f aca="false">+AW23</f>
        <v>0</v>
      </c>
      <c r="AX24" s="551" t="n">
        <f aca="false">+AX23</f>
        <v>0</v>
      </c>
      <c r="AY24" s="513"/>
      <c r="AZ24" s="514"/>
      <c r="BA24" s="550"/>
      <c r="BB24" s="551"/>
      <c r="BC24" s="513"/>
      <c r="BD24" s="514"/>
      <c r="BE24" s="564"/>
      <c r="BF24" s="565"/>
      <c r="BG24" s="513"/>
      <c r="BH24" s="514"/>
      <c r="BI24" s="520"/>
      <c r="BJ24" s="517"/>
      <c r="BK24" s="520"/>
      <c r="BL24" s="517"/>
      <c r="BM24" s="520"/>
      <c r="BN24" s="517"/>
      <c r="BO24" s="520"/>
      <c r="BP24" s="517"/>
      <c r="BQ24" s="520"/>
      <c r="BR24" s="517"/>
      <c r="BS24" s="520"/>
      <c r="BT24" s="517"/>
      <c r="BU24" s="520"/>
      <c r="BV24" s="517"/>
      <c r="BW24" s="520"/>
      <c r="BX24" s="517"/>
      <c r="BY24" s="556" t="n">
        <f aca="false">AK24+AM24+AO24+AQ24+AS24+AU24+AW24+AY24+BA24+BC24+BE24+BG24+BI24+BK24+BM24+BO24+BQ24+BS24+BU24+BW24</f>
        <v>-50</v>
      </c>
      <c r="BZ24" s="524" t="n">
        <f aca="false">IF(AND(BY24=0,CC24=0),0,(ABS(AK24)*AL24+ABS(AM24)*AN24+ABS(AO24)*AP24+ABS(AQ24)*AR24+ABS(AS24)*AT24+ABS(AU24)*AV24+ABS(AW24)*AX24+ABS(AY24)*AZ24+ABS(BA24)*BB24+ABS(BC24)*BD24+ABS(BE24)*BF24+ABS(BG24)*BH24+ABS(BI24)*BJ24+ABS(BK24)*BL24+ABS(BM24)*BN24+ABS(BO24)*BP24+ABS(BQ24)*BR24+ABS(BS24)*BT24+ABS(BU24)*BV24+ABS(BW24)*BX24)/CC24)</f>
        <v>28.8062496185303</v>
      </c>
      <c r="CB24" s="525" t="n">
        <f aca="false">AJ24</f>
        <v>37530</v>
      </c>
      <c r="CC24" s="222" t="n">
        <f aca="false">ABS(AK24)+ABS(AM24)+ABS(AO24)+ABS(AQ24)+ABS(AS24)+ABS(AU24)+ABS(AW24)+ABS(AY24)+ABS(BA24)+ABS(BC24)+ABS(BE24)+ABS(BG24)+ABS(BI24)+ABS(BK24)+ABS(BM24)+ABS(BO24)+ABS(BQ24)+ABS(BS24)+ABS(BU24)+ABS(BW24)</f>
        <v>50</v>
      </c>
      <c r="CD24" s="526" t="n">
        <f aca="false">16*DK24</f>
        <v>368</v>
      </c>
      <c r="CE24" s="222" t="n">
        <f aca="false">VLOOKUP(A24,Interest!$X$8:$AC$367,6)</f>
        <v>0.957412569646852</v>
      </c>
      <c r="CF24" s="527" t="n">
        <f aca="false">E24-B24</f>
        <v>-17616.3912815021</v>
      </c>
      <c r="CG24" s="527" t="n">
        <f aca="false">IF(YEAR($AJ24)=$CG$10,(($I24-$AL$48)*$AK$48+($I24-$AN$48)*$AM$48+($I24-$AP$48)*$AO$48+($I24-$AR$48)*$AQ$48+($I24-$AT$48)*$AS$48+($I24-$AV$48)*$AU$48+($I24-$AX$48)*$AW$48+($I24-$AZ$48)*$AY$48+($I24-$BB$48)*$BA$48+($I24-$BD$48)*$BC$48+($I24-$BF$48)*$BE$48+($I24-$BH$48)*$BG$48+($I24-$BJ$48)*$BI$48+($I24-$BL$48)*$BK$48+($I24-$BN$48)*$BM$48+($I24-$BP$48)*$BO$48+($I24-$BR$48)*$BQ$48+($I24-$BT$48)*$BS$48+($I24-$BV$48)*$BU$48+($I24-$BX$48)*$BW$48)*$CD24*$CE24,0)</f>
        <v>0</v>
      </c>
      <c r="CH24" s="527" t="n">
        <f aca="false">IF(YEAR($AJ24)=$CH$10,(($I24-$AL$49)*$AK$49+($I24-$AN$49)*$AM$49+($I24-$AP$49)*$AO$49+($I24-$AR$49)*$AQ$49+($I24-$AT$49)*$AS$49+($I24-$AV$49)*$AU$49+($I24-$AX$49)*$AW$49+($I24-$AZ$49)*$AY$49+($I24-$BB$49)*$BA$49+($I24-$BD$49)*$BC$49+($I24-$BF$49)*$BE$49+($I24-$BH$49)*$BG$49+($I24-$BJ$49)*$BI$49+($I24-$BL$49)*$BK$49+($I24-$BN$49)*$BM$49+($I24-$BP$49)*$BO$49+($I24-$BR$49)*$BQ$49+($I24-$BT$49)*$BS$49+($I24-$BV$49)*$BU$49+($I24-$BX$49)*$BW$49)*$CD24*$CE24,0)</f>
        <v>0</v>
      </c>
      <c r="CI24" s="527" t="n">
        <f aca="false">IF(YEAR($AJ24)=$CI$10,(($I24-$AL$50)*$AK$50+($I24-$AN$50)*$AM$50+($I24-$AP$50)*$AO$50+($I24-$AR$50)*$AQ$50+($I24-$AT$50)*$AS$50+($I24-$AV$50)*$AU$50+($I24-$AX$50)*$AW$50+($I24-$AZ$50)*$AY$50+($I24-$BB$50)*$BA$50+($I24-$BD$50)*$BC$50+($I24-$BF$50)*$BE$50+($I24-$BH$50)*$BG$50+($I24-$BJ$50)*$BI$50+($I24-$BL$50)*$BK$50+($I24-$BN$50)*$BM$50+($I24-$BP$50)*$BO$50+($I24-$BR$50)*$BQ$50+($I24-$BT$50)*$BS$50+($I24-$BV$50)*$BU$50+($I24-$BX$50)*$BW$50)*$CD24*$CE24,0)</f>
        <v>0</v>
      </c>
      <c r="CJ24" s="439" t="n">
        <f aca="false">CC24*CD24</f>
        <v>18400</v>
      </c>
      <c r="CK24" s="528"/>
      <c r="CL24" s="553" t="n">
        <v>8.1</v>
      </c>
      <c r="CM24" s="530" t="n">
        <f aca="false">+CF24*CL24/10000</f>
        <v>-14.2692769380167</v>
      </c>
      <c r="CN24" s="439" t="n">
        <f aca="false">DDE("TWINDDE","RSFRecord","NGJ2 CLS")</f>
        <v>3.012</v>
      </c>
      <c r="CO24" s="439" t="n">
        <f aca="false">+CN24-CN23</f>
        <v>-0.093</v>
      </c>
      <c r="DJ24" s="532" t="n">
        <f aca="false">[1]Cinergy!$D46</f>
        <v>37530</v>
      </c>
      <c r="DK24" s="440" t="n">
        <f aca="false">VLOOKUP(DJ24,DL24:DM265,2)</f>
        <v>23</v>
      </c>
      <c r="DL24" s="533" t="n">
        <v>36100</v>
      </c>
      <c r="DM24" s="459" t="n">
        <v>20</v>
      </c>
      <c r="DP24" s="534" t="n">
        <f aca="false">[1]Cinergy!$D15</f>
        <v>37154</v>
      </c>
      <c r="DQ24" s="234" t="n">
        <f aca="false">[1]OPPD_NPPD!$O15+[1]NSP!$O15</f>
        <v>1593.04296875</v>
      </c>
      <c r="DR24" s="234" t="n">
        <f aca="false">[1]COMED!$O15</f>
        <v>15930.4296875</v>
      </c>
      <c r="DS24" s="234" t="n">
        <f aca="false">DQ24+DR24</f>
        <v>17523.47265625</v>
      </c>
      <c r="DT24" s="234" t="n">
        <f aca="false">SUM([1]OPPD_NPPD!$P15:$R15)+SUM([1]NSP!$P15:$R15)</f>
        <v>0</v>
      </c>
      <c r="DU24" s="234" t="n">
        <f aca="false">SUM([1]COMED!$P15:$R15)</f>
        <v>-796.521484375</v>
      </c>
      <c r="DV24" s="234" t="n">
        <f aca="false">DT24+DU24</f>
        <v>-796.521484375</v>
      </c>
      <c r="DW24" s="535"/>
      <c r="DX24" s="536" t="n">
        <f aca="false">[1]OtherPosn!$D15</f>
        <v>37140</v>
      </c>
      <c r="DY24" s="234" t="n">
        <f aca="false">[1]OtherPosn!$N15</f>
        <v>0</v>
      </c>
      <c r="DZ24" s="234" t="n">
        <f aca="false">SUM([1]OtherPosn!$O15:$P15)</f>
        <v>0</v>
      </c>
      <c r="EO24" s="532" t="n">
        <f aca="false">DJ24</f>
        <v>37530</v>
      </c>
      <c r="EP24" s="234" t="n">
        <f aca="false">DK24</f>
        <v>23</v>
      </c>
      <c r="EQ24" s="473" t="n">
        <f aca="false">O22*$EP24</f>
        <v>667</v>
      </c>
      <c r="ER24" s="473" t="n">
        <f aca="false">P22*$EP24</f>
        <v>690</v>
      </c>
      <c r="ES24" s="439" t="n">
        <f aca="false">IF(YEAR($EO24)=2000,EP24,0)</f>
        <v>0</v>
      </c>
      <c r="ET24" s="439" t="n">
        <f aca="false">IF(YEAR($EO24)=2000,EQ24,0)</f>
        <v>0</v>
      </c>
      <c r="EU24" s="439" t="n">
        <f aca="false">IF(YEAR($EO24)=2000,ER24,0)</f>
        <v>0</v>
      </c>
    </row>
    <row r="25" customFormat="false" ht="18.75" hidden="false" customHeight="false" outlineLevel="0" collapsed="false">
      <c r="A25" s="537" t="n">
        <f aca="false">[1]Cinergy!$D47</f>
        <v>37561</v>
      </c>
      <c r="B25" s="180" t="n">
        <f aca="false">[1]Cinergy!$O47</f>
        <v>197330.859375</v>
      </c>
      <c r="C25" s="538" t="n">
        <f aca="false">B25/(CE25*CD25)</f>
        <v>646.332596228128</v>
      </c>
      <c r="D25" s="538" t="n">
        <f aca="false">BY25+IF(YEAR(A25)=$T$20,$BY$48,0)+IF(YEAR(A25)=$T$21,$BY$49,0)+IF(YEAR(A25)=$T$22,$BY$50,0)</f>
        <v>-50</v>
      </c>
      <c r="E25" s="160" t="n">
        <f aca="false">B25+(D25*CD25*CE25)</f>
        <v>182065.432524599</v>
      </c>
      <c r="F25" s="539" t="n">
        <f aca="false">C25+D25</f>
        <v>596.332596228128</v>
      </c>
      <c r="G25" s="540" t="n">
        <f aca="false">[1]Cinergy!$E47</f>
        <v>29.0062522888184</v>
      </c>
      <c r="H25" s="498" t="n">
        <f aca="false">IF($R$9,R25,Q25)</f>
        <v>-3.27825546264648E-007</v>
      </c>
      <c r="I25" s="541" t="n">
        <f aca="false">G25+H25</f>
        <v>29.0062519609928</v>
      </c>
      <c r="J25" s="160" t="n">
        <f aca="false">H25*B25</f>
        <v>-0.0646900967694819</v>
      </c>
      <c r="K25" s="114" t="n">
        <f aca="false">(((I25-AL25)*AK25+(I25-AN25)*AM25+(I25-AP25)*AO25+(I25-AR25)*AQ25+(I25-AT25)*AS25+(I25-AV25)*AU25+(I25-AX25)*AW25+(I25-AZ25)*AY25+(I25-BB25)*BA25+(I25-BD25)*BC25+(I25-BF25)*BE25+(I25-BH25)*BG25+(I25-BJ25)*BI25+(I25-BL25)*BK25+(I25-BN25)*BM25+(I25-BP25)*BO25+(I25-BR25)*BQ25+(I25-BT25)*BS25+(I25-BV25)*BU25+(I25-BX25)*BW25)*CD25*CE25)+CG25+CH25+CI25</f>
        <v>0.00500439689619562</v>
      </c>
      <c r="L25" s="114" t="n">
        <f aca="false">J25+K25</f>
        <v>-0.0596856998732863</v>
      </c>
      <c r="M25" s="549"/>
      <c r="N25" s="500" t="n">
        <f aca="false">A25</f>
        <v>37561</v>
      </c>
      <c r="O25" s="501" t="n">
        <v>127.5</v>
      </c>
      <c r="P25" s="501" t="n">
        <v>130</v>
      </c>
      <c r="Q25" s="502" t="n">
        <f aca="false">AVERAGE(O25:P25)-G25</f>
        <v>99.7437477111816</v>
      </c>
      <c r="R25" s="503" t="n">
        <f aca="false">+R24</f>
        <v>-3.27825546264648E-007</v>
      </c>
      <c r="S25" s="542" t="n">
        <f aca="false">I25</f>
        <v>29.0062519609928</v>
      </c>
      <c r="T25" s="506"/>
      <c r="U25" s="506"/>
      <c r="V25" s="566" t="s">
        <v>255</v>
      </c>
      <c r="W25" s="481"/>
      <c r="X25" s="480"/>
      <c r="Y25" s="567"/>
      <c r="Z25" s="46"/>
      <c r="AA25" s="568" t="s">
        <v>286</v>
      </c>
      <c r="AB25" s="568" t="s">
        <v>287</v>
      </c>
      <c r="AC25" s="568" t="s">
        <v>288</v>
      </c>
      <c r="AD25" s="568" t="s">
        <v>289</v>
      </c>
      <c r="AE25" s="46"/>
      <c r="AF25" s="46"/>
      <c r="AG25" s="46"/>
      <c r="AH25" s="46"/>
      <c r="AI25" s="46"/>
      <c r="AJ25" s="512" t="n">
        <f aca="false">A25</f>
        <v>37561</v>
      </c>
      <c r="AK25" s="513" t="n">
        <f aca="false">+AK24</f>
        <v>0</v>
      </c>
      <c r="AL25" s="514" t="n">
        <f aca="false">+AL24</f>
        <v>0</v>
      </c>
      <c r="AM25" s="513" t="n">
        <f aca="false">+AM24</f>
        <v>0</v>
      </c>
      <c r="AN25" s="514" t="n">
        <f aca="false">+AN24</f>
        <v>0</v>
      </c>
      <c r="AO25" s="513" t="n">
        <f aca="false">+AO24</f>
        <v>0</v>
      </c>
      <c r="AP25" s="514" t="n">
        <f aca="false">+AP24</f>
        <v>0</v>
      </c>
      <c r="AQ25" s="513" t="n">
        <f aca="false">+AQ24</f>
        <v>0</v>
      </c>
      <c r="AR25" s="514" t="n">
        <f aca="false">+AR24</f>
        <v>0</v>
      </c>
      <c r="AS25" s="515" t="n">
        <v>-50</v>
      </c>
      <c r="AT25" s="516" t="n">
        <v>29.0062522888184</v>
      </c>
      <c r="AU25" s="550" t="n">
        <f aca="false">+AU24</f>
        <v>0</v>
      </c>
      <c r="AV25" s="551" t="n">
        <f aca="false">+AV24</f>
        <v>0</v>
      </c>
      <c r="AW25" s="550" t="n">
        <f aca="false">+AW24</f>
        <v>0</v>
      </c>
      <c r="AX25" s="551" t="n">
        <f aca="false">+AX24</f>
        <v>0</v>
      </c>
      <c r="AY25" s="513"/>
      <c r="AZ25" s="514"/>
      <c r="BA25" s="550"/>
      <c r="BB25" s="551"/>
      <c r="BC25" s="513"/>
      <c r="BD25" s="514"/>
      <c r="BE25" s="513"/>
      <c r="BF25" s="514"/>
      <c r="BG25" s="513"/>
      <c r="BH25" s="514"/>
      <c r="BI25" s="520"/>
      <c r="BJ25" s="517"/>
      <c r="BK25" s="520"/>
      <c r="BL25" s="517"/>
      <c r="BM25" s="520"/>
      <c r="BN25" s="517"/>
      <c r="BO25" s="520"/>
      <c r="BP25" s="517"/>
      <c r="BQ25" s="520"/>
      <c r="BR25" s="517"/>
      <c r="BS25" s="520"/>
      <c r="BT25" s="517"/>
      <c r="BU25" s="520"/>
      <c r="BV25" s="517"/>
      <c r="BW25" s="520"/>
      <c r="BX25" s="517"/>
      <c r="BY25" s="556" t="n">
        <f aca="false">AK25+AM25+AO25+AQ25+AS25+AU25+AW25+AY25+BA25+BC25+BE25+BG25+BI25+BK25+BM25+BO25+BQ25+BS25+BU25+BW25</f>
        <v>-50</v>
      </c>
      <c r="BZ25" s="524" t="n">
        <f aca="false">IF(AND(BY25=0,CC25=0),0,(ABS(AK25)*AL25+ABS(AM25)*AN25+ABS(AO25)*AP25+ABS(AQ25)*AR25+ABS(AS25)*AT25+ABS(AU25)*AV25+ABS(AW25)*AX25+ABS(AY25)*AZ25+ABS(BA25)*BB25+ABS(BC25)*BD25+ABS(BE25)*BF25+ABS(BG25)*BH25+ABS(BI25)*BJ25+ABS(BK25)*BL25+ABS(BM25)*BN25+ABS(BO25)*BP25+ABS(BQ25)*BR25+ABS(BS25)*BT25+ABS(BU25)*BV25+ABS(BW25)*BX25)/CC25)</f>
        <v>29.0062522888184</v>
      </c>
      <c r="CB25" s="525" t="n">
        <f aca="false">AJ25</f>
        <v>37561</v>
      </c>
      <c r="CC25" s="222" t="n">
        <f aca="false">ABS(AK25)+ABS(AM25)+ABS(AO25)+ABS(AQ25)+ABS(AS25)+ABS(AU25)+ABS(AW25)+ABS(AY25)+ABS(BA25)+ABS(BC25)+ABS(BE25)+ABS(BG25)+ABS(BI25)+ABS(BK25)+ABS(BM25)+ABS(BO25)+ABS(BQ25)+ABS(BS25)+ABS(BU25)+ABS(BW25)</f>
        <v>50</v>
      </c>
      <c r="CD25" s="526" t="n">
        <f aca="false">16*DK25</f>
        <v>320</v>
      </c>
      <c r="CE25" s="222" t="n">
        <f aca="false">VLOOKUP(A25,Interest!$X$8:$AC$367,6)</f>
        <v>0.954089178150039</v>
      </c>
      <c r="CF25" s="527" t="n">
        <f aca="false">E25-B25</f>
        <v>-15265.4268504006</v>
      </c>
      <c r="CG25" s="527" t="n">
        <f aca="false">IF(YEAR($AJ25)=$CG$10,(($I25-$AL$48)*$AK$48+($I25-$AN$48)*$AM$48+($I25-$AP$48)*$AO$48+($I25-$AR$48)*$AQ$48+($I25-$AT$48)*$AS$48+($I25-$AV$48)*$AU$48+($I25-$AX$48)*$AW$48+($I25-$AZ$48)*$AY$48+($I25-$BB$48)*$BA$48+($I25-$BD$48)*$BC$48+($I25-$BF$48)*$BE$48+($I25-$BH$48)*$BG$48+($I25-$BJ$48)*$BI$48+($I25-$BL$48)*$BK$48+($I25-$BN$48)*$BM$48+($I25-$BP$48)*$BO$48+($I25-$BR$48)*$BQ$48+($I25-$BT$48)*$BS$48+($I25-$BV$48)*$BU$48+($I25-$BX$48)*$BW$48)*$CD25*$CE25,0)</f>
        <v>0</v>
      </c>
      <c r="CH25" s="527" t="n">
        <f aca="false">IF(YEAR($AJ25)=$CH$10,(($I25-$AL$49)*$AK$49+($I25-$AN$49)*$AM$49+($I25-$AP$49)*$AO$49+($I25-$AR$49)*$AQ$49+($I25-$AT$49)*$AS$49+($I25-$AV$49)*$AU$49+($I25-$AX$49)*$AW$49+($I25-$AZ$49)*$AY$49+($I25-$BB$49)*$BA$49+($I25-$BD$49)*$BC$49+($I25-$BF$49)*$BE$49+($I25-$BH$49)*$BG$49+($I25-$BJ$49)*$BI$49+($I25-$BL$49)*$BK$49+($I25-$BN$49)*$BM$49+($I25-$BP$49)*$BO$49+($I25-$BR$49)*$BQ$49+($I25-$BT$49)*$BS$49+($I25-$BV$49)*$BU$49+($I25-$BX$49)*$BW$49)*$CD25*$CE25,0)</f>
        <v>0</v>
      </c>
      <c r="CI25" s="527" t="n">
        <f aca="false">IF(YEAR($AJ25)=$CI$10,(($I25-$AL$50)*$AK$50+($I25-$AN$50)*$AM$50+($I25-$AP$50)*$AO$50+($I25-$AR$50)*$AQ$50+($I25-$AT$50)*$AS$50+($I25-$AV$50)*$AU$50+($I25-$AX$50)*$AW$50+($I25-$AZ$50)*$AY$50+($I25-$BB$50)*$BA$50+($I25-$BD$50)*$BC$50+($I25-$BF$50)*$BE$50+($I25-$BH$50)*$BG$50+($I25-$BJ$50)*$BI$50+($I25-$BL$50)*$BK$50+($I25-$BN$50)*$BM$50+($I25-$BP$50)*$BO$50+($I25-$BR$50)*$BQ$50+($I25-$BT$50)*$BS$50+($I25-$BV$50)*$BU$50+($I25-$BX$50)*$BW$50)*$CD25*$CE25,0)</f>
        <v>0</v>
      </c>
      <c r="CJ25" s="439" t="n">
        <f aca="false">CC25*CD25</f>
        <v>16000</v>
      </c>
      <c r="CK25" s="528"/>
      <c r="CL25" s="553" t="n">
        <v>8.2</v>
      </c>
      <c r="CM25" s="530" t="n">
        <f aca="false">+CF25*CL25/10000</f>
        <v>-12.5176500173285</v>
      </c>
      <c r="CN25" s="439" t="n">
        <f aca="false">DDE("TWINDDE","RSFRecord","NGK2 CLS")</f>
        <v>3.035</v>
      </c>
      <c r="CO25" s="439" t="n">
        <f aca="false">+CN25-CN24</f>
        <v>0.0230000000000001</v>
      </c>
      <c r="CW25" s="458"/>
      <c r="DJ25" s="532" t="n">
        <f aca="false">[1]Cinergy!$D47</f>
        <v>37561</v>
      </c>
      <c r="DK25" s="440" t="n">
        <f aca="false">VLOOKUP(DJ25,DL25:DM266,2)</f>
        <v>20</v>
      </c>
      <c r="DL25" s="533" t="n">
        <v>36130</v>
      </c>
      <c r="DM25" s="459" t="n">
        <v>22</v>
      </c>
      <c r="DP25" s="534" t="n">
        <f aca="false">[1]Cinergy!$D16</f>
        <v>37155</v>
      </c>
      <c r="DQ25" s="234" t="n">
        <f aca="false">[1]OPPD_NPPD!$O16+[1]NSP!$O16</f>
        <v>1593.04296875</v>
      </c>
      <c r="DR25" s="234" t="n">
        <f aca="false">[1]COMED!$O16</f>
        <v>15930.4296875</v>
      </c>
      <c r="DS25" s="234" t="n">
        <f aca="false">DQ25+DR25</f>
        <v>17523.47265625</v>
      </c>
      <c r="DT25" s="234" t="n">
        <f aca="false">SUM([1]OPPD_NPPD!$P16:$R16)+SUM([1]NSP!$P16:$R16)</f>
        <v>0</v>
      </c>
      <c r="DU25" s="234" t="n">
        <f aca="false">SUM([1]COMED!$P16:$R16)</f>
        <v>-796.521484375</v>
      </c>
      <c r="DV25" s="234" t="n">
        <f aca="false">DT25+DU25</f>
        <v>-796.521484375</v>
      </c>
      <c r="DW25" s="535"/>
      <c r="DX25" s="536" t="n">
        <f aca="false">[1]OtherPosn!$D16</f>
        <v>37141</v>
      </c>
      <c r="DY25" s="234" t="n">
        <f aca="false">[1]OtherPosn!$N16</f>
        <v>-3.99999998401679E-012</v>
      </c>
      <c r="DZ25" s="234" t="n">
        <f aca="false">SUM([1]OtherPosn!$O16:$P16)</f>
        <v>0</v>
      </c>
      <c r="EO25" s="532" t="n">
        <f aca="false">DJ25</f>
        <v>37561</v>
      </c>
      <c r="EP25" s="234" t="n">
        <f aca="false">DK25</f>
        <v>20</v>
      </c>
      <c r="EQ25" s="473" t="n">
        <f aca="false">O23*$EP25</f>
        <v>740</v>
      </c>
      <c r="ER25" s="473" t="n">
        <f aca="false">P23*$EP25</f>
        <v>800</v>
      </c>
      <c r="ES25" s="439" t="n">
        <f aca="false">IF(YEAR($EO25)=2000,EP25,0)</f>
        <v>0</v>
      </c>
      <c r="ET25" s="439" t="n">
        <f aca="false">IF(YEAR($EO25)=2000,EQ25,0)</f>
        <v>0</v>
      </c>
      <c r="EU25" s="439" t="n">
        <f aca="false">IF(YEAR($EO25)=2000,ER25,0)</f>
        <v>0</v>
      </c>
    </row>
    <row r="26" customFormat="false" ht="18.75" hidden="false" customHeight="false" outlineLevel="0" collapsed="false">
      <c r="A26" s="95" t="n">
        <f aca="false">[1]Cinergy!$D48</f>
        <v>37591</v>
      </c>
      <c r="B26" s="122" t="n">
        <f aca="false">[1]Cinergy!$O48</f>
        <v>206411.78125</v>
      </c>
      <c r="C26" s="163" t="n">
        <f aca="false">B26/(CE26*CD26)</f>
        <v>646.22075185589</v>
      </c>
      <c r="D26" s="496" t="n">
        <f aca="false">BY26+IF(YEAR(A26)=$T$20,$BY$48,0)+IF(YEAR(A26)=$T$21,$BY$49,0)+IF(YEAR(A26)=$T$22,$BY$50,0)</f>
        <v>-50</v>
      </c>
      <c r="E26" s="163" t="n">
        <f aca="false">B26+(D26*CD26*CE26)</f>
        <v>190441.094711599</v>
      </c>
      <c r="F26" s="497" t="n">
        <f aca="false">C26+D26</f>
        <v>596.22075185589</v>
      </c>
      <c r="G26" s="498" t="n">
        <f aca="false">[1]Cinergy!$E48</f>
        <v>29.2062492370605</v>
      </c>
      <c r="H26" s="498" t="n">
        <f aca="false">IF($R$9,R26,Q26)</f>
        <v>-3.27825546264648E-007</v>
      </c>
      <c r="I26" s="499" t="n">
        <f aca="false">G26+H26</f>
        <v>29.206248909235</v>
      </c>
      <c r="J26" s="122" t="n">
        <f aca="false">H26*B26</f>
        <v>-0.0676670549437404</v>
      </c>
      <c r="K26" s="123" t="n">
        <f aca="false">(((I26-AL26)*AK26+(I26-AN26)*AM26+(I26-AP26)*AO26+(I26-AR26)*AQ26+(I26-AT26)*AS26+(I26-AV26)*AU26+(I26-AX26)*AW26+(I26-AZ26)*AY26+(I26-BB26)*BA26+(I26-BD26)*BC26+(I26-BF26)*BE26+(I26-BH26)*BG26+(I26-BJ26)*BI26+(I26-BL26)*BK26+(I26-BN26)*BM26+(I26-BP26)*BO26+(I26-BR26)*BQ26+(I26-BT26)*BS26+(I26-BV26)*BU26+(I26-BX26)*BW26)*CD26*CE26)+CG26+CH26+CI26</f>
        <v>0.00523559903867266</v>
      </c>
      <c r="L26" s="123" t="n">
        <f aca="false">J26+K26</f>
        <v>-0.0624314559050677</v>
      </c>
      <c r="M26" s="549"/>
      <c r="N26" s="500" t="n">
        <f aca="false">A26</f>
        <v>37591</v>
      </c>
      <c r="O26" s="501" t="n">
        <v>127.5</v>
      </c>
      <c r="P26" s="501" t="n">
        <v>130</v>
      </c>
      <c r="Q26" s="502" t="n">
        <f aca="false">AVERAGE(O26:P26)-G26</f>
        <v>99.5437507629395</v>
      </c>
      <c r="R26" s="503" t="n">
        <f aca="false">+R25</f>
        <v>-3.27825546264648E-007</v>
      </c>
      <c r="S26" s="542" t="n">
        <f aca="false">I26</f>
        <v>29.206248909235</v>
      </c>
      <c r="T26" s="506"/>
      <c r="U26" s="506"/>
      <c r="V26" s="569" t="s">
        <v>83</v>
      </c>
      <c r="W26" s="82" t="s">
        <v>81</v>
      </c>
      <c r="X26" s="486" t="s">
        <v>80</v>
      </c>
      <c r="Y26" s="570"/>
      <c r="Z26" s="571" t="n">
        <f aca="false">A12</f>
        <v>37195</v>
      </c>
      <c r="AA26" s="572" t="n">
        <f aca="false">I12</f>
        <v>25.95</v>
      </c>
      <c r="AB26" s="573" t="n">
        <f aca="false">F12</f>
        <v>-527.379152334651</v>
      </c>
      <c r="AC26" s="574" t="n">
        <f aca="false">F56</f>
        <v>280.044772792992</v>
      </c>
      <c r="AD26" s="574" t="n">
        <f aca="false">AC26+AB26</f>
        <v>-247.334379541658</v>
      </c>
      <c r="AE26" s="46"/>
      <c r="AF26" s="46"/>
      <c r="AG26" s="46"/>
      <c r="AH26" s="46"/>
      <c r="AI26" s="46"/>
      <c r="AJ26" s="512" t="n">
        <f aca="false">A26</f>
        <v>37591</v>
      </c>
      <c r="AK26" s="513" t="n">
        <f aca="false">+AK25</f>
        <v>0</v>
      </c>
      <c r="AL26" s="514" t="n">
        <f aca="false">+AL25</f>
        <v>0</v>
      </c>
      <c r="AM26" s="513" t="n">
        <f aca="false">+AM25</f>
        <v>0</v>
      </c>
      <c r="AN26" s="514" t="n">
        <f aca="false">+AN25</f>
        <v>0</v>
      </c>
      <c r="AO26" s="513" t="n">
        <f aca="false">+AO25</f>
        <v>0</v>
      </c>
      <c r="AP26" s="514" t="n">
        <f aca="false">+AP25</f>
        <v>0</v>
      </c>
      <c r="AQ26" s="513" t="n">
        <f aca="false">+AQ25</f>
        <v>0</v>
      </c>
      <c r="AR26" s="514" t="n">
        <f aca="false">+AR25</f>
        <v>0</v>
      </c>
      <c r="AS26" s="515" t="n">
        <v>-50</v>
      </c>
      <c r="AT26" s="516" t="n">
        <v>29.2062492370605</v>
      </c>
      <c r="AU26" s="550" t="n">
        <f aca="false">+AU25</f>
        <v>0</v>
      </c>
      <c r="AV26" s="551" t="n">
        <f aca="false">+AV25</f>
        <v>0</v>
      </c>
      <c r="AW26" s="550" t="n">
        <f aca="false">+AW25</f>
        <v>0</v>
      </c>
      <c r="AX26" s="551" t="n">
        <f aca="false">+AX25</f>
        <v>0</v>
      </c>
      <c r="AY26" s="513"/>
      <c r="AZ26" s="514"/>
      <c r="BA26" s="550"/>
      <c r="BB26" s="551"/>
      <c r="BC26" s="513"/>
      <c r="BD26" s="514"/>
      <c r="BE26" s="513"/>
      <c r="BF26" s="514"/>
      <c r="BG26" s="513"/>
      <c r="BH26" s="514"/>
      <c r="BI26" s="520"/>
      <c r="BJ26" s="517"/>
      <c r="BK26" s="520"/>
      <c r="BL26" s="517"/>
      <c r="BM26" s="520"/>
      <c r="BN26" s="517"/>
      <c r="BO26" s="520"/>
      <c r="BP26" s="517"/>
      <c r="BQ26" s="520"/>
      <c r="BR26" s="517"/>
      <c r="BS26" s="520"/>
      <c r="BT26" s="517"/>
      <c r="BU26" s="520"/>
      <c r="BV26" s="517"/>
      <c r="BW26" s="520"/>
      <c r="BX26" s="517"/>
      <c r="BY26" s="556" t="n">
        <f aca="false">AK26+AM26+AO26+AQ26+AS26+AU26+AW26+AY26+BA26+BC26+BE26+BG26+BI26+BK26+BM26+BO26+BQ26+BS26+BU26+BW26</f>
        <v>-50</v>
      </c>
      <c r="BZ26" s="524" t="n">
        <f aca="false">IF(AND(BY26=0,CC26=0),0,(ABS(AK26)*AL26+ABS(AM26)*AN26+ABS(AO26)*AP26+ABS(AQ26)*AR26+ABS(AS26)*AT26+ABS(AU26)*AV26+ABS(AW26)*AX26+ABS(AY26)*AZ26+ABS(BA26)*BB26+ABS(BC26)*BD26+ABS(BE26)*BF26+ABS(BG26)*BH26+ABS(BI26)*BJ26+ABS(BK26)*BL26+ABS(BM26)*BN26+ABS(BO26)*BP26+ABS(BQ26)*BR26+ABS(BS26)*BT26+ABS(BU26)*BV26+ABS(BW26)*BX26)/CC26)</f>
        <v>29.2062492370605</v>
      </c>
      <c r="CB26" s="525" t="n">
        <f aca="false">AJ26</f>
        <v>37591</v>
      </c>
      <c r="CC26" s="222" t="n">
        <f aca="false">ABS(AK26)+ABS(AM26)+ABS(AO26)+ABS(AQ26)+ABS(AS26)+ABS(AU26)+ABS(AW26)+ABS(AY26)+ABS(BA26)+ABS(BC26)+ABS(BE26)+ABS(BG26)+ABS(BI26)+ABS(BK26)+ABS(BM26)+ABS(BO26)+ABS(BQ26)+ABS(BS26)+ABS(BU26)+ABS(BW26)</f>
        <v>50</v>
      </c>
      <c r="CD26" s="526" t="n">
        <f aca="false">16*DK26</f>
        <v>336</v>
      </c>
      <c r="CE26" s="222" t="n">
        <f aca="false">VLOOKUP(A26,Interest!$X$8:$AC$367,6)</f>
        <v>0.950636103476229</v>
      </c>
      <c r="CF26" s="527" t="n">
        <f aca="false">E26-B26</f>
        <v>-15970.6865384007</v>
      </c>
      <c r="CG26" s="527" t="n">
        <f aca="false">IF(YEAR($AJ26)=$CG$10,(($I26-$AL$48)*$AK$48+($I26-$AN$48)*$AM$48+($I26-$AP$48)*$AO$48+($I26-$AR$48)*$AQ$48+($I26-$AT$48)*$AS$48+($I26-$AV$48)*$AU$48+($I26-$AX$48)*$AW$48+($I26-$AZ$48)*$AY$48+($I26-$BB$48)*$BA$48+($I26-$BD$48)*$BC$48+($I26-$BF$48)*$BE$48+($I26-$BH$48)*$BG$48+($I26-$BJ$48)*$BI$48+($I26-$BL$48)*$BK$48+($I26-$BN$48)*$BM$48+($I26-$BP$48)*$BO$48+($I26-$BR$48)*$BQ$48+($I26-$BT$48)*$BS$48+($I26-$BV$48)*$BU$48+($I26-$BX$48)*$BW$48)*$CD26*$CE26,0)</f>
        <v>0</v>
      </c>
      <c r="CH26" s="527" t="n">
        <f aca="false">IF(YEAR($AJ26)=$CH$10,(($I26-$AL$49)*$AK$49+($I26-$AN$49)*$AM$49+($I26-$AP$49)*$AO$49+($I26-$AR$49)*$AQ$49+($I26-$AT$49)*$AS$49+($I26-$AV$49)*$AU$49+($I26-$AX$49)*$AW$49+($I26-$AZ$49)*$AY$49+($I26-$BB$49)*$BA$49+($I26-$BD$49)*$BC$49+($I26-$BF$49)*$BE$49+($I26-$BH$49)*$BG$49+($I26-$BJ$49)*$BI$49+($I26-$BL$49)*$BK$49+($I26-$BN$49)*$BM$49+($I26-$BP$49)*$BO$49+($I26-$BR$49)*$BQ$49+($I26-$BT$49)*$BS$49+($I26-$BV$49)*$BU$49+($I26-$BX$49)*$BW$49)*$CD26*$CE26,0)</f>
        <v>0</v>
      </c>
      <c r="CI26" s="527" t="n">
        <f aca="false">IF(YEAR($AJ26)=$CI$10,(($I26-$AL$50)*$AK$50+($I26-$AN$50)*$AM$50+($I26-$AP$50)*$AO$50+($I26-$AR$50)*$AQ$50+($I26-$AT$50)*$AS$50+($I26-$AV$50)*$AU$50+($I26-$AX$50)*$AW$50+($I26-$AZ$50)*$AY$50+($I26-$BB$50)*$BA$50+($I26-$BD$50)*$BC$50+($I26-$BF$50)*$BE$50+($I26-$BH$50)*$BG$50+($I26-$BJ$50)*$BI$50+($I26-$BL$50)*$BK$50+($I26-$BN$50)*$BM$50+($I26-$BP$50)*$BO$50+($I26-$BR$50)*$BQ$50+($I26-$BT$50)*$BS$50+($I26-$BV$50)*$BU$50+($I26-$BX$50)*$BW$50)*$CD26*$CE26,0)</f>
        <v>0</v>
      </c>
      <c r="CJ26" s="439" t="n">
        <f aca="false">CC26*CD26</f>
        <v>16800</v>
      </c>
      <c r="CK26" s="528"/>
      <c r="CL26" s="553" t="n">
        <v>7.93</v>
      </c>
      <c r="CM26" s="530" t="n">
        <f aca="false">+CF26*CL26/10000</f>
        <v>-12.6647544249517</v>
      </c>
      <c r="CN26" s="439" t="n">
        <f aca="false">DDE("TWINDDE","RSFRecord","NGM2 CLS")</f>
        <v>3.07</v>
      </c>
      <c r="CO26" s="439" t="n">
        <f aca="false">+CN26-CN25</f>
        <v>0.0349999999999997</v>
      </c>
      <c r="CQ26" s="535" t="n">
        <f aca="false">SUM(CD24:CD26)</f>
        <v>1024</v>
      </c>
      <c r="CR26" s="439" t="n">
        <f aca="false">+'EOL LINKS'!H66</f>
        <v>28.125</v>
      </c>
      <c r="CS26" s="439" t="n">
        <f aca="false">+CR26*CQ26</f>
        <v>28800</v>
      </c>
      <c r="DJ26" s="532" t="n">
        <f aca="false">[1]Cinergy!$D48</f>
        <v>37591</v>
      </c>
      <c r="DK26" s="440" t="n">
        <f aca="false">VLOOKUP(DJ26,DL26:DM267,2)</f>
        <v>21</v>
      </c>
      <c r="DL26" s="533" t="n">
        <v>36161</v>
      </c>
      <c r="DM26" s="459" t="n">
        <v>20</v>
      </c>
      <c r="DP26" s="534" t="n">
        <f aca="false">[1]Cinergy!$D17</f>
        <v>37156</v>
      </c>
      <c r="DQ26" s="234" t="n">
        <f aca="false">[1]OPPD_NPPD!$O17+[1]NSP!$O17</f>
        <v>0</v>
      </c>
      <c r="DR26" s="234" t="n">
        <f aca="false">[1]COMED!$O17</f>
        <v>0</v>
      </c>
      <c r="DS26" s="234" t="n">
        <f aca="false">DQ26+DR26</f>
        <v>0</v>
      </c>
      <c r="DT26" s="234" t="n">
        <f aca="false">SUM([1]OPPD_NPPD!$P17:$R17)+SUM([1]NSP!$P17:$R17)</f>
        <v>0</v>
      </c>
      <c r="DU26" s="234" t="n">
        <f aca="false">SUM([1]COMED!$P17:$R17)</f>
        <v>-3186.0859375</v>
      </c>
      <c r="DV26" s="234" t="n">
        <f aca="false">DT26+DU26</f>
        <v>-3186.0859375</v>
      </c>
      <c r="DW26" s="535"/>
      <c r="DX26" s="536" t="n">
        <f aca="false">[1]OtherPosn!$D17</f>
        <v>37144</v>
      </c>
      <c r="DY26" s="234" t="n">
        <f aca="false">[1]OtherPosn!$N17</f>
        <v>-10354.779296875</v>
      </c>
      <c r="DZ26" s="234" t="n">
        <f aca="false">SUM([1]OtherPosn!$O17:$P17)</f>
        <v>0</v>
      </c>
      <c r="EO26" s="532" t="n">
        <f aca="false">DJ26</f>
        <v>37591</v>
      </c>
      <c r="EP26" s="234" t="n">
        <f aca="false">DK26</f>
        <v>21</v>
      </c>
      <c r="EQ26" s="473" t="n">
        <f aca="false">O24*$EP26</f>
        <v>1428</v>
      </c>
      <c r="ER26" s="473" t="n">
        <f aca="false">P24*$EP26</f>
        <v>1470</v>
      </c>
      <c r="ES26" s="439" t="n">
        <f aca="false">IF(YEAR($EO26)=2000,EP26,0)</f>
        <v>0</v>
      </c>
      <c r="ET26" s="439" t="n">
        <f aca="false">IF(YEAR($EO26)=2000,EQ26,0)</f>
        <v>0</v>
      </c>
      <c r="EU26" s="439" t="n">
        <f aca="false">IF(YEAR($EO26)=2000,ER26,0)</f>
        <v>0</v>
      </c>
    </row>
    <row r="27" customFormat="false" ht="18" hidden="false" customHeight="false" outlineLevel="0" collapsed="false">
      <c r="A27" s="537" t="n">
        <f aca="false">[1]Cinergy!$D49</f>
        <v>37622</v>
      </c>
      <c r="B27" s="180" t="n">
        <f aca="false">[1]Cinergy!$O49</f>
        <v>-399578.375</v>
      </c>
      <c r="C27" s="538" t="n">
        <f aca="false">B27/(CE27*CD27)</f>
        <v>-1198.62272087505</v>
      </c>
      <c r="D27" s="538" t="n">
        <f aca="false">BY27+IF(YEAR(A27)=$T$20,$BY$48,0)+IF(YEAR(A27)=$T$21,$BY$49,0)+IF(YEAR(A27)=$T$22,$BY$50,0)</f>
        <v>0</v>
      </c>
      <c r="E27" s="160" t="n">
        <f aca="false">B27+(D27*CD27*CE27)</f>
        <v>-399578.375</v>
      </c>
      <c r="F27" s="539" t="n">
        <f aca="false">C27+D27</f>
        <v>-1198.62272087505</v>
      </c>
      <c r="G27" s="540" t="n">
        <f aca="false">[1]Cinergy!$E49</f>
        <v>30.285717010498</v>
      </c>
      <c r="H27" s="498" t="n">
        <f aca="false">IF($R$9,R27,Q27)</f>
        <v>1.81652250574871E-007</v>
      </c>
      <c r="I27" s="541" t="n">
        <f aca="false">G27+H27</f>
        <v>30.2857171921503</v>
      </c>
      <c r="J27" s="160" t="n">
        <f aca="false">H27*B27</f>
        <v>-0.0725843110997997</v>
      </c>
      <c r="K27" s="114" t="n">
        <f aca="false">(((I27-AL27)*AK27+(I27-AN27)*AM27+(I27-AP27)*AO27+(I27-AR27)*AQ27+(I27-AT27)*AS27+(I27-AV27)*AU27+(I27-AX27)*AW27+(I27-AZ27)*AY27+(I27-BB27)*BA27+(I27-BD27)*BC27+(I27-BF27)*BE27+(I27-BH27)*BG27+(I27-BJ27)*BI27+(I27-BL27)*BK27+(I27-BN27)*BM27+(I27-BP27)*BO27+(I27-BR27)*BQ27+(I27-BT27)*BS27+(I27-BV27)*BU27+(I27-BX27)*BW27)*CD27*CE27)+CG27+CH27+CI27</f>
        <v>0</v>
      </c>
      <c r="L27" s="114" t="n">
        <f aca="false">J27+K27</f>
        <v>-0.0725843110997997</v>
      </c>
      <c r="M27" s="549"/>
      <c r="N27" s="500" t="n">
        <f aca="false">A27</f>
        <v>37622</v>
      </c>
      <c r="O27" s="501" t="n">
        <v>34</v>
      </c>
      <c r="P27" s="501" t="n">
        <v>35</v>
      </c>
      <c r="Q27" s="502" t="n">
        <f aca="false">AVERAGE(O27:P27)-G27</f>
        <v>4.21428298950195</v>
      </c>
      <c r="R27" s="503" t="n">
        <f aca="false">+Master!L38</f>
        <v>1.81652250574871E-007</v>
      </c>
      <c r="S27" s="542" t="n">
        <f aca="false">I27</f>
        <v>30.2857171921503</v>
      </c>
      <c r="T27" s="505" t="n">
        <f aca="false">IF(MONTH($B$2)&gt;=10,YEAR($B$2)+1,YEAR($B$2))</f>
        <v>2001</v>
      </c>
      <c r="U27" s="506" t="n">
        <f aca="false">IF(INT((MONTH($B$2)-1)/3)+2=5,1,INT((MONTH($B$2)-1)/3)+2)</f>
        <v>4</v>
      </c>
      <c r="V27" s="575" t="str">
        <f aca="false">V12</f>
        <v>Q4 2001</v>
      </c>
      <c r="W27" s="575" t="n">
        <f aca="false" t="array" ref="W27:W27">SUM(IF((INT((MONTH($A$12:$A$47)-1)/3)=$U27-1)*(YEAR($A$12:$A$47)=$T27),$F$12:$F$47))</f>
        <v>-2655.41528340319</v>
      </c>
      <c r="X27" s="576" t="n">
        <f aca="false" t="array" ref="X27:X27">SUM(IF((INT((MONTH($A$12:$A$47)-1)/3)=$U27-1)*(YEAR($A$12:$A$47)=$T27),$E$12:$E$47))</f>
        <v>-889239.53592416</v>
      </c>
      <c r="Y27" s="46"/>
      <c r="Z27" s="577" t="n">
        <f aca="false">A13</f>
        <v>37196</v>
      </c>
      <c r="AA27" s="578" t="n">
        <f aca="false">I13</f>
        <v>26.2</v>
      </c>
      <c r="AB27" s="579" t="n">
        <f aca="false">F13</f>
        <v>-1469.26882099878</v>
      </c>
      <c r="AC27" s="579" t="n">
        <f aca="false">F57</f>
        <v>430.086287876913</v>
      </c>
      <c r="AD27" s="579" t="n">
        <f aca="false">AC27+AB27</f>
        <v>-1039.18253312186</v>
      </c>
      <c r="AE27" s="46"/>
      <c r="AF27" s="46"/>
      <c r="AG27" s="46"/>
      <c r="AH27" s="46"/>
      <c r="AI27" s="46"/>
      <c r="AJ27" s="512" t="n">
        <f aca="false">A27</f>
        <v>37622</v>
      </c>
      <c r="AK27" s="513"/>
      <c r="AL27" s="514"/>
      <c r="AM27" s="513"/>
      <c r="AN27" s="514"/>
      <c r="AO27" s="513"/>
      <c r="AP27" s="514"/>
      <c r="AQ27" s="513"/>
      <c r="AR27" s="514"/>
      <c r="AS27" s="515"/>
      <c r="AT27" s="516"/>
      <c r="AU27" s="550"/>
      <c r="AV27" s="551"/>
      <c r="AW27" s="550"/>
      <c r="AX27" s="551"/>
      <c r="AY27" s="550"/>
      <c r="AZ27" s="551"/>
      <c r="BA27" s="550"/>
      <c r="BB27" s="551"/>
      <c r="BC27" s="513"/>
      <c r="BD27" s="514"/>
      <c r="BE27" s="513"/>
      <c r="BF27" s="514"/>
      <c r="BG27" s="513"/>
      <c r="BH27" s="514"/>
      <c r="BI27" s="520"/>
      <c r="BJ27" s="517"/>
      <c r="BK27" s="520"/>
      <c r="BL27" s="517"/>
      <c r="BM27" s="520"/>
      <c r="BN27" s="517"/>
      <c r="BO27" s="520"/>
      <c r="BP27" s="517"/>
      <c r="BQ27" s="520"/>
      <c r="BR27" s="517"/>
      <c r="BS27" s="520"/>
      <c r="BT27" s="517"/>
      <c r="BU27" s="520"/>
      <c r="BV27" s="517"/>
      <c r="BW27" s="520"/>
      <c r="BX27" s="517"/>
      <c r="BY27" s="556" t="n">
        <f aca="false">AK27+AM27+AO27+AQ27+AS27+AU27+AW27+AY27+BA27+BC27+BE27+BG27+BI27+BK27+BM27+BO27+BQ27+BS27+BU27+BW27</f>
        <v>0</v>
      </c>
      <c r="BZ27" s="524" t="n">
        <f aca="false">IF(AND(BY27=0,CC27=0),0,(ABS(AK27)*AL27+ABS(AM27)*AN27+ABS(AO27)*AP27+ABS(AQ27)*AR27+ABS(AS27)*AT27+ABS(AU27)*AV27+ABS(AW27)*AX27+ABS(AY27)*AZ27+ABS(BA27)*BB27+ABS(BC27)*BD27+ABS(BE27)*BF27+ABS(BG27)*BH27+ABS(BI27)*BJ27+ABS(BK27)*BL27+ABS(BM27)*BN27+ABS(BO27)*BP27+ABS(BQ27)*BR27+ABS(BS27)*BT27+ABS(BU27)*BV27+ABS(BW27)*BX27)/CC27)</f>
        <v>0</v>
      </c>
      <c r="CB27" s="525" t="n">
        <f aca="false">AJ27</f>
        <v>37622</v>
      </c>
      <c r="CC27" s="222" t="n">
        <f aca="false">ABS(AK27)+ABS(AM27)+ABS(AO27)+ABS(AQ27)+ABS(AS27)+ABS(AU27)+ABS(AW27)+ABS(AY27)+ABS(BA27)+ABS(BC27)+ABS(BE27)+ABS(BG27)+ABS(BI27)+ABS(BK27)+ABS(BM27)+ABS(BO27)+ABS(BQ27)+ABS(BS27)+ABS(BU27)+ABS(BW27)</f>
        <v>0</v>
      </c>
      <c r="CD27" s="526" t="n">
        <f aca="false">16*DK27</f>
        <v>352</v>
      </c>
      <c r="CE27" s="222" t="n">
        <f aca="false">VLOOKUP(A27,Interest!$X$8:$AC$367,6)</f>
        <v>0.947058501643835</v>
      </c>
      <c r="CF27" s="527" t="n">
        <f aca="false">E27-B27</f>
        <v>0</v>
      </c>
      <c r="CG27" s="527" t="n">
        <f aca="false">IF(YEAR($AJ27)=$CG$10,(($I27-$AL$48)*$AK$48+($I27-$AN$48)*$AM$48+($I27-$AP$48)*$AO$48+($I27-$AR$48)*$AQ$48+($I27-$AT$48)*$AS$48+($I27-$AV$48)*$AU$48+($I27-$AX$48)*$AW$48+($I27-$AZ$48)*$AY$48+($I27-$BB$48)*$BA$48+($I27-$BD$48)*$BC$48+($I27-$BF$48)*$BE$48+($I27-$BH$48)*$BG$48+($I27-$BJ$48)*$BI$48+($I27-$BL$48)*$BK$48+($I27-$BN$48)*$BM$48+($I27-$BP$48)*$BO$48+($I27-$BR$48)*$BQ$48+($I27-$BT$48)*$BS$48+($I27-$BV$48)*$BU$48+($I27-$BX$48)*$BW$48)*$CD27*$CE27,0)</f>
        <v>0</v>
      </c>
      <c r="CH27" s="527" t="n">
        <f aca="false">IF(YEAR($AJ27)=$CH$10,(($I27-$AL$49)*$AK$49+($I27-$AN$49)*$AM$49+($I27-$AP$49)*$AO$49+($I27-$AR$49)*$AQ$49+($I27-$AT$49)*$AS$49+($I27-$AV$49)*$AU$49+($I27-$AX$49)*$AW$49+($I27-$AZ$49)*$AY$49+($I27-$BB$49)*$BA$49+($I27-$BD$49)*$BC$49+($I27-$BF$49)*$BE$49+($I27-$BH$49)*$BG$49+($I27-$BJ$49)*$BI$49+($I27-$BL$49)*$BK$49+($I27-$BN$49)*$BM$49+($I27-$BP$49)*$BO$49+($I27-$BR$49)*$BQ$49+($I27-$BT$49)*$BS$49+($I27-$BV$49)*$BU$49+($I27-$BX$49)*$BW$49)*$CD27*$CE27,0)</f>
        <v>0</v>
      </c>
      <c r="CI27" s="527" t="n">
        <f aca="false">IF(YEAR($AJ27)=$CI$10,(($I27-$AL$50)*$AK$50+($I27-$AN$50)*$AM$50+($I27-$AP$50)*$AO$50+($I27-$AR$50)*$AQ$50+($I27-$AT$50)*$AS$50+($I27-$AV$50)*$AU$50+($I27-$AX$50)*$AW$50+($I27-$AZ$50)*$AY$50+($I27-$BB$50)*$BA$50+($I27-$BD$50)*$BC$50+($I27-$BF$50)*$BE$50+($I27-$BH$50)*$BG$50+($I27-$BJ$50)*$BI$50+($I27-$BL$50)*$BK$50+($I27-$BN$50)*$BM$50+($I27-$BP$50)*$BO$50+($I27-$BR$50)*$BQ$50+($I27-$BT$50)*$BS$50+($I27-$BV$50)*$BU$50+($I27-$BX$50)*$BW$50)*$CD27*$CE27,0)</f>
        <v>0</v>
      </c>
      <c r="CJ27" s="439" t="n">
        <f aca="false">CC27*CD27</f>
        <v>0</v>
      </c>
      <c r="CK27" s="528"/>
      <c r="CL27" s="553" t="n">
        <v>7.7</v>
      </c>
      <c r="CM27" s="530" t="n">
        <f aca="false">+CF27*CL27/10000</f>
        <v>0</v>
      </c>
      <c r="CN27" s="439" t="n">
        <f aca="false">DDE("TWINDDE","RSFRecord","NGN2 CLS")</f>
        <v>3.112</v>
      </c>
      <c r="CO27" s="439" t="n">
        <f aca="false">+CN27-CN26</f>
        <v>0.0420000000000003</v>
      </c>
      <c r="DJ27" s="532" t="n">
        <f aca="false">[1]Cinergy!$D49</f>
        <v>37622</v>
      </c>
      <c r="DK27" s="440" t="n">
        <f aca="false">VLOOKUP(DJ27,DL27:DM268,2)</f>
        <v>22</v>
      </c>
      <c r="DL27" s="533" t="n">
        <v>36192</v>
      </c>
      <c r="DM27" s="459" t="n">
        <v>20</v>
      </c>
      <c r="DP27" s="534" t="n">
        <f aca="false">[1]Cinergy!$D18</f>
        <v>37157</v>
      </c>
      <c r="DQ27" s="234" t="n">
        <f aca="false">[1]OPPD_NPPD!$O18+[1]NSP!$O18</f>
        <v>0</v>
      </c>
      <c r="DR27" s="234" t="n">
        <f aca="false">[1]COMED!$O18</f>
        <v>0</v>
      </c>
      <c r="DS27" s="234" t="n">
        <f aca="false">DQ27+DR27</f>
        <v>0</v>
      </c>
      <c r="DT27" s="234" t="n">
        <f aca="false">SUM([1]OPPD_NPPD!$P18:$R18)+SUM([1]NSP!$P18:$R18)</f>
        <v>0</v>
      </c>
      <c r="DU27" s="234" t="n">
        <f aca="false">SUM([1]COMED!$P18:$R18)</f>
        <v>-3186.0859375</v>
      </c>
      <c r="DV27" s="234" t="n">
        <f aca="false">DT27+DU27</f>
        <v>-3186.0859375</v>
      </c>
      <c r="DW27" s="535"/>
      <c r="DX27" s="536" t="n">
        <f aca="false">[1]OtherPosn!$D18</f>
        <v>37145</v>
      </c>
      <c r="DY27" s="234" t="n">
        <f aca="false">[1]OtherPosn!$N18</f>
        <v>-10354.779296875</v>
      </c>
      <c r="DZ27" s="234" t="n">
        <f aca="false">SUM([1]OtherPosn!$O18:$P18)</f>
        <v>0</v>
      </c>
      <c r="EO27" s="532" t="n">
        <f aca="false">DJ27</f>
        <v>37622</v>
      </c>
      <c r="EP27" s="234" t="n">
        <f aca="false">DK27</f>
        <v>22</v>
      </c>
      <c r="EQ27" s="473" t="n">
        <f aca="false">O25*$EP27</f>
        <v>2805</v>
      </c>
      <c r="ER27" s="473" t="n">
        <f aca="false">P25*$EP27</f>
        <v>2860</v>
      </c>
      <c r="ES27" s="439" t="n">
        <f aca="false">IF(YEAR($EO27)=2000,EP27,0)</f>
        <v>0</v>
      </c>
      <c r="ET27" s="439" t="n">
        <f aca="false">IF(YEAR($EO27)=2000,EQ27,0)</f>
        <v>0</v>
      </c>
      <c r="EU27" s="439" t="n">
        <f aca="false">IF(YEAR($EO27)=2000,ER27,0)</f>
        <v>0</v>
      </c>
    </row>
    <row r="28" customFormat="false" ht="18" hidden="false" customHeight="false" outlineLevel="0" collapsed="false">
      <c r="A28" s="95" t="n">
        <f aca="false">[1]Cinergy!$D50</f>
        <v>37653</v>
      </c>
      <c r="B28" s="122" t="n">
        <f aca="false">[1]Cinergy!$O50</f>
        <v>-361950.875</v>
      </c>
      <c r="C28" s="163" t="n">
        <f aca="false">B28/(CE28*CD28)</f>
        <v>-1198.64809147037</v>
      </c>
      <c r="D28" s="496" t="n">
        <f aca="false">BY28+IF(YEAR(A28)=$T$20,$BY$48,0)+IF(YEAR(A28)=$T$21,$BY$49,0)+IF(YEAR(A28)=$T$22,$BY$50,0)</f>
        <v>0</v>
      </c>
      <c r="E28" s="163" t="n">
        <f aca="false">B28+(D28*CD28*CE28)</f>
        <v>-361950.875</v>
      </c>
      <c r="F28" s="497" t="n">
        <f aca="false">C28+D28</f>
        <v>-1198.64809147037</v>
      </c>
      <c r="G28" s="498" t="n">
        <f aca="false">[1]Cinergy!$E50</f>
        <v>29.6857109069824</v>
      </c>
      <c r="H28" s="498" t="n">
        <f aca="false">IF($R$9,R28,Q28)</f>
        <v>1.81652250574871E-007</v>
      </c>
      <c r="I28" s="499" t="n">
        <f aca="false">G28+H28</f>
        <v>29.6857110886347</v>
      </c>
      <c r="J28" s="122" t="n">
        <f aca="false">H28*B28</f>
        <v>-0.0657491910412937</v>
      </c>
      <c r="K28" s="123" t="n">
        <f aca="false">(((I28-AL28)*AK28+(I28-AN28)*AM28+(I28-AP28)*AO28+(I28-AR28)*AQ28+(I28-AT28)*AS28+(I28-AV28)*AU28+(I28-AX28)*AW28+(I28-AZ28)*AY28+(I28-BB28)*BA28+(I28-BD28)*BC28+(I28-BF28)*BE28+(I28-BH28)*BG28+(I28-BJ28)*BI28+(I28-BL28)*BK28+(I28-BN28)*BM28+(I28-BP28)*BO28+(I28-BR28)*BQ28+(I28-BT28)*BS28+(I28-BV28)*BU28+(I28-BX28)*BW28)*CD28*CE28)+CG28+CH28+CI28</f>
        <v>0</v>
      </c>
      <c r="L28" s="123" t="n">
        <f aca="false">J28+K28</f>
        <v>-0.0657491910412937</v>
      </c>
      <c r="M28" s="549"/>
      <c r="N28" s="500" t="n">
        <f aca="false">A28</f>
        <v>37653</v>
      </c>
      <c r="O28" s="501" t="n">
        <v>27.5</v>
      </c>
      <c r="P28" s="501" t="n">
        <v>29</v>
      </c>
      <c r="Q28" s="502" t="n">
        <f aca="false">AVERAGE(O28:P28)-G28</f>
        <v>-1.43571090698242</v>
      </c>
      <c r="R28" s="503" t="n">
        <f aca="false">+R27</f>
        <v>1.81652250574871E-007</v>
      </c>
      <c r="S28" s="542" t="n">
        <f aca="false">I28</f>
        <v>29.6857110886347</v>
      </c>
      <c r="T28" s="505" t="n">
        <f aca="false">IF(U27=4,T27+1,T27)</f>
        <v>2002</v>
      </c>
      <c r="U28" s="506" t="n">
        <f aca="false">IF(U27=4,1,U27+1)</f>
        <v>1</v>
      </c>
      <c r="V28" s="579" t="str">
        <f aca="false">V13</f>
        <v>Q1 2002</v>
      </c>
      <c r="W28" s="579" t="n">
        <f aca="false" t="array" ref="W28:W28">SUM(IF((INT((MONTH($A$12:$A$47)-1)/3)=$U28-1)*(YEAR($A$12:$A$47)=$T28),$F$12:$F$47))</f>
        <v>1972.53285792199</v>
      </c>
      <c r="X28" s="580" t="n">
        <f aca="false" t="array" ref="X28:X28">SUM(IF((INT((MONTH($A$12:$A$47)-1)/3)=$U28-1)*(YEAR($A$12:$A$47)=$T28),$E$12:$E$47))</f>
        <v>651405.611914281</v>
      </c>
      <c r="Y28" s="46"/>
      <c r="Z28" s="581" t="n">
        <f aca="false">A14</f>
        <v>37226</v>
      </c>
      <c r="AA28" s="582" t="n">
        <f aca="false">I14</f>
        <v>27.5</v>
      </c>
      <c r="AB28" s="583" t="n">
        <f aca="false">F14</f>
        <v>-658.767310069758</v>
      </c>
      <c r="AC28" s="584" t="n">
        <f aca="false">F58</f>
        <v>527.622894753478</v>
      </c>
      <c r="AD28" s="584" t="n">
        <f aca="false">AC28+AB28</f>
        <v>-131.144415316281</v>
      </c>
      <c r="AE28" s="46"/>
      <c r="AF28" s="46"/>
      <c r="AG28" s="46"/>
      <c r="AH28" s="46"/>
      <c r="AI28" s="46"/>
      <c r="AJ28" s="512" t="n">
        <f aca="false">A28</f>
        <v>37653</v>
      </c>
      <c r="AK28" s="513" t="n">
        <f aca="false">+AK27</f>
        <v>0</v>
      </c>
      <c r="AL28" s="514" t="n">
        <f aca="false">+AL27</f>
        <v>0</v>
      </c>
      <c r="AM28" s="513" t="n">
        <f aca="false">+AM27</f>
        <v>0</v>
      </c>
      <c r="AN28" s="514" t="n">
        <f aca="false">+AN27</f>
        <v>0</v>
      </c>
      <c r="AO28" s="513" t="n">
        <f aca="false">+AO27</f>
        <v>0</v>
      </c>
      <c r="AP28" s="514" t="n">
        <f aca="false">+AP27</f>
        <v>0</v>
      </c>
      <c r="AQ28" s="513" t="n">
        <f aca="false">+AQ27</f>
        <v>0</v>
      </c>
      <c r="AR28" s="514" t="n">
        <f aca="false">+AR27</f>
        <v>0</v>
      </c>
      <c r="AS28" s="515"/>
      <c r="AT28" s="516"/>
      <c r="AU28" s="550" t="n">
        <f aca="false">+AU27</f>
        <v>0</v>
      </c>
      <c r="AV28" s="551" t="n">
        <f aca="false">+AV27</f>
        <v>0</v>
      </c>
      <c r="AW28" s="550" t="n">
        <f aca="false">+AW27</f>
        <v>0</v>
      </c>
      <c r="AX28" s="551" t="n">
        <f aca="false">+AX27</f>
        <v>0</v>
      </c>
      <c r="AY28" s="550"/>
      <c r="AZ28" s="551"/>
      <c r="BA28" s="550"/>
      <c r="BB28" s="551"/>
      <c r="BC28" s="513"/>
      <c r="BD28" s="514"/>
      <c r="BE28" s="513"/>
      <c r="BF28" s="514"/>
      <c r="BG28" s="513"/>
      <c r="BH28" s="514"/>
      <c r="BI28" s="520"/>
      <c r="BJ28" s="517"/>
      <c r="BK28" s="520"/>
      <c r="BL28" s="517"/>
      <c r="BM28" s="520"/>
      <c r="BN28" s="517"/>
      <c r="BO28" s="520"/>
      <c r="BP28" s="517"/>
      <c r="BQ28" s="520"/>
      <c r="BR28" s="517"/>
      <c r="BS28" s="520"/>
      <c r="BT28" s="517"/>
      <c r="BU28" s="520"/>
      <c r="BV28" s="517"/>
      <c r="BW28" s="520"/>
      <c r="BX28" s="517"/>
      <c r="BY28" s="556" t="n">
        <f aca="false">AK28+AM28+AO28+AQ28+AS28+AU28+AW28+AY28+BA28+BC28+BE28+BG28+BI28+BK28+BM28+BO28+BQ28+BS28+BU28+BW28</f>
        <v>0</v>
      </c>
      <c r="BZ28" s="524" t="n">
        <f aca="false">IF(AND(BY28=0,CC28=0),0,(ABS(AK28)*AL28+ABS(AM28)*AN28+ABS(AO28)*AP28+ABS(AQ28)*AR28+ABS(AS28)*AT28+ABS(AU28)*AV28+ABS(AW28)*AX28+ABS(AY28)*AZ28+ABS(BA28)*BB28+ABS(BC28)*BD28+ABS(BE28)*BF28+ABS(BG28)*BH28+ABS(BI28)*BJ28+ABS(BK28)*BL28+ABS(BM28)*BN28+ABS(BO28)*BP28+ABS(BQ28)*BR28+ABS(BS28)*BT28+ABS(BU28)*BV28+ABS(BW28)*BX28)/CC28)</f>
        <v>0</v>
      </c>
      <c r="CB28" s="525" t="n">
        <f aca="false">AJ28</f>
        <v>37653</v>
      </c>
      <c r="CC28" s="222" t="n">
        <f aca="false">ABS(AK28)+ABS(AM28)+ABS(AO28)+ABS(AQ28)+ABS(AS28)+ABS(AU28)+ABS(AW28)+ABS(AY28)+ABS(BA28)+ABS(BC28)+ABS(BE28)+ABS(BG28)+ABS(BI28)+ABS(BK28)+ABS(BM28)+ABS(BO28)+ABS(BQ28)+ABS(BS28)+ABS(BU28)+ABS(BW28)</f>
        <v>0</v>
      </c>
      <c r="CD28" s="526" t="n">
        <f aca="false">16*DK28</f>
        <v>320</v>
      </c>
      <c r="CE28" s="222" t="n">
        <f aca="false">VLOOKUP(A28,Interest!$X$8:$AC$367,6)</f>
        <v>0.943643503396813</v>
      </c>
      <c r="CF28" s="527" t="n">
        <f aca="false">E28-B28</f>
        <v>0</v>
      </c>
      <c r="CG28" s="527" t="n">
        <f aca="false">IF(YEAR($AJ28)=$CG$10,(($I28-$AL$48)*$AK$48+($I28-$AN$48)*$AM$48+($I28-$AP$48)*$AO$48+($I28-$AR$48)*$AQ$48+($I28-$AT$48)*$AS$48+($I28-$AV$48)*$AU$48+($I28-$AX$48)*$AW$48+($I28-$AZ$48)*$AY$48+($I28-$BB$48)*$BA$48+($I28-$BD$48)*$BC$48+($I28-$BF$48)*$BE$48+($I28-$BH$48)*$BG$48+($I28-$BJ$48)*$BI$48+($I28-$BL$48)*$BK$48+($I28-$BN$48)*$BM$48+($I28-$BP$48)*$BO$48+($I28-$BR$48)*$BQ$48+($I28-$BT$48)*$BS$48+($I28-$BV$48)*$BU$48+($I28-$BX$48)*$BW$48)*$CD28*$CE28,0)</f>
        <v>0</v>
      </c>
      <c r="CH28" s="527" t="n">
        <f aca="false">IF(YEAR($AJ28)=$CH$10,(($I28-$AL$49)*$AK$49+($I28-$AN$49)*$AM$49+($I28-$AP$49)*$AO$49+($I28-$AR$49)*$AQ$49+($I28-$AT$49)*$AS$49+($I28-$AV$49)*$AU$49+($I28-$AX$49)*$AW$49+($I28-$AZ$49)*$AY$49+($I28-$BB$49)*$BA$49+($I28-$BD$49)*$BC$49+($I28-$BF$49)*$BE$49+($I28-$BH$49)*$BG$49+($I28-$BJ$49)*$BI$49+($I28-$BL$49)*$BK$49+($I28-$BN$49)*$BM$49+($I28-$BP$49)*$BO$49+($I28-$BR$49)*$BQ$49+($I28-$BT$49)*$BS$49+($I28-$BV$49)*$BU$49+($I28-$BX$49)*$BW$49)*$CD28*$CE28,0)</f>
        <v>0</v>
      </c>
      <c r="CI28" s="527" t="n">
        <f aca="false">IF(YEAR($AJ28)=$CI$10,(($I28-$AL$50)*$AK$50+($I28-$AN$50)*$AM$50+($I28-$AP$50)*$AO$50+($I28-$AR$50)*$AQ$50+($I28-$AT$50)*$AS$50+($I28-$AV$50)*$AU$50+($I28-$AX$50)*$AW$50+($I28-$AZ$50)*$AY$50+($I28-$BB$50)*$BA$50+($I28-$BD$50)*$BC$50+($I28-$BF$50)*$BE$50+($I28-$BH$50)*$BG$50+($I28-$BJ$50)*$BI$50+($I28-$BL$50)*$BK$50+($I28-$BN$50)*$BM$50+($I28-$BP$50)*$BO$50+($I28-$BR$50)*$BQ$50+($I28-$BT$50)*$BS$50+($I28-$BV$50)*$BU$50+($I28-$BX$50)*$BW$50)*$CD28*$CE28,0)</f>
        <v>0</v>
      </c>
      <c r="CJ28" s="439" t="n">
        <f aca="false">CC28*CD28</f>
        <v>0</v>
      </c>
      <c r="CK28" s="528"/>
      <c r="CL28" s="553" t="n">
        <v>8.2</v>
      </c>
      <c r="CM28" s="530" t="n">
        <f aca="false">+CF28*CL28/10000</f>
        <v>0</v>
      </c>
      <c r="CN28" s="439" t="n">
        <f aca="false">DDE("TWINDDE","RSFRecord","NGQ2 CLS")</f>
        <v>3.147</v>
      </c>
      <c r="CO28" s="439" t="n">
        <f aca="false">+CN28-CN27</f>
        <v>0.0349999999999997</v>
      </c>
      <c r="CQ28" s="234" t="n">
        <f aca="false">SUM(CQ16:CQ26)</f>
        <v>4080</v>
      </c>
      <c r="CR28" s="458" t="n">
        <f aca="false">SUM(CS16:CS26)/CQ28</f>
        <v>33.581862745098</v>
      </c>
      <c r="CW28" s="439" t="n">
        <v>33.21</v>
      </c>
      <c r="CX28" s="439" t="n">
        <v>3.55</v>
      </c>
      <c r="CY28" s="528" t="n">
        <f aca="false">+CW28/CX28</f>
        <v>9.35492957746479</v>
      </c>
      <c r="DJ28" s="532" t="n">
        <f aca="false">[1]Cinergy!$D50</f>
        <v>37653</v>
      </c>
      <c r="DK28" s="440" t="n">
        <f aca="false">VLOOKUP(DJ28,DL28:DM269,2)</f>
        <v>20</v>
      </c>
      <c r="DL28" s="533" t="n">
        <v>36220</v>
      </c>
      <c r="DM28" s="459" t="n">
        <v>23</v>
      </c>
      <c r="DP28" s="534" t="n">
        <f aca="false">[1]Cinergy!$D19</f>
        <v>37158</v>
      </c>
      <c r="DQ28" s="234" t="n">
        <f aca="false">[1]OPPD_NPPD!$O19+[1]NSP!$O19</f>
        <v>1593.04296875</v>
      </c>
      <c r="DR28" s="234" t="n">
        <f aca="false">[1]COMED!$O19</f>
        <v>15930.4296875</v>
      </c>
      <c r="DS28" s="234" t="n">
        <f aca="false">DQ28+DR28</f>
        <v>17523.47265625</v>
      </c>
      <c r="DT28" s="234" t="n">
        <f aca="false">SUM([1]OPPD_NPPD!$P19:$R19)+SUM([1]NSP!$P19:$R19)</f>
        <v>0</v>
      </c>
      <c r="DU28" s="234" t="n">
        <f aca="false">SUM([1]COMED!$P19:$R19)</f>
        <v>-796.521484375</v>
      </c>
      <c r="DV28" s="234" t="n">
        <f aca="false">DT28+DU28</f>
        <v>-796.521484375</v>
      </c>
      <c r="DW28" s="535"/>
      <c r="DX28" s="536" t="n">
        <f aca="false">[1]OtherPosn!$D19</f>
        <v>37146</v>
      </c>
      <c r="DY28" s="234" t="n">
        <f aca="false">[1]OtherPosn!$N19</f>
        <v>-10354.779296875</v>
      </c>
      <c r="DZ28" s="234" t="n">
        <f aca="false">SUM([1]OtherPosn!$O19:$P19)</f>
        <v>0</v>
      </c>
      <c r="EO28" s="532" t="n">
        <f aca="false">DJ28</f>
        <v>37653</v>
      </c>
      <c r="EP28" s="234" t="n">
        <f aca="false">DK28</f>
        <v>20</v>
      </c>
      <c r="EQ28" s="473" t="n">
        <f aca="false">O26*$EP28</f>
        <v>2550</v>
      </c>
      <c r="ER28" s="473" t="n">
        <f aca="false">P26*$EP28</f>
        <v>2600</v>
      </c>
      <c r="ES28" s="439" t="n">
        <f aca="false">IF(YEAR($EO28)=2000,EP28,0)</f>
        <v>0</v>
      </c>
      <c r="ET28" s="439" t="n">
        <f aca="false">IF(YEAR($EO28)=2000,EQ28,0)</f>
        <v>0</v>
      </c>
      <c r="EU28" s="439" t="n">
        <f aca="false">IF(YEAR($EO28)=2000,ER28,0)</f>
        <v>0</v>
      </c>
    </row>
    <row r="29" customFormat="false" ht="18" hidden="false" customHeight="false" outlineLevel="0" collapsed="false">
      <c r="A29" s="537" t="n">
        <f aca="false">[1]Cinergy!$D51</f>
        <v>37681</v>
      </c>
      <c r="B29" s="180" t="n">
        <f aca="false">[1]Cinergy!$O51</f>
        <v>-410062.84375</v>
      </c>
      <c r="C29" s="538" t="n">
        <f aca="false">B29/(CE29*CD29)</f>
        <v>-1298.39841171567</v>
      </c>
      <c r="D29" s="538" t="n">
        <f aca="false">BY29+IF(YEAR(A29)=$T$20,$BY$48,0)+IF(YEAR(A29)=$T$21,$BY$49,0)+IF(YEAR(A29)=$T$22,$BY$50,0)</f>
        <v>0</v>
      </c>
      <c r="E29" s="160" t="n">
        <f aca="false">B29+(D29*CD29*CE29)</f>
        <v>-410062.84375</v>
      </c>
      <c r="F29" s="539" t="n">
        <f aca="false">C29+D29</f>
        <v>-1298.39841171567</v>
      </c>
      <c r="G29" s="540" t="n">
        <f aca="false">[1]Cinergy!$E51</f>
        <v>28.6476783752441</v>
      </c>
      <c r="H29" s="498" t="n">
        <f aca="false">IF($R$9,R29,Q29)</f>
        <v>-0.250000443569448</v>
      </c>
      <c r="I29" s="541" t="n">
        <f aca="false">G29+H29</f>
        <v>28.3976779316747</v>
      </c>
      <c r="J29" s="160" t="n">
        <f aca="false">H29*B29</f>
        <v>102515.892828849</v>
      </c>
      <c r="K29" s="114" t="n">
        <f aca="false">(((I29-AL29)*AK29+(I29-AN29)*AM29+(I29-AP29)*AO29+(I29-AR29)*AQ29+(I29-AT29)*AS29+(I29-AV29)*AU29+(I29-AX29)*AW29+(I29-AZ29)*AY29+(I29-BB29)*BA29+(I29-BD29)*BC29+(I29-BF29)*BE29+(I29-BH29)*BG29+(I29-BJ29)*BI29+(I29-BL29)*BK29+(I29-BN29)*BM29+(I29-BP29)*BO29+(I29-BR29)*BQ29+(I29-BT29)*BS29+(I29-BV29)*BU29+(I29-BX29)*BW29)*CD29*CE29)+CG29+CH29+CI29</f>
        <v>0</v>
      </c>
      <c r="L29" s="114" t="n">
        <f aca="false">J29+K29</f>
        <v>102515.892828849</v>
      </c>
      <c r="M29" s="549"/>
      <c r="N29" s="500" t="n">
        <f aca="false">A29</f>
        <v>37681</v>
      </c>
      <c r="O29" s="501" t="n">
        <v>27.5</v>
      </c>
      <c r="P29" s="501" t="n">
        <v>29</v>
      </c>
      <c r="Q29" s="502" t="n">
        <f aca="false">AVERAGE(O29:P29)-G29</f>
        <v>-0.397678375244141</v>
      </c>
      <c r="R29" s="503" t="n">
        <f aca="false">+Master!L41</f>
        <v>-0.250000443569448</v>
      </c>
      <c r="S29" s="542" t="n">
        <f aca="false">I29</f>
        <v>28.3976779316747</v>
      </c>
      <c r="T29" s="505" t="n">
        <f aca="false">IF(U28=4,T28+1,T28)</f>
        <v>2002</v>
      </c>
      <c r="U29" s="506" t="n">
        <f aca="false">IF(U28=4,1,U28+1)</f>
        <v>2</v>
      </c>
      <c r="V29" s="575" t="str">
        <f aca="false">V14</f>
        <v>Q2 2002</v>
      </c>
      <c r="W29" s="575" t="n">
        <f aca="false" t="array" ref="W29:W29">SUM(IF((INT((MONTH($A$12:$A$47)-1)/3)=$U29-1)*(YEAR($A$12:$A$47)=$T29),$F$12:$F$47))</f>
        <v>-2115.88172160882</v>
      </c>
      <c r="X29" s="576" t="n">
        <f aca="false" t="array" ref="X29:X29">SUM(IF((INT((MONTH($A$12:$A$47)-1)/3)=$U29-1)*(YEAR($A$12:$A$47)=$T29),$E$12:$E$47))</f>
        <v>-671655.729533928</v>
      </c>
      <c r="Y29" s="567"/>
      <c r="Z29" s="577" t="n">
        <f aca="false">A15</f>
        <v>37257</v>
      </c>
      <c r="AA29" s="578" t="n">
        <f aca="false">I15</f>
        <v>29.4166677565802</v>
      </c>
      <c r="AB29" s="579" t="n">
        <f aca="false">F15</f>
        <v>975.409594677419</v>
      </c>
      <c r="AC29" s="579" t="n">
        <f aca="false">F59</f>
        <v>-1220.04822607687</v>
      </c>
      <c r="AD29" s="579" t="n">
        <f aca="false">AC29+AB29</f>
        <v>-244.638631399453</v>
      </c>
      <c r="AE29" s="46"/>
      <c r="AF29" s="46"/>
      <c r="AG29" s="46"/>
      <c r="AH29" s="46"/>
      <c r="AI29" s="46"/>
      <c r="AJ29" s="512" t="n">
        <f aca="false">A29</f>
        <v>37681</v>
      </c>
      <c r="AK29" s="513"/>
      <c r="AL29" s="514"/>
      <c r="AM29" s="513"/>
      <c r="AN29" s="514"/>
      <c r="AO29" s="513"/>
      <c r="AP29" s="514"/>
      <c r="AQ29" s="513"/>
      <c r="AR29" s="514"/>
      <c r="AS29" s="515"/>
      <c r="AT29" s="516"/>
      <c r="AU29" s="550" t="n">
        <f aca="false">+AU28</f>
        <v>0</v>
      </c>
      <c r="AV29" s="551" t="n">
        <f aca="false">+AV28</f>
        <v>0</v>
      </c>
      <c r="AW29" s="550" t="n">
        <f aca="false">+AW28</f>
        <v>0</v>
      </c>
      <c r="AX29" s="551" t="n">
        <f aca="false">+AX28</f>
        <v>0</v>
      </c>
      <c r="AY29" s="550"/>
      <c r="AZ29" s="551"/>
      <c r="BA29" s="550"/>
      <c r="BB29" s="551"/>
      <c r="BC29" s="513"/>
      <c r="BD29" s="514"/>
      <c r="BE29" s="513"/>
      <c r="BF29" s="514"/>
      <c r="BG29" s="513"/>
      <c r="BH29" s="514"/>
      <c r="BI29" s="520"/>
      <c r="BJ29" s="517"/>
      <c r="BK29" s="520"/>
      <c r="BL29" s="517"/>
      <c r="BM29" s="520"/>
      <c r="BN29" s="517"/>
      <c r="BO29" s="520"/>
      <c r="BP29" s="517"/>
      <c r="BQ29" s="520"/>
      <c r="BR29" s="517"/>
      <c r="BS29" s="520"/>
      <c r="BT29" s="517"/>
      <c r="BU29" s="520"/>
      <c r="BV29" s="517"/>
      <c r="BW29" s="520"/>
      <c r="BX29" s="517"/>
      <c r="BY29" s="556" t="n">
        <f aca="false">AK29+AM29+AO29+AQ29+AS29+AU29+AW29+AY29+BA29+BC29+BE29+BG29+BI29+BK29+BM29+BO29+BQ29+BS29+BU29+BW29</f>
        <v>0</v>
      </c>
      <c r="BZ29" s="524" t="n">
        <f aca="false">IF(AND(BY29=0,CC29=0),0,(ABS(AK29)*AL29+ABS(AM29)*AN29+ABS(AO29)*AP29+ABS(AQ29)*AR29+ABS(AS29)*AT29+ABS(AU29)*AV29+ABS(AW29)*AX29+ABS(AY29)*AZ29+ABS(BA29)*BB29+ABS(BC29)*BD29+ABS(BE29)*BF29+ABS(BG29)*BH29+ABS(BI29)*BJ29+ABS(BK29)*BL29+ABS(BM29)*BN29+ABS(BO29)*BP29+ABS(BQ29)*BR29+ABS(BS29)*BT29+ABS(BU29)*BV29+ABS(BW29)*BX29)/CC29)</f>
        <v>0</v>
      </c>
      <c r="CB29" s="525" t="n">
        <f aca="false">AJ29</f>
        <v>37681</v>
      </c>
      <c r="CC29" s="222" t="n">
        <f aca="false">ABS(AK29)+ABS(AM29)+ABS(AO29)+ABS(AQ29)+ABS(AS29)+ABS(AU29)+ABS(AW29)+ABS(AY29)+ABS(BA29)+ABS(BC29)+ABS(BE29)+ABS(BG29)+ABS(BI29)+ABS(BK29)+ABS(BM29)+ABS(BO29)+ABS(BQ29)+ABS(BS29)+ABS(BU29)+ABS(BW29)</f>
        <v>0</v>
      </c>
      <c r="CD29" s="526" t="n">
        <f aca="false">16*DK29</f>
        <v>336</v>
      </c>
      <c r="CE29" s="222" t="n">
        <f aca="false">VLOOKUP(A29,Interest!$X$8:$AC$367,6)</f>
        <v>0.939946567398907</v>
      </c>
      <c r="CF29" s="527" t="n">
        <f aca="false">E29-B29</f>
        <v>0</v>
      </c>
      <c r="CG29" s="527" t="n">
        <f aca="false">IF(YEAR($AJ29)=$CG$10,(($I29-$AL$48)*$AK$48+($I29-$AN$48)*$AM$48+($I29-$AP$48)*$AO$48+($I29-$AR$48)*$AQ$48+($I29-$AT$48)*$AS$48+($I29-$AV$48)*$AU$48+($I29-$AX$48)*$AW$48+($I29-$AZ$48)*$AY$48+($I29-$BB$48)*$BA$48+($I29-$BD$48)*$BC$48+($I29-$BF$48)*$BE$48+($I29-$BH$48)*$BG$48+($I29-$BJ$48)*$BI$48+($I29-$BL$48)*$BK$48+($I29-$BN$48)*$BM$48+($I29-$BP$48)*$BO$48+($I29-$BR$48)*$BQ$48+($I29-$BT$48)*$BS$48+($I29-$BV$48)*$BU$48+($I29-$BX$48)*$BW$48)*$CD29*$CE29,0)</f>
        <v>0</v>
      </c>
      <c r="CH29" s="527" t="n">
        <f aca="false">IF(YEAR($AJ29)=$CH$10,(($I29-$AL$49)*$AK$49+($I29-$AN$49)*$AM$49+($I29-$AP$49)*$AO$49+($I29-$AR$49)*$AQ$49+($I29-$AT$49)*$AS$49+($I29-$AV$49)*$AU$49+($I29-$AX$49)*$AW$49+($I29-$AZ$49)*$AY$49+($I29-$BB$49)*$BA$49+($I29-$BD$49)*$BC$49+($I29-$BF$49)*$BE$49+($I29-$BH$49)*$BG$49+($I29-$BJ$49)*$BI$49+($I29-$BL$49)*$BK$49+($I29-$BN$49)*$BM$49+($I29-$BP$49)*$BO$49+($I29-$BR$49)*$BQ$49+($I29-$BT$49)*$BS$49+($I29-$BV$49)*$BU$49+($I29-$BX$49)*$BW$49)*$CD29*$CE29,0)</f>
        <v>0</v>
      </c>
      <c r="CI29" s="527" t="n">
        <f aca="false">IF(YEAR($AJ29)=$CI$10,(($I29-$AL$50)*$AK$50+($I29-$AN$50)*$AM$50+($I29-$AP$50)*$AO$50+($I29-$AR$50)*$AQ$50+($I29-$AT$50)*$AS$50+($I29-$AV$50)*$AU$50+($I29-$AX$50)*$AW$50+($I29-$AZ$50)*$AY$50+($I29-$BB$50)*$BA$50+($I29-$BD$50)*$BC$50+($I29-$BF$50)*$BE$50+($I29-$BH$50)*$BG$50+($I29-$BJ$50)*$BI$50+($I29-$BL$50)*$BK$50+($I29-$BN$50)*$BM$50+($I29-$BP$50)*$BO$50+($I29-$BR$50)*$BQ$50+($I29-$BT$50)*$BS$50+($I29-$BV$50)*$BU$50+($I29-$BX$50)*$BW$50)*$CD29*$CE29,0)</f>
        <v>0</v>
      </c>
      <c r="CJ29" s="439" t="n">
        <f aca="false">CC29*CD29</f>
        <v>0</v>
      </c>
      <c r="CK29" s="528"/>
      <c r="CL29" s="553" t="n">
        <v>8.3</v>
      </c>
      <c r="CM29" s="530" t="n">
        <f aca="false">+CF29*CL29/10000</f>
        <v>0</v>
      </c>
      <c r="CN29" s="439" t="n">
        <f aca="false">DDE("TWINDDE","RSFRecord","NGU2 CLS")</f>
        <v>3.146</v>
      </c>
      <c r="CO29" s="439" t="n">
        <f aca="false">+CN29-CN28</f>
        <v>-0.00099999999999989</v>
      </c>
      <c r="CW29" s="439" t="n">
        <v>32.85</v>
      </c>
      <c r="CX29" s="439" t="n">
        <v>3.57</v>
      </c>
      <c r="CY29" s="528" t="n">
        <f aca="false">+CW29/CX29</f>
        <v>9.20168067226891</v>
      </c>
      <c r="DJ29" s="532" t="n">
        <f aca="false">[1]Cinergy!$D51</f>
        <v>37681</v>
      </c>
      <c r="DK29" s="440" t="n">
        <f aca="false">VLOOKUP(DJ29,DL29:DM270,2)</f>
        <v>21</v>
      </c>
      <c r="DL29" s="533" t="n">
        <v>36251</v>
      </c>
      <c r="DM29" s="459" t="n">
        <v>22</v>
      </c>
      <c r="DP29" s="534" t="n">
        <f aca="false">[1]Cinergy!$D20</f>
        <v>37159</v>
      </c>
      <c r="DQ29" s="234" t="n">
        <f aca="false">[1]OPPD_NPPD!$O20+[1]NSP!$O20</f>
        <v>1593.04296875</v>
      </c>
      <c r="DR29" s="234" t="n">
        <f aca="false">[1]COMED!$O20</f>
        <v>15930.4296875</v>
      </c>
      <c r="DS29" s="234" t="n">
        <f aca="false">DQ29+DR29</f>
        <v>17523.47265625</v>
      </c>
      <c r="DT29" s="234" t="n">
        <f aca="false">SUM([1]OPPD_NPPD!$P20:$R20)+SUM([1]NSP!$P20:$R20)</f>
        <v>0</v>
      </c>
      <c r="DU29" s="234" t="n">
        <f aca="false">SUM([1]COMED!$P20:$R20)</f>
        <v>-796.521484375</v>
      </c>
      <c r="DV29" s="234" t="n">
        <f aca="false">DT29+DU29</f>
        <v>-796.521484375</v>
      </c>
      <c r="DW29" s="535"/>
      <c r="DX29" s="536" t="n">
        <f aca="false">[1]OtherPosn!$D20</f>
        <v>37147</v>
      </c>
      <c r="DY29" s="234" t="n">
        <f aca="false">[1]OtherPosn!$N20</f>
        <v>-10354.779296875</v>
      </c>
      <c r="DZ29" s="234" t="n">
        <f aca="false">SUM([1]OtherPosn!$O20:$P20)</f>
        <v>0</v>
      </c>
      <c r="EO29" s="532" t="n">
        <f aca="false">DJ29</f>
        <v>37681</v>
      </c>
      <c r="EP29" s="234" t="n">
        <f aca="false">DK29</f>
        <v>21</v>
      </c>
      <c r="EQ29" s="473" t="n">
        <f aca="false">O27*$EP29</f>
        <v>714</v>
      </c>
      <c r="ER29" s="473" t="n">
        <f aca="false">P27*$EP29</f>
        <v>735</v>
      </c>
      <c r="ES29" s="439" t="n">
        <f aca="false">IF(YEAR($EO29)=2000,EP29,0)</f>
        <v>0</v>
      </c>
      <c r="ET29" s="439" t="n">
        <f aca="false">IF(YEAR($EO29)=2000,EQ29,0)</f>
        <v>0</v>
      </c>
      <c r="EU29" s="439" t="n">
        <f aca="false">IF(YEAR($EO29)=2000,ER29,0)</f>
        <v>0</v>
      </c>
    </row>
    <row r="30" customFormat="false" ht="18" hidden="false" customHeight="false" outlineLevel="0" collapsed="false">
      <c r="A30" s="95" t="n">
        <f aca="false">[1]Cinergy!$D52</f>
        <v>37712</v>
      </c>
      <c r="B30" s="122" t="n">
        <f aca="false">[1]Cinergy!$O52</f>
        <v>-427889.71875</v>
      </c>
      <c r="C30" s="163" t="n">
        <f aca="false">B30/(CE30*CD30)</f>
        <v>-1298.3901279974</v>
      </c>
      <c r="D30" s="496" t="n">
        <f aca="false">BY30+IF(YEAR(A30)=$T$20,$BY$48,0)+IF(YEAR(A30)=$T$21,$BY$49,0)+IF(YEAR(A30)=$T$22,$BY$50,0)</f>
        <v>0</v>
      </c>
      <c r="E30" s="163" t="n">
        <f aca="false">B30+(D30*CD30*CE30)</f>
        <v>-427889.71875</v>
      </c>
      <c r="F30" s="497" t="n">
        <f aca="false">C30+D30</f>
        <v>-1298.3901279974</v>
      </c>
      <c r="G30" s="498" t="n">
        <f aca="false">[1]Cinergy!$E52</f>
        <v>28.8476715087891</v>
      </c>
      <c r="H30" s="498" t="n">
        <f aca="false">IF($R$9,R30,Q30)</f>
        <v>-0.250000443569448</v>
      </c>
      <c r="I30" s="499" t="n">
        <f aca="false">G30+H30</f>
        <v>28.5976710652196</v>
      </c>
      <c r="J30" s="122" t="n">
        <f aca="false">H30*B30</f>
        <v>106972.619486306</v>
      </c>
      <c r="K30" s="123" t="n">
        <f aca="false">(((I30-AL30)*AK30+(I30-AN30)*AM30+(I30-AP30)*AO30+(I30-AR30)*AQ30+(I30-AT30)*AS30+(I30-AV30)*AU30+(I30-AX30)*AW30+(I30-AZ30)*AY30+(I30-BB30)*BA30+(I30-BD30)*BC30+(I30-BF30)*BE30+(I30-BH30)*BG30+(I30-BJ30)*BI30+(I30-BL30)*BK30+(I30-BN30)*BM30+(I30-BP30)*BO30+(I30-BR30)*BQ30+(I30-BT30)*BS30+(I30-BV30)*BU30+(I30-BX30)*BW30)*CD30*CE30)+CG30+CH30+CI30</f>
        <v>0</v>
      </c>
      <c r="L30" s="123" t="n">
        <f aca="false">J30+K30</f>
        <v>106972.619486306</v>
      </c>
      <c r="M30" s="549"/>
      <c r="N30" s="500" t="n">
        <f aca="false">A30</f>
        <v>37712</v>
      </c>
      <c r="O30" s="501" t="n">
        <v>27.5</v>
      </c>
      <c r="P30" s="501" t="n">
        <v>29</v>
      </c>
      <c r="Q30" s="502" t="n">
        <f aca="false">AVERAGE(O30:P30)-G30</f>
        <v>-0.597671508789063</v>
      </c>
      <c r="R30" s="503" t="n">
        <f aca="false">+R29</f>
        <v>-0.250000443569448</v>
      </c>
      <c r="S30" s="542" t="n">
        <f aca="false">I30</f>
        <v>28.5976710652196</v>
      </c>
      <c r="T30" s="505" t="n">
        <f aca="false">IF(U29=4,T29+1,T29)</f>
        <v>2002</v>
      </c>
      <c r="U30" s="506" t="n">
        <f aca="false">IF(U29=4,1,U29+1)</f>
        <v>3</v>
      </c>
      <c r="V30" s="579" t="str">
        <f aca="false">V15</f>
        <v>Q3 2002</v>
      </c>
      <c r="W30" s="579" t="n">
        <f aca="false" t="array" ref="W30:W30">SUM(IF((INT((MONTH($A$12:$A$47)-1)/3)=$U30-1)*(YEAR($A$12:$A$47)=$T30),$F$12:$F$47))</f>
        <v>-3148.53337011187</v>
      </c>
      <c r="X30" s="580" t="n">
        <f aca="false" t="array" ref="X30:X30">SUM(IF((INT((MONTH($A$12:$A$47)-1)/3)=$U30-1)*(YEAR($A$12:$A$47)=$T30),$E$12:$E$47))</f>
        <v>-1042355.8050529</v>
      </c>
      <c r="Y30" s="570"/>
      <c r="Z30" s="581" t="n">
        <f aca="false">A16</f>
        <v>37288</v>
      </c>
      <c r="AA30" s="582" t="n">
        <f aca="false">I16</f>
        <v>29.0666654677618</v>
      </c>
      <c r="AB30" s="583" t="n">
        <f aca="false">F16</f>
        <v>972.378993134201</v>
      </c>
      <c r="AC30" s="584" t="n">
        <f aca="false">F60</f>
        <v>-1220.03058736007</v>
      </c>
      <c r="AD30" s="584" t="n">
        <f aca="false">AC30+AB30</f>
        <v>-247.651594225867</v>
      </c>
      <c r="AE30" s="46"/>
      <c r="AF30" s="46"/>
      <c r="AG30" s="46"/>
      <c r="AH30" s="46"/>
      <c r="AI30" s="46"/>
      <c r="AJ30" s="512" t="n">
        <f aca="false">A30</f>
        <v>37712</v>
      </c>
      <c r="AK30" s="513" t="n">
        <f aca="false">+AK29</f>
        <v>0</v>
      </c>
      <c r="AL30" s="514" t="n">
        <f aca="false">+AL29</f>
        <v>0</v>
      </c>
      <c r="AM30" s="513" t="n">
        <f aca="false">+AM29</f>
        <v>0</v>
      </c>
      <c r="AN30" s="514" t="n">
        <f aca="false">+AN29</f>
        <v>0</v>
      </c>
      <c r="AO30" s="513" t="n">
        <f aca="false">+AO29</f>
        <v>0</v>
      </c>
      <c r="AP30" s="514" t="n">
        <f aca="false">+AP29</f>
        <v>0</v>
      </c>
      <c r="AQ30" s="513" t="n">
        <f aca="false">+AQ29</f>
        <v>0</v>
      </c>
      <c r="AR30" s="514" t="n">
        <f aca="false">+AR29</f>
        <v>0</v>
      </c>
      <c r="AS30" s="515"/>
      <c r="AT30" s="516"/>
      <c r="AU30" s="550" t="n">
        <f aca="false">+AU29</f>
        <v>0</v>
      </c>
      <c r="AV30" s="551" t="n">
        <f aca="false">+AV29</f>
        <v>0</v>
      </c>
      <c r="AW30" s="550" t="n">
        <f aca="false">+AW29</f>
        <v>0</v>
      </c>
      <c r="AX30" s="551" t="n">
        <f aca="false">+AX29</f>
        <v>0</v>
      </c>
      <c r="AY30" s="550"/>
      <c r="AZ30" s="551"/>
      <c r="BA30" s="550"/>
      <c r="BB30" s="551"/>
      <c r="BC30" s="513"/>
      <c r="BD30" s="514"/>
      <c r="BE30" s="513"/>
      <c r="BF30" s="514"/>
      <c r="BG30" s="513"/>
      <c r="BH30" s="514"/>
      <c r="BI30" s="520"/>
      <c r="BJ30" s="517"/>
      <c r="BK30" s="520"/>
      <c r="BL30" s="517"/>
      <c r="BM30" s="520"/>
      <c r="BN30" s="517"/>
      <c r="BO30" s="520"/>
      <c r="BP30" s="517"/>
      <c r="BQ30" s="520"/>
      <c r="BR30" s="517"/>
      <c r="BS30" s="520"/>
      <c r="BT30" s="517"/>
      <c r="BU30" s="520"/>
      <c r="BV30" s="517"/>
      <c r="BW30" s="520"/>
      <c r="BX30" s="517"/>
      <c r="BY30" s="556" t="n">
        <f aca="false">AK30+AM30+AO30+AQ30+AS30+AU30+AW30+AY30+BA30+BC30+BE30+BG30+BI30+BK30+BM30+BO30+BQ30+BS30+BU30+BW30</f>
        <v>0</v>
      </c>
      <c r="BZ30" s="524" t="n">
        <f aca="false">IF(AND(BY30=0,CC30=0),0,(ABS(AK30)*AL30+ABS(AM30)*AN30+ABS(AO30)*AP30+ABS(AQ30)*AR30+ABS(AS30)*AT30+ABS(AU30)*AV30+ABS(AW30)*AX30+ABS(AY30)*AZ30+ABS(BA30)*BB30+ABS(BC30)*BD30+ABS(BE30)*BF30+ABS(BG30)*BH30+ABS(BI30)*BJ30+ABS(BK30)*BL30+ABS(BM30)*BN30+ABS(BO30)*BP30+ABS(BQ30)*BR30+ABS(BS30)*BT30+ABS(BU30)*BV30+ABS(BW30)*BX30)/CC30)</f>
        <v>0</v>
      </c>
      <c r="CB30" s="525" t="n">
        <f aca="false">AJ30</f>
        <v>37712</v>
      </c>
      <c r="CC30" s="222" t="n">
        <f aca="false">ABS(AK30)+ABS(AM30)+ABS(AO30)+ABS(AQ30)+ABS(AS30)+ABS(AU30)+ABS(AW30)+ABS(AY30)+ABS(BA30)+ABS(BC30)+ABS(BE30)+ABS(BG30)+ABS(BI30)+ABS(BK30)+ABS(BM30)+ABS(BO30)+ABS(BQ30)+ABS(BS30)+ABS(BU30)+ABS(BW30)</f>
        <v>0</v>
      </c>
      <c r="CD30" s="526" t="n">
        <f aca="false">16*DK30</f>
        <v>352</v>
      </c>
      <c r="CE30" s="222" t="n">
        <f aca="false">VLOOKUP(A30,Interest!$X$8:$AC$367,6)</f>
        <v>0.936233082562254</v>
      </c>
      <c r="CF30" s="527" t="n">
        <f aca="false">E30-B30</f>
        <v>0</v>
      </c>
      <c r="CG30" s="527" t="n">
        <f aca="false">IF(YEAR($AJ30)=$CG$10,(($I30-$AL$48)*$AK$48+($I30-$AN$48)*$AM$48+($I30-$AP$48)*$AO$48+($I30-$AR$48)*$AQ$48+($I30-$AT$48)*$AS$48+($I30-$AV$48)*$AU$48+($I30-$AX$48)*$AW$48+($I30-$AZ$48)*$AY$48+($I30-$BB$48)*$BA$48+($I30-$BD$48)*$BC$48+($I30-$BF$48)*$BE$48+($I30-$BH$48)*$BG$48+($I30-$BJ$48)*$BI$48+($I30-$BL$48)*$BK$48+($I30-$BN$48)*$BM$48+($I30-$BP$48)*$BO$48+($I30-$BR$48)*$BQ$48+($I30-$BT$48)*$BS$48+($I30-$BV$48)*$BU$48+($I30-$BX$48)*$BW$48)*$CD30*$CE30,0)</f>
        <v>0</v>
      </c>
      <c r="CH30" s="527" t="n">
        <f aca="false">IF(YEAR($AJ30)=$CH$10,(($I30-$AL$49)*$AK$49+($I30-$AN$49)*$AM$49+($I30-$AP$49)*$AO$49+($I30-$AR$49)*$AQ$49+($I30-$AT$49)*$AS$49+($I30-$AV$49)*$AU$49+($I30-$AX$49)*$AW$49+($I30-$AZ$49)*$AY$49+($I30-$BB$49)*$BA$49+($I30-$BD$49)*$BC$49+($I30-$BF$49)*$BE$49+($I30-$BH$49)*$BG$49+($I30-$BJ$49)*$BI$49+($I30-$BL$49)*$BK$49+($I30-$BN$49)*$BM$49+($I30-$BP$49)*$BO$49+($I30-$BR$49)*$BQ$49+($I30-$BT$49)*$BS$49+($I30-$BV$49)*$BU$49+($I30-$BX$49)*$BW$49)*$CD30*$CE30,0)</f>
        <v>0</v>
      </c>
      <c r="CI30" s="527" t="n">
        <f aca="false">IF(YEAR($AJ30)=$CI$10,(($I30-$AL$50)*$AK$50+($I30-$AN$50)*$AM$50+($I30-$AP$50)*$AO$50+($I30-$AR$50)*$AQ$50+($I30-$AT$50)*$AS$50+($I30-$AV$50)*$AU$50+($I30-$AX$50)*$AW$50+($I30-$AZ$50)*$AY$50+($I30-$BB$50)*$BA$50+($I30-$BD$50)*$BC$50+($I30-$BF$50)*$BE$50+($I30-$BH$50)*$BG$50+($I30-$BJ$50)*$BI$50+($I30-$BL$50)*$BK$50+($I30-$BN$50)*$BM$50+($I30-$BP$50)*$BO$50+($I30-$BR$50)*$BQ$50+($I30-$BT$50)*$BS$50+($I30-$BV$50)*$BU$50+($I30-$BX$50)*$BW$50)*$CD30*$CE30,0)</f>
        <v>0</v>
      </c>
      <c r="CJ30" s="439" t="n">
        <f aca="false">CC30*CD30</f>
        <v>0</v>
      </c>
      <c r="CK30" s="528"/>
      <c r="CL30" s="553" t="n">
        <v>8.1</v>
      </c>
      <c r="CM30" s="530" t="n">
        <f aca="false">+CF30*CL30/10000</f>
        <v>0</v>
      </c>
      <c r="CN30" s="439" t="n">
        <f aca="false">DDE("TWINDDE","RSFRecord","NGV2 CLS")</f>
        <v>3.157</v>
      </c>
      <c r="CO30" s="439" t="n">
        <f aca="false">+CN30-CN29</f>
        <v>0.0110000000000001</v>
      </c>
      <c r="CW30" s="439" t="n">
        <v>33.75</v>
      </c>
      <c r="CX30" s="439" t="n">
        <v>3.61</v>
      </c>
      <c r="CY30" s="528" t="n">
        <f aca="false">+CW30/CX30</f>
        <v>9.34903047091413</v>
      </c>
      <c r="DJ30" s="532" t="n">
        <f aca="false">[1]Cinergy!$D52</f>
        <v>37712</v>
      </c>
      <c r="DK30" s="440" t="n">
        <f aca="false">VLOOKUP(DJ30,DL30:DM271,2)</f>
        <v>22</v>
      </c>
      <c r="DL30" s="533" t="n">
        <v>36281</v>
      </c>
      <c r="DM30" s="459" t="n">
        <v>20</v>
      </c>
      <c r="DP30" s="534" t="n">
        <f aca="false">[1]Cinergy!$D21</f>
        <v>37160</v>
      </c>
      <c r="DQ30" s="234" t="n">
        <f aca="false">[1]OPPD_NPPD!$O21+[1]NSP!$O21</f>
        <v>1593.04296875</v>
      </c>
      <c r="DR30" s="234" t="n">
        <f aca="false">[1]COMED!$O21</f>
        <v>15930.4296875</v>
      </c>
      <c r="DS30" s="234" t="n">
        <f aca="false">DQ30+DR30</f>
        <v>17523.47265625</v>
      </c>
      <c r="DT30" s="234" t="n">
        <f aca="false">SUM([1]OPPD_NPPD!$P21:$R21)+SUM([1]NSP!$P21:$R21)</f>
        <v>0</v>
      </c>
      <c r="DU30" s="234" t="n">
        <f aca="false">SUM([1]COMED!$P21:$R21)</f>
        <v>-796.521484375</v>
      </c>
      <c r="DV30" s="234" t="n">
        <f aca="false">DT30+DU30</f>
        <v>-796.521484375</v>
      </c>
      <c r="DW30" s="535"/>
      <c r="DX30" s="536" t="n">
        <f aca="false">[1]OtherPosn!$D21</f>
        <v>37148</v>
      </c>
      <c r="DY30" s="234" t="n">
        <f aca="false">[1]OtherPosn!$N21</f>
        <v>-10354.779296875</v>
      </c>
      <c r="DZ30" s="234" t="n">
        <f aca="false">SUM([1]OtherPosn!$O21:$P21)</f>
        <v>0</v>
      </c>
      <c r="EO30" s="532" t="n">
        <f aca="false">DJ30</f>
        <v>37712</v>
      </c>
      <c r="EP30" s="234" t="n">
        <f aca="false">DK30</f>
        <v>22</v>
      </c>
      <c r="EQ30" s="473" t="n">
        <f aca="false">O28*$EP30</f>
        <v>605</v>
      </c>
      <c r="ER30" s="473" t="n">
        <f aca="false">P28*$EP30</f>
        <v>638</v>
      </c>
      <c r="ES30" s="439" t="n">
        <f aca="false">IF(YEAR($EO30)=2000,EP30,0)</f>
        <v>0</v>
      </c>
      <c r="ET30" s="439" t="n">
        <f aca="false">IF(YEAR($EO30)=2000,EQ30,0)</f>
        <v>0</v>
      </c>
      <c r="EU30" s="439" t="n">
        <f aca="false">IF(YEAR($EO30)=2000,ER30,0)</f>
        <v>0</v>
      </c>
    </row>
    <row r="31" customFormat="false" ht="18" hidden="false" customHeight="false" outlineLevel="0" collapsed="false">
      <c r="A31" s="537" t="n">
        <f aca="false">[1]Cinergy!$D53</f>
        <v>37742</v>
      </c>
      <c r="B31" s="180" t="n">
        <f aca="false">[1]Cinergy!$O53</f>
        <v>-324609.15625</v>
      </c>
      <c r="C31" s="538" t="n">
        <f aca="false">B31/(CE31*CD31)</f>
        <v>-1036.12453428606</v>
      </c>
      <c r="D31" s="538" t="n">
        <f aca="false">BY31+IF(YEAR(A31)=$T$20,$BY$48,0)+IF(YEAR(A31)=$T$21,$BY$49,0)+IF(YEAR(A31)=$T$22,$BY$50,0)</f>
        <v>0</v>
      </c>
      <c r="E31" s="160" t="n">
        <f aca="false">B31+(D31*CD31*CE31)</f>
        <v>-324609.15625</v>
      </c>
      <c r="F31" s="539" t="n">
        <f aca="false">C31+D31</f>
        <v>-1036.12453428606</v>
      </c>
      <c r="G31" s="540" t="n">
        <f aca="false">[1]Cinergy!$E53</f>
        <v>30.5</v>
      </c>
      <c r="H31" s="498" t="n">
        <f aca="false">IF($R$9,R31,Q31)</f>
        <v>0</v>
      </c>
      <c r="I31" s="541" t="n">
        <f aca="false">G31+H31</f>
        <v>30.5</v>
      </c>
      <c r="J31" s="160" t="n">
        <f aca="false">H31*B31</f>
        <v>-0</v>
      </c>
      <c r="K31" s="114" t="n">
        <f aca="false">(((I31-AL31)*AK31+(I31-AN31)*AM31+(I31-AP31)*AO31+(I31-AR31)*AQ31+(I31-AT31)*AS31+(I31-AV31)*AU31+(I31-AX31)*AW31+(I31-AZ31)*AY31+(I31-BB31)*BA31+(I31-BD31)*BC31+(I31-BF31)*BE31+(I31-BH31)*BG31+(I31-BJ31)*BI31+(I31-BL31)*BK31+(I31-BN31)*BM31+(I31-BP31)*BO31+(I31-BR31)*BQ31+(I31-BT31)*BS31+(I31-BV31)*BU31+(I31-BX31)*BW31)*CD31*CE31)+CG31+CH31+CI31</f>
        <v>0</v>
      </c>
      <c r="L31" s="114" t="n">
        <f aca="false">J31+K31</f>
        <v>0</v>
      </c>
      <c r="M31" s="549"/>
      <c r="N31" s="500" t="n">
        <f aca="false">A31</f>
        <v>37742</v>
      </c>
      <c r="O31" s="501" t="n">
        <v>24</v>
      </c>
      <c r="P31" s="501" t="n">
        <v>25</v>
      </c>
      <c r="Q31" s="502" t="n">
        <f aca="false">AVERAGE(O31:P31)-G31</f>
        <v>-6</v>
      </c>
      <c r="R31" s="503" t="n">
        <f aca="false">+Master!L42</f>
        <v>0</v>
      </c>
      <c r="S31" s="542" t="n">
        <f aca="false">I31</f>
        <v>30.5</v>
      </c>
      <c r="T31" s="505" t="n">
        <f aca="false">IF(U30=4,T30+1,T30)</f>
        <v>2002</v>
      </c>
      <c r="U31" s="506" t="n">
        <f aca="false">IF(U30=4,1,U30+1)</f>
        <v>4</v>
      </c>
      <c r="V31" s="575" t="str">
        <f aca="false">V16</f>
        <v>Q4 2002</v>
      </c>
      <c r="W31" s="575" t="n">
        <f aca="false" t="array" ref="W31:W31">SUM(IF((INT((MONTH($A$12:$A$47)-1)/3)=$U31-1)*(YEAR($A$12:$A$47)=$T31),$F$12:$F$47))</f>
        <v>1788.93049937133</v>
      </c>
      <c r="X31" s="576" t="n">
        <f aca="false" t="array" ref="X31:X31">SUM(IF((INT((MONTH($A$12:$A$47)-1)/3)=$U31-1)*(YEAR($A$12:$A$47)=$T31),$E$12:$E$47))</f>
        <v>582626.792204697</v>
      </c>
      <c r="Y31" s="46"/>
      <c r="Z31" s="577" t="n">
        <f aca="false">A17</f>
        <v>37316</v>
      </c>
      <c r="AA31" s="578" t="n">
        <f aca="false">I17</f>
        <v>27.5197670515194</v>
      </c>
      <c r="AB31" s="579" t="n">
        <f aca="false">F17</f>
        <v>24.7442701103715</v>
      </c>
      <c r="AC31" s="579" t="n">
        <f aca="false">F61</f>
        <v>-169.994914301451</v>
      </c>
      <c r="AD31" s="579" t="n">
        <f aca="false">AC31+AB31</f>
        <v>-145.250644191079</v>
      </c>
      <c r="AE31" s="46"/>
      <c r="AF31" s="46"/>
      <c r="AG31" s="46"/>
      <c r="AH31" s="46"/>
      <c r="AI31" s="46"/>
      <c r="AJ31" s="512" t="n">
        <f aca="false">A31</f>
        <v>37742</v>
      </c>
      <c r="AK31" s="513"/>
      <c r="AL31" s="514"/>
      <c r="AM31" s="513"/>
      <c r="AN31" s="514"/>
      <c r="AO31" s="513"/>
      <c r="AP31" s="514"/>
      <c r="AQ31" s="513"/>
      <c r="AR31" s="514"/>
      <c r="AS31" s="515"/>
      <c r="AT31" s="516"/>
      <c r="AU31" s="550" t="n">
        <f aca="false">+AU30</f>
        <v>0</v>
      </c>
      <c r="AV31" s="551" t="n">
        <f aca="false">+AV30</f>
        <v>0</v>
      </c>
      <c r="AW31" s="550" t="n">
        <f aca="false">+AW30</f>
        <v>0</v>
      </c>
      <c r="AX31" s="551" t="n">
        <f aca="false">+AX30</f>
        <v>0</v>
      </c>
      <c r="AY31" s="550"/>
      <c r="AZ31" s="551"/>
      <c r="BA31" s="550"/>
      <c r="BB31" s="551"/>
      <c r="BC31" s="513"/>
      <c r="BD31" s="514"/>
      <c r="BE31" s="513"/>
      <c r="BF31" s="514"/>
      <c r="BG31" s="513"/>
      <c r="BH31" s="514"/>
      <c r="BI31" s="520"/>
      <c r="BJ31" s="517"/>
      <c r="BK31" s="520"/>
      <c r="BL31" s="517"/>
      <c r="BM31" s="520"/>
      <c r="BN31" s="517"/>
      <c r="BO31" s="520"/>
      <c r="BP31" s="517"/>
      <c r="BQ31" s="520"/>
      <c r="BR31" s="517"/>
      <c r="BS31" s="520"/>
      <c r="BT31" s="517"/>
      <c r="BU31" s="520"/>
      <c r="BV31" s="517"/>
      <c r="BW31" s="520"/>
      <c r="BX31" s="517"/>
      <c r="BY31" s="556" t="n">
        <f aca="false">AK31+AM31+AO31+AQ31+AS31+AU31+AW31+AY31+BA31+BC31+BE31+BG31+BI31+BK31+BM31+BO31+BQ31+BS31+BU31+BW31</f>
        <v>0</v>
      </c>
      <c r="BZ31" s="524" t="n">
        <f aca="false">IF(AND(BY31=0,CC31=0),0,(ABS(AK31)*AL31+ABS(AM31)*AN31+ABS(AO31)*AP31+ABS(AQ31)*AR31+ABS(AS31)*AT31+ABS(AU31)*AV31+ABS(AW31)*AX31+ABS(AY31)*AZ31+ABS(BA31)*BB31+ABS(BC31)*BD31+ABS(BE31)*BF31+ABS(BG31)*BH31+ABS(BI31)*BJ31+ABS(BK31)*BL31+ABS(BM31)*BN31+ABS(BO31)*BP31+ABS(BQ31)*BR31+ABS(BS31)*BT31+ABS(BU31)*BV31+ABS(BW31)*BX31)/CC31)</f>
        <v>0</v>
      </c>
      <c r="CB31" s="525" t="n">
        <f aca="false">AJ31</f>
        <v>37742</v>
      </c>
      <c r="CC31" s="222" t="n">
        <f aca="false">ABS(AK31)+ABS(AM31)+ABS(AO31)+ABS(AQ31)+ABS(AS31)+ABS(AU31)+ABS(AW31)+ABS(AY31)+ABS(BA31)+ABS(BC31)+ABS(BE31)+ABS(BG31)+ABS(BI31)+ABS(BK31)+ABS(BM31)+ABS(BO31)+ABS(BQ31)+ABS(BS31)+ABS(BU31)+ABS(BW31)</f>
        <v>0</v>
      </c>
      <c r="CD31" s="526" t="n">
        <f aca="false">16*DK31</f>
        <v>336</v>
      </c>
      <c r="CE31" s="222" t="n">
        <f aca="false">VLOOKUP(A31,Interest!$X$8:$AC$367,6)</f>
        <v>0.932415600004263</v>
      </c>
      <c r="CF31" s="527" t="n">
        <f aca="false">E31-B31</f>
        <v>0</v>
      </c>
      <c r="CG31" s="527" t="n">
        <f aca="false">IF(YEAR($AJ31)=$CG$10,(($I31-$AL$48)*$AK$48+($I31-$AN$48)*$AM$48+($I31-$AP$48)*$AO$48+($I31-$AR$48)*$AQ$48+($I31-$AT$48)*$AS$48+($I31-$AV$48)*$AU$48+($I31-$AX$48)*$AW$48+($I31-$AZ$48)*$AY$48+($I31-$BB$48)*$BA$48+($I31-$BD$48)*$BC$48+($I31-$BF$48)*$BE$48+($I31-$BH$48)*$BG$48+($I31-$BJ$48)*$BI$48+($I31-$BL$48)*$BK$48+($I31-$BN$48)*$BM$48+($I31-$BP$48)*$BO$48+($I31-$BR$48)*$BQ$48+($I31-$BT$48)*$BS$48+($I31-$BV$48)*$BU$48+($I31-$BX$48)*$BW$48)*$CD31*$CE31,0)</f>
        <v>0</v>
      </c>
      <c r="CH31" s="527" t="n">
        <f aca="false">IF(YEAR($AJ31)=$CH$10,(($I31-$AL$49)*$AK$49+($I31-$AN$49)*$AM$49+($I31-$AP$49)*$AO$49+($I31-$AR$49)*$AQ$49+($I31-$AT$49)*$AS$49+($I31-$AV$49)*$AU$49+($I31-$AX$49)*$AW$49+($I31-$AZ$49)*$AY$49+($I31-$BB$49)*$BA$49+($I31-$BD$49)*$BC$49+($I31-$BF$49)*$BE$49+($I31-$BH$49)*$BG$49+($I31-$BJ$49)*$BI$49+($I31-$BL$49)*$BK$49+($I31-$BN$49)*$BM$49+($I31-$BP$49)*$BO$49+($I31-$BR$49)*$BQ$49+($I31-$BT$49)*$BS$49+($I31-$BV$49)*$BU$49+($I31-$BX$49)*$BW$49)*$CD31*$CE31,0)</f>
        <v>0</v>
      </c>
      <c r="CI31" s="527" t="n">
        <f aca="false">IF(YEAR($AJ31)=$CI$10,(($I31-$AL$50)*$AK$50+($I31-$AN$50)*$AM$50+($I31-$AP$50)*$AO$50+($I31-$AR$50)*$AQ$50+($I31-$AT$50)*$AS$50+($I31-$AV$50)*$AU$50+($I31-$AX$50)*$AW$50+($I31-$AZ$50)*$AY$50+($I31-$BB$50)*$BA$50+($I31-$BD$50)*$BC$50+($I31-$BF$50)*$BE$50+($I31-$BH$50)*$BG$50+($I31-$BJ$50)*$BI$50+($I31-$BL$50)*$BK$50+($I31-$BN$50)*$BM$50+($I31-$BP$50)*$BO$50+($I31-$BR$50)*$BQ$50+($I31-$BT$50)*$BS$50+($I31-$BV$50)*$BU$50+($I31-$BX$50)*$BW$50)*$CD31*$CE31,0)</f>
        <v>0</v>
      </c>
      <c r="CJ31" s="439" t="n">
        <f aca="false">CC31*CD31</f>
        <v>0</v>
      </c>
      <c r="CK31" s="528"/>
      <c r="CL31" s="553" t="n">
        <v>8.7</v>
      </c>
      <c r="CM31" s="530" t="n">
        <f aca="false">+CF31*CL31/10000</f>
        <v>0</v>
      </c>
      <c r="CN31" s="439" t="n">
        <f aca="false">DDE("TWINDDE","RSFRecord","NGX2 CLS")</f>
        <v>3.317</v>
      </c>
      <c r="CO31" s="439" t="n">
        <f aca="false">+CN31-CN30</f>
        <v>0.16</v>
      </c>
      <c r="CW31" s="439" t="n">
        <v>34.65</v>
      </c>
      <c r="CX31" s="439" t="n">
        <v>3.67</v>
      </c>
      <c r="CY31" s="528" t="n">
        <f aca="false">+CW31/CX31</f>
        <v>9.44141689373297</v>
      </c>
      <c r="DJ31" s="532" t="n">
        <f aca="false">[1]Cinergy!$D53</f>
        <v>37742</v>
      </c>
      <c r="DK31" s="440" t="n">
        <f aca="false">VLOOKUP(DJ31,DL31:DM272,2)</f>
        <v>21</v>
      </c>
      <c r="DL31" s="533" t="n">
        <v>36312</v>
      </c>
      <c r="DM31" s="459" t="n">
        <v>22</v>
      </c>
      <c r="DP31" s="534" t="n">
        <f aca="false">[1]Cinergy!$D22</f>
        <v>37161</v>
      </c>
      <c r="DQ31" s="234" t="n">
        <f aca="false">[1]OPPD_NPPD!$O22+[1]NSP!$O22</f>
        <v>1593.04296875</v>
      </c>
      <c r="DR31" s="234" t="n">
        <f aca="false">[1]COMED!$O22</f>
        <v>15930.4296875</v>
      </c>
      <c r="DS31" s="234" t="n">
        <f aca="false">DQ31+DR31</f>
        <v>17523.47265625</v>
      </c>
      <c r="DT31" s="234" t="n">
        <f aca="false">SUM([1]OPPD_NPPD!$P22:$R22)+SUM([1]NSP!$P22:$R22)</f>
        <v>0</v>
      </c>
      <c r="DU31" s="234" t="n">
        <f aca="false">SUM([1]COMED!$P22:$R22)</f>
        <v>-796.521484375</v>
      </c>
      <c r="DV31" s="234" t="n">
        <f aca="false">DT31+DU31</f>
        <v>-796.521484375</v>
      </c>
      <c r="DW31" s="535"/>
      <c r="DX31" s="536" t="n">
        <f aca="false">[1]OtherPosn!$D22</f>
        <v>37151</v>
      </c>
      <c r="DY31" s="234" t="n">
        <f aca="false">[1]OtherPosn!$N22</f>
        <v>-10354.779296875</v>
      </c>
      <c r="DZ31" s="234" t="n">
        <f aca="false">SUM([1]OtherPosn!$O22:$P22)</f>
        <v>0</v>
      </c>
      <c r="EO31" s="532" t="n">
        <f aca="false">DJ31</f>
        <v>37742</v>
      </c>
      <c r="EP31" s="234" t="n">
        <f aca="false">DK31</f>
        <v>21</v>
      </c>
      <c r="EQ31" s="473" t="n">
        <f aca="false">O29*$EP31</f>
        <v>577.5</v>
      </c>
      <c r="ER31" s="473" t="n">
        <f aca="false">P29*$EP31</f>
        <v>609</v>
      </c>
      <c r="ES31" s="439" t="n">
        <f aca="false">IF(YEAR($EO31)=2000,EP31,0)</f>
        <v>0</v>
      </c>
      <c r="ET31" s="439" t="n">
        <f aca="false">IF(YEAR($EO31)=2000,EQ31,0)</f>
        <v>0</v>
      </c>
      <c r="EU31" s="439" t="n">
        <f aca="false">IF(YEAR($EO31)=2000,ER31,0)</f>
        <v>0</v>
      </c>
    </row>
    <row r="32" customFormat="false" ht="18" hidden="false" customHeight="false" outlineLevel="0" collapsed="false">
      <c r="A32" s="95" t="n">
        <f aca="false">[1]Cinergy!$D54</f>
        <v>37773</v>
      </c>
      <c r="B32" s="122" t="n">
        <f aca="false">[1]Cinergy!$O54</f>
        <v>-62318.49609375</v>
      </c>
      <c r="C32" s="163" t="n">
        <f aca="false">B32/(CE32*CD32)</f>
        <v>-199.728638511107</v>
      </c>
      <c r="D32" s="496" t="n">
        <f aca="false">BY32+IF(YEAR(A32)=$T$20,$BY$48,0)+IF(YEAR(A32)=$T$21,$BY$49,0)+IF(YEAR(A32)=$T$22,$BY$50,0)</f>
        <v>0</v>
      </c>
      <c r="E32" s="163" t="n">
        <f aca="false">B32+(D32*CD32*CE32)</f>
        <v>-62318.49609375</v>
      </c>
      <c r="F32" s="497" t="n">
        <f aca="false">C32+D32</f>
        <v>-199.728638511107</v>
      </c>
      <c r="G32" s="498" t="n">
        <f aca="false">[1]Cinergy!$E54</f>
        <v>40.375</v>
      </c>
      <c r="H32" s="498" t="n">
        <f aca="false">IF($R$9,R32,Q32)</f>
        <v>-0.5</v>
      </c>
      <c r="I32" s="499" t="n">
        <f aca="false">G32+H32</f>
        <v>39.875</v>
      </c>
      <c r="J32" s="122" t="n">
        <f aca="false">H32*B32</f>
        <v>31159.248046875</v>
      </c>
      <c r="K32" s="123" t="n">
        <f aca="false">(((I32-AL32)*AK32+(I32-AN32)*AM32+(I32-AP32)*AO32+(I32-AR32)*AQ32+(I32-AT32)*AS32+(I32-AV32)*AU32+(I32-AX32)*AW32+(I32-AZ32)*AY32+(I32-BB32)*BA32+(I32-BD32)*BC32+(I32-BF32)*BE32+(I32-BH32)*BG32+(I32-BJ32)*BI32+(I32-BL32)*BK32+(I32-BN32)*BM32+(I32-BP32)*BO32+(I32-BR32)*BQ32+(I32-BT32)*BS32+(I32-BV32)*BU32+(I32-BX32)*BW32)*CD32*CE32)+CG32+CH32+CI32</f>
        <v>0</v>
      </c>
      <c r="L32" s="123" t="n">
        <f aca="false">J32+K32</f>
        <v>31159.248046875</v>
      </c>
      <c r="M32" s="549"/>
      <c r="N32" s="500" t="n">
        <f aca="false">A32</f>
        <v>37773</v>
      </c>
      <c r="O32" s="501" t="n">
        <v>24.5</v>
      </c>
      <c r="P32" s="501" t="n">
        <v>25</v>
      </c>
      <c r="Q32" s="502" t="n">
        <f aca="false">AVERAGE(O32:P32)-G32</f>
        <v>-15.625</v>
      </c>
      <c r="R32" s="503" t="n">
        <f aca="false">+Master!L43</f>
        <v>-0.5</v>
      </c>
      <c r="S32" s="542" t="n">
        <f aca="false">I32</f>
        <v>39.875</v>
      </c>
      <c r="T32" s="505" t="n">
        <f aca="false">IF(U31=4,T31+1,T31)</f>
        <v>2003</v>
      </c>
      <c r="U32" s="506" t="n">
        <f aca="false">IF(U31=4,1,U31+1)</f>
        <v>1</v>
      </c>
      <c r="V32" s="579" t="str">
        <f aca="false">V17</f>
        <v>Q1 2003</v>
      </c>
      <c r="W32" s="579" t="n">
        <f aca="false" t="array" ref="W32:W32">SUM(IF((INT((MONTH($A$12:$A$47)-1)/3)=$U32-1)*(YEAR($A$12:$A$47)=$T32),$F$12:$F$47))</f>
        <v>-3695.66922406108</v>
      </c>
      <c r="X32" s="580" t="n">
        <f aca="false" t="array" ref="X32:X32">SUM(IF((INT((MONTH($A$12:$A$47)-1)/3)=$U32-1)*(YEAR($A$12:$A$47)=$T32),$E$12:$E$47))</f>
        <v>-1171592.09375</v>
      </c>
      <c r="Y32" s="46"/>
      <c r="Z32" s="581" t="n">
        <f aca="false">A18</f>
        <v>37347</v>
      </c>
      <c r="AA32" s="582" t="n">
        <f aca="false">I18</f>
        <v>27.9697678144588</v>
      </c>
      <c r="AB32" s="583" t="n">
        <f aca="false">F18</f>
        <v>20.9169396080429</v>
      </c>
      <c r="AC32" s="584" t="n">
        <f aca="false">F62</f>
        <v>-169.985861096843</v>
      </c>
      <c r="AD32" s="584" t="n">
        <f aca="false">AC32+AB32</f>
        <v>-149.0689214888</v>
      </c>
      <c r="AE32" s="46"/>
      <c r="AF32" s="46"/>
      <c r="AG32" s="46"/>
      <c r="AH32" s="46"/>
      <c r="AI32" s="46"/>
      <c r="AJ32" s="512" t="n">
        <f aca="false">A32</f>
        <v>37773</v>
      </c>
      <c r="AK32" s="513"/>
      <c r="AL32" s="514"/>
      <c r="AM32" s="513"/>
      <c r="AN32" s="514"/>
      <c r="AO32" s="513"/>
      <c r="AP32" s="514"/>
      <c r="AQ32" s="513"/>
      <c r="AR32" s="514"/>
      <c r="AS32" s="515"/>
      <c r="AT32" s="516"/>
      <c r="AU32" s="550" t="n">
        <f aca="false">+AU31</f>
        <v>0</v>
      </c>
      <c r="AV32" s="551" t="n">
        <f aca="false">+AV31</f>
        <v>0</v>
      </c>
      <c r="AW32" s="550" t="n">
        <f aca="false">+AW31</f>
        <v>0</v>
      </c>
      <c r="AX32" s="551" t="n">
        <f aca="false">+AX31</f>
        <v>0</v>
      </c>
      <c r="AY32" s="550"/>
      <c r="AZ32" s="551"/>
      <c r="BA32" s="550"/>
      <c r="BB32" s="551"/>
      <c r="BC32" s="513"/>
      <c r="BD32" s="514"/>
      <c r="BE32" s="513"/>
      <c r="BF32" s="514"/>
      <c r="BG32" s="513"/>
      <c r="BH32" s="514"/>
      <c r="BI32" s="520"/>
      <c r="BJ32" s="517"/>
      <c r="BK32" s="520"/>
      <c r="BL32" s="517"/>
      <c r="BM32" s="520"/>
      <c r="BN32" s="517"/>
      <c r="BO32" s="520"/>
      <c r="BP32" s="517"/>
      <c r="BQ32" s="520"/>
      <c r="BR32" s="517"/>
      <c r="BS32" s="520"/>
      <c r="BT32" s="517"/>
      <c r="BU32" s="520"/>
      <c r="BV32" s="517"/>
      <c r="BW32" s="520"/>
      <c r="BX32" s="517"/>
      <c r="BY32" s="556" t="n">
        <f aca="false">AK32+AM32+AO32+AQ32+AS32+AU32+AW32+AY32+BA32+BC32+BE32+BG32+BI32+BK32+BM32+BO32+BQ32+BS32+BU32+BW32</f>
        <v>0</v>
      </c>
      <c r="BZ32" s="524" t="n">
        <f aca="false">IF(AND(BY32=0,CC32=0),0,(ABS(AK32)*AL32+ABS(AM32)*AN32+ABS(AO32)*AP32+ABS(AQ32)*AR32+ABS(AS32)*AT32+ABS(AU32)*AV32+ABS(AW32)*AX32+ABS(AY32)*AZ32+ABS(BA32)*BB32+ABS(BC32)*BD32+ABS(BE32)*BF32+ABS(BG32)*BH32+ABS(BI32)*BJ32+ABS(BK32)*BL32+ABS(BM32)*BN32+ABS(BO32)*BP32+ABS(BQ32)*BR32+ABS(BS32)*BT32+ABS(BU32)*BV32+ABS(BW32)*BX32)/CC32)</f>
        <v>0</v>
      </c>
      <c r="CB32" s="525" t="n">
        <f aca="false">AJ32</f>
        <v>37773</v>
      </c>
      <c r="CC32" s="222" t="n">
        <f aca="false">ABS(AK32)+ABS(AM32)+ABS(AO32)+ABS(AQ32)+ABS(AS32)+ABS(AU32)+ABS(AW32)+ABS(AY32)+ABS(BA32)+ABS(BC32)+ABS(BE32)+ABS(BG32)+ABS(BI32)+ABS(BK32)+ABS(BM32)+ABS(BO32)+ABS(BQ32)+ABS(BS32)+ABS(BU32)+ABS(BW32)</f>
        <v>0</v>
      </c>
      <c r="CD32" s="526" t="n">
        <f aca="false">16*DK32</f>
        <v>336</v>
      </c>
      <c r="CE32" s="222" t="n">
        <f aca="false">VLOOKUP(A32,Interest!$X$8:$AC$367,6)</f>
        <v>0.92861852935736</v>
      </c>
      <c r="CF32" s="527" t="n">
        <f aca="false">E32-B32</f>
        <v>0</v>
      </c>
      <c r="CG32" s="527" t="n">
        <f aca="false">IF(YEAR($AJ32)=$CG$10,(($I32-$AL$48)*$AK$48+($I32-$AN$48)*$AM$48+($I32-$AP$48)*$AO$48+($I32-$AR$48)*$AQ$48+($I32-$AT$48)*$AS$48+($I32-$AV$48)*$AU$48+($I32-$AX$48)*$AW$48+($I32-$AZ$48)*$AY$48+($I32-$BB$48)*$BA$48+($I32-$BD$48)*$BC$48+($I32-$BF$48)*$BE$48+($I32-$BH$48)*$BG$48+($I32-$BJ$48)*$BI$48+($I32-$BL$48)*$BK$48+($I32-$BN$48)*$BM$48+($I32-$BP$48)*$BO$48+($I32-$BR$48)*$BQ$48+($I32-$BT$48)*$BS$48+($I32-$BV$48)*$BU$48+($I32-$BX$48)*$BW$48)*$CD32*$CE32,0)</f>
        <v>0</v>
      </c>
      <c r="CH32" s="527" t="n">
        <f aca="false">IF(YEAR($AJ32)=$CH$10,(($I32-$AL$49)*$AK$49+($I32-$AN$49)*$AM$49+($I32-$AP$49)*$AO$49+($I32-$AR$49)*$AQ$49+($I32-$AT$49)*$AS$49+($I32-$AV$49)*$AU$49+($I32-$AX$49)*$AW$49+($I32-$AZ$49)*$AY$49+($I32-$BB$49)*$BA$49+($I32-$BD$49)*$BC$49+($I32-$BF$49)*$BE$49+($I32-$BH$49)*$BG$49+($I32-$BJ$49)*$BI$49+($I32-$BL$49)*$BK$49+($I32-$BN$49)*$BM$49+($I32-$BP$49)*$BO$49+($I32-$BR$49)*$BQ$49+($I32-$BT$49)*$BS$49+($I32-$BV$49)*$BU$49+($I32-$BX$49)*$BW$49)*$CD32*$CE32,0)</f>
        <v>0</v>
      </c>
      <c r="CI32" s="527" t="n">
        <f aca="false">IF(YEAR($AJ32)=$CI$10,(($I32-$AL$50)*$AK$50+($I32-$AN$50)*$AM$50+($I32-$AP$50)*$AO$50+($I32-$AR$50)*$AQ$50+($I32-$AT$50)*$AS$50+($I32-$AV$50)*$AU$50+($I32-$AX$50)*$AW$50+($I32-$AZ$50)*$AY$50+($I32-$BB$50)*$BA$50+($I32-$BD$50)*$BC$50+($I32-$BF$50)*$BE$50+($I32-$BH$50)*$BG$50+($I32-$BJ$50)*$BI$50+($I32-$BL$50)*$BK$50+($I32-$BN$50)*$BM$50+($I32-$BP$50)*$BO$50+($I32-$BR$50)*$BQ$50+($I32-$BT$50)*$BS$50+($I32-$BV$50)*$BU$50+($I32-$BX$50)*$BW$50)*$CD32*$CE32,0)</f>
        <v>0</v>
      </c>
      <c r="CJ32" s="439" t="n">
        <f aca="false">CC32*CD32</f>
        <v>0</v>
      </c>
      <c r="CK32" s="528"/>
      <c r="CL32" s="553" t="n">
        <v>9.1</v>
      </c>
      <c r="CM32" s="530" t="n">
        <f aca="false">+CF32*CL32/10000</f>
        <v>0</v>
      </c>
      <c r="CN32" s="439" t="n">
        <f aca="false">DDE("TWINDDE","RSFRecord","NGZ2 CLS")</f>
        <v>3.478</v>
      </c>
      <c r="CO32" s="439" t="n">
        <f aca="false">+CN32-CN31</f>
        <v>0.161</v>
      </c>
      <c r="CW32" s="439" t="n">
        <v>35.54</v>
      </c>
      <c r="CX32" s="439" t="n">
        <v>3.72</v>
      </c>
      <c r="CY32" s="528" t="n">
        <f aca="false">+CW32/CX32</f>
        <v>9.55376344086021</v>
      </c>
      <c r="DJ32" s="532" t="n">
        <f aca="false">[1]Cinergy!$D54</f>
        <v>37773</v>
      </c>
      <c r="DK32" s="440" t="n">
        <f aca="false">VLOOKUP(DJ32,DL32:DM273,2)</f>
        <v>21</v>
      </c>
      <c r="DL32" s="533" t="n">
        <v>36342</v>
      </c>
      <c r="DM32" s="459" t="n">
        <v>21</v>
      </c>
      <c r="DP32" s="534" t="n">
        <f aca="false">[1]Cinergy!$D23</f>
        <v>37162</v>
      </c>
      <c r="DQ32" s="234" t="n">
        <f aca="false">[1]OPPD_NPPD!$O23+[1]NSP!$O23</f>
        <v>1593.04296875</v>
      </c>
      <c r="DR32" s="234" t="n">
        <f aca="false">[1]COMED!$O23</f>
        <v>15930.4296875</v>
      </c>
      <c r="DS32" s="234" t="n">
        <f aca="false">DQ32+DR32</f>
        <v>17523.47265625</v>
      </c>
      <c r="DT32" s="234" t="n">
        <f aca="false">SUM([1]OPPD_NPPD!$P23:$R23)+SUM([1]NSP!$P23:$R23)</f>
        <v>0</v>
      </c>
      <c r="DU32" s="234" t="n">
        <f aca="false">SUM([1]COMED!$P23:$R23)</f>
        <v>-796.521484375</v>
      </c>
      <c r="DV32" s="234" t="n">
        <f aca="false">DT32+DU32</f>
        <v>-796.521484375</v>
      </c>
      <c r="DW32" s="535"/>
      <c r="DX32" s="536" t="n">
        <f aca="false">[1]OtherPosn!$D23</f>
        <v>37152</v>
      </c>
      <c r="DY32" s="234" t="n">
        <f aca="false">[1]OtherPosn!$N23</f>
        <v>-10354.779296875</v>
      </c>
      <c r="DZ32" s="234" t="n">
        <f aca="false">SUM([1]OtherPosn!$O23:$P23)</f>
        <v>0</v>
      </c>
      <c r="EO32" s="532" t="n">
        <f aca="false">DJ32</f>
        <v>37773</v>
      </c>
      <c r="EP32" s="234" t="n">
        <f aca="false">DK32</f>
        <v>21</v>
      </c>
      <c r="EQ32" s="473" t="n">
        <f aca="false">O30*$EP32</f>
        <v>577.5</v>
      </c>
      <c r="ER32" s="473" t="n">
        <f aca="false">P30*$EP32</f>
        <v>609</v>
      </c>
      <c r="ES32" s="439" t="n">
        <f aca="false">IF(YEAR($EO32)=2000,EP32,0)</f>
        <v>0</v>
      </c>
      <c r="ET32" s="439" t="n">
        <f aca="false">IF(YEAR($EO32)=2000,EQ32,0)</f>
        <v>0</v>
      </c>
      <c r="EU32" s="439" t="n">
        <f aca="false">IF(YEAR($EO32)=2000,ER32,0)</f>
        <v>0</v>
      </c>
    </row>
    <row r="33" customFormat="false" ht="18" hidden="false" customHeight="true" outlineLevel="0" collapsed="false">
      <c r="A33" s="537" t="n">
        <f aca="false">[1]Cinergy!$D55</f>
        <v>37803</v>
      </c>
      <c r="B33" s="180" t="n">
        <f aca="false">[1]Cinergy!$O55</f>
        <v>-2715.5859375</v>
      </c>
      <c r="C33" s="538" t="n">
        <f aca="false">B33/(CE33*CD33)</f>
        <v>-8.34301797676985</v>
      </c>
      <c r="D33" s="538" t="n">
        <f aca="false">BY33+IF(YEAR(A33)=$T$20,$BY$48,0)+IF(YEAR(A33)=$T$21,$BY$49,0)+IF(YEAR(A33)=$T$22,$BY$50,0)</f>
        <v>0</v>
      </c>
      <c r="E33" s="160" t="n">
        <f aca="false">B33+(D33*CD33*CE33)</f>
        <v>-2715.5859375</v>
      </c>
      <c r="F33" s="539" t="n">
        <f aca="false">C33+D33</f>
        <v>-8.34301797676985</v>
      </c>
      <c r="G33" s="540" t="n">
        <f aca="false">[1]Cinergy!$E55</f>
        <v>50.125</v>
      </c>
      <c r="H33" s="498" t="n">
        <f aca="false">IF($R$9,R33,Q33)</f>
        <v>-0.5</v>
      </c>
      <c r="I33" s="541" t="n">
        <f aca="false">G33+H33</f>
        <v>49.625</v>
      </c>
      <c r="J33" s="160" t="n">
        <f aca="false">H33*B33</f>
        <v>1357.79296875</v>
      </c>
      <c r="K33" s="114" t="n">
        <f aca="false">(((I33-AL33)*AK33+(I33-AN33)*AM33+(I33-AP33)*AO33+(I33-AR33)*AQ33+(I33-AT33)*AS33+(I33-AV33)*AU33+(I33-AX33)*AW33+(I33-AZ33)*AY33+(I33-BB33)*BA33+(I33-BD33)*BC33+(I33-BF33)*BE33+(I33-BH33)*BG33+(I33-BJ33)*BI33+(I33-BL33)*BK33+(I33-BN33)*BM33+(I33-BP33)*BO33+(I33-BR33)*BQ33+(I33-BT33)*BS33+(I33-BV33)*BU33+(I33-BX33)*BW33)*CD33*CE33)+CG33+CH33+CI33</f>
        <v>0</v>
      </c>
      <c r="L33" s="114" t="n">
        <f aca="false">J33+K33</f>
        <v>1357.79296875</v>
      </c>
      <c r="M33" s="585"/>
      <c r="N33" s="512" t="n">
        <f aca="false">A33</f>
        <v>37803</v>
      </c>
      <c r="O33" s="586" t="n">
        <v>28</v>
      </c>
      <c r="P33" s="586" t="n">
        <v>29</v>
      </c>
      <c r="Q33" s="587" t="n">
        <f aca="false">AVERAGE(O33:P33)-G33</f>
        <v>-21.625</v>
      </c>
      <c r="R33" s="503" t="n">
        <f aca="false">+Master!L44</f>
        <v>-0.5</v>
      </c>
      <c r="S33" s="588" t="n">
        <f aca="false">I33</f>
        <v>49.625</v>
      </c>
      <c r="T33" s="505" t="n">
        <f aca="false">IF(U32=4,T32+1,T32)</f>
        <v>2003</v>
      </c>
      <c r="U33" s="506" t="n">
        <f aca="false">IF(U32=4,1,U32+1)</f>
        <v>2</v>
      </c>
      <c r="V33" s="575" t="str">
        <f aca="false">V18</f>
        <v>Q2 2003</v>
      </c>
      <c r="W33" s="575" t="n">
        <f aca="false" t="array" ref="W33:W33">SUM(IF((INT((MONTH($A$12:$A$47)-1)/3)=$U33-1)*(YEAR($A$12:$A$47)=$T33),$F$12:$F$47))</f>
        <v>-2534.24330079457</v>
      </c>
      <c r="X33" s="576" t="n">
        <f aca="false" t="array" ref="X33:X33">SUM(IF((INT((MONTH($A$12:$A$47)-1)/3)=$U33-1)*(YEAR($A$12:$A$47)=$T33),$E$12:$E$47))</f>
        <v>-814817.37109375</v>
      </c>
      <c r="Y33" s="47"/>
      <c r="Z33" s="577" t="n">
        <f aca="false">A19</f>
        <v>37377</v>
      </c>
      <c r="AA33" s="578" t="n">
        <f aca="false">I19</f>
        <v>31.25</v>
      </c>
      <c r="AB33" s="579" t="n">
        <f aca="false">F19</f>
        <v>-487.153688222772</v>
      </c>
      <c r="AC33" s="579" t="n">
        <f aca="false">F63</f>
        <v>-419.945370690383</v>
      </c>
      <c r="AD33" s="579" t="n">
        <f aca="false">AC33+AB33</f>
        <v>-907.099058913155</v>
      </c>
      <c r="AE33" s="47"/>
      <c r="AF33" s="47"/>
      <c r="AG33" s="47"/>
      <c r="AH33" s="47"/>
      <c r="AI33" s="47"/>
      <c r="AJ33" s="512" t="n">
        <f aca="false">A33</f>
        <v>37803</v>
      </c>
      <c r="AK33" s="513"/>
      <c r="AL33" s="514"/>
      <c r="AM33" s="513"/>
      <c r="AN33" s="514"/>
      <c r="AO33" s="513"/>
      <c r="AP33" s="514"/>
      <c r="AQ33" s="513"/>
      <c r="AR33" s="514"/>
      <c r="AS33" s="515"/>
      <c r="AT33" s="516"/>
      <c r="AU33" s="550" t="n">
        <f aca="false">+AU32</f>
        <v>0</v>
      </c>
      <c r="AV33" s="551" t="n">
        <f aca="false">+AV32</f>
        <v>0</v>
      </c>
      <c r="AW33" s="550" t="n">
        <f aca="false">+AW32</f>
        <v>0</v>
      </c>
      <c r="AX33" s="551" t="n">
        <f aca="false">+AX32</f>
        <v>0</v>
      </c>
      <c r="AY33" s="550"/>
      <c r="AZ33" s="551"/>
      <c r="BA33" s="550"/>
      <c r="BB33" s="551"/>
      <c r="BC33" s="513"/>
      <c r="BD33" s="514"/>
      <c r="BE33" s="513"/>
      <c r="BF33" s="514"/>
      <c r="BG33" s="513"/>
      <c r="BH33" s="514"/>
      <c r="BI33" s="589"/>
      <c r="BJ33" s="590"/>
      <c r="BK33" s="589"/>
      <c r="BL33" s="590"/>
      <c r="BM33" s="589"/>
      <c r="BN33" s="590"/>
      <c r="BO33" s="589"/>
      <c r="BP33" s="590"/>
      <c r="BQ33" s="589"/>
      <c r="BR33" s="590"/>
      <c r="BS33" s="589"/>
      <c r="BT33" s="590"/>
      <c r="BU33" s="589"/>
      <c r="BV33" s="590"/>
      <c r="BW33" s="589"/>
      <c r="BX33" s="590"/>
      <c r="BY33" s="591" t="n">
        <f aca="false">AK33+AM33+AO33+AQ33+AS33+AU33+AW33+AY33+BA33+BC33+BE33+BG33+BI33+BK33+BM33+BO33+BQ33+BS33+BU33+BW33</f>
        <v>0</v>
      </c>
      <c r="BZ33" s="592" t="n">
        <f aca="false">IF(AND(BY33=0,CC33=0),0,(ABS(AK33)*AL33+ABS(AM33)*AN33+ABS(AO33)*AP33+ABS(AQ33)*AR33+ABS(AS33)*AT33+ABS(AU33)*AV33+ABS(AW33)*AX33+ABS(AY33)*AZ33+ABS(BA33)*BB33+ABS(BC33)*BD33+ABS(BE33)*BF33+ABS(BG33)*BH33+ABS(BI33)*BJ33+ABS(BK33)*BL33+ABS(BM33)*BN33+ABS(BO33)*BP33+ABS(BQ33)*BR33+ABS(BS33)*BT33+ABS(BU33)*BV33+ABS(BW33)*BX33)/CC33)</f>
        <v>0</v>
      </c>
      <c r="CA33" s="440"/>
      <c r="CB33" s="593" t="n">
        <f aca="false">AJ33</f>
        <v>37803</v>
      </c>
      <c r="CC33" s="594" t="n">
        <f aca="false">ABS(AK33)+ABS(AM33)+ABS(AO33)+ABS(AQ33)+ABS(AS33)+ABS(AU33)+ABS(AW33)+ABS(AY33)+ABS(BA33)+ABS(BC33)+ABS(BE33)+ABS(BG33)+ABS(BI33)+ABS(BK33)+ABS(BM33)+ABS(BO33)+ABS(BQ33)+ABS(BS33)+ABS(BU33)+ABS(BW33)</f>
        <v>0</v>
      </c>
      <c r="CD33" s="526" t="n">
        <f aca="false">16*DK33</f>
        <v>352</v>
      </c>
      <c r="CE33" s="594" t="n">
        <f aca="false">VLOOKUP(A33,Interest!$X$8:$AC$367,6)</f>
        <v>0.924693294257474</v>
      </c>
      <c r="CF33" s="595" t="n">
        <f aca="false">E33-B33</f>
        <v>0</v>
      </c>
      <c r="CG33" s="595" t="n">
        <f aca="false">IF(YEAR($AJ33)=$CG$10,(($I33-$AL$48)*$AK$48+($I33-$AN$48)*$AM$48+($I33-$AP$48)*$AO$48+($I33-$AR$48)*$AQ$48+($I33-$AT$48)*$AS$48+($I33-$AV$48)*$AU$48+($I33-$AX$48)*$AW$48+($I33-$AZ$48)*$AY$48+($I33-$BB$48)*$BA$48+($I33-$BD$48)*$BC$48+($I33-$BF$48)*$BE$48+($I33-$BH$48)*$BG$48+($I33-$BJ$48)*$BI$48+($I33-$BL$48)*$BK$48+($I33-$BN$48)*$BM$48+($I33-$BP$48)*$BO$48+($I33-$BR$48)*$BQ$48+($I33-$BT$48)*$BS$48+($I33-$BV$48)*$BU$48+($I33-$BX$48)*$BW$48)*$CD33*$CE33,0)</f>
        <v>0</v>
      </c>
      <c r="CH33" s="595" t="n">
        <f aca="false">IF(YEAR($AJ33)=$CH$10,(($I33-$AL$49)*$AK$49+($I33-$AN$49)*$AM$49+($I33-$AP$49)*$AO$49+($I33-$AR$49)*$AQ$49+($I33-$AT$49)*$AS$49+($I33-$AV$49)*$AU$49+($I33-$AX$49)*$AW$49+($I33-$AZ$49)*$AY$49+($I33-$BB$49)*$BA$49+($I33-$BD$49)*$BC$49+($I33-$BF$49)*$BE$49+($I33-$BH$49)*$BG$49+($I33-$BJ$49)*$BI$49+($I33-$BL$49)*$BK$49+($I33-$BN$49)*$BM$49+($I33-$BP$49)*$BO$49+($I33-$BR$49)*$BQ$49+($I33-$BT$49)*$BS$49+($I33-$BV$49)*$BU$49+($I33-$BX$49)*$BW$49)*$CD33*$CE33,0)</f>
        <v>0</v>
      </c>
      <c r="CI33" s="595" t="n">
        <f aca="false">IF(YEAR($AJ33)=$CI$10,(($I33-$AL$50)*$AK$50+($I33-$AN$50)*$AM$50+($I33-$AP$50)*$AO$50+($I33-$AR$50)*$AQ$50+($I33-$AT$50)*$AS$50+($I33-$AV$50)*$AU$50+($I33-$AX$50)*$AW$50+($I33-$AZ$50)*$AY$50+($I33-$BB$50)*$BA$50+($I33-$BD$50)*$BC$50+($I33-$BF$50)*$BE$50+($I33-$BH$50)*$BG$50+($I33-$BJ$50)*$BI$50+($I33-$BL$50)*$BK$50+($I33-$BN$50)*$BM$50+($I33-$BP$50)*$BO$50+($I33-$BR$50)*$BQ$50+($I33-$BT$50)*$BS$50+($I33-$BV$50)*$BU$50+($I33-$BX$50)*$BW$50)*$CD33*$CE33,0)</f>
        <v>0</v>
      </c>
      <c r="CJ33" s="440" t="n">
        <f aca="false">CC33*CD33</f>
        <v>0</v>
      </c>
      <c r="CK33" s="596"/>
      <c r="CL33" s="596" t="n">
        <v>11.95</v>
      </c>
      <c r="CM33" s="530" t="n">
        <f aca="false">+CF33*CL33/10000</f>
        <v>0</v>
      </c>
      <c r="CN33" s="440"/>
      <c r="CO33" s="440"/>
      <c r="CP33" s="440"/>
      <c r="CQ33" s="440"/>
      <c r="CR33" s="440"/>
      <c r="CS33" s="440"/>
      <c r="CT33" s="440"/>
      <c r="CU33" s="440"/>
      <c r="CV33" s="440"/>
      <c r="CW33" s="440" t="n">
        <v>36.44</v>
      </c>
      <c r="CX33" s="440" t="n">
        <v>3.78</v>
      </c>
      <c r="CY33" s="528" t="n">
        <f aca="false">+CW33/CX33</f>
        <v>9.64021164021164</v>
      </c>
      <c r="CZ33" s="440"/>
      <c r="DA33" s="440"/>
      <c r="DB33" s="440"/>
      <c r="DC33" s="440"/>
      <c r="DD33" s="440"/>
      <c r="DE33" s="440"/>
      <c r="DF33" s="440"/>
      <c r="DG33" s="440"/>
      <c r="DH33" s="440"/>
      <c r="DI33" s="440"/>
      <c r="DJ33" s="597" t="n">
        <f aca="false">[1]Cinergy!$D55</f>
        <v>37803</v>
      </c>
      <c r="DK33" s="440" t="n">
        <f aca="false">VLOOKUP(DJ33,DL33:DM274,2)</f>
        <v>22</v>
      </c>
      <c r="DL33" s="533" t="n">
        <v>36373</v>
      </c>
      <c r="DM33" s="459" t="n">
        <v>22</v>
      </c>
      <c r="DN33" s="440"/>
      <c r="DO33" s="440"/>
      <c r="DP33" s="534" t="n">
        <f aca="false">[1]Cinergy!$D24</f>
        <v>37163</v>
      </c>
      <c r="DQ33" s="234" t="n">
        <f aca="false">[1]OPPD_NPPD!$O24+[1]NSP!$O24</f>
        <v>0</v>
      </c>
      <c r="DR33" s="234" t="n">
        <f aca="false">[1]COMED!$O24</f>
        <v>0</v>
      </c>
      <c r="DS33" s="234" t="n">
        <f aca="false">DQ33+DR33</f>
        <v>0</v>
      </c>
      <c r="DT33" s="234" t="n">
        <f aca="false">SUM([1]OPPD_NPPD!$P24:$R24)+SUM([1]NSP!$P24:$R24)</f>
        <v>0</v>
      </c>
      <c r="DU33" s="234" t="n">
        <f aca="false">SUM([1]COMED!$P24:$R24)</f>
        <v>-2389.564453125</v>
      </c>
      <c r="DV33" s="234" t="n">
        <f aca="false">DT33+DU33</f>
        <v>-2389.564453125</v>
      </c>
      <c r="DW33" s="598"/>
      <c r="DX33" s="536" t="n">
        <f aca="false">[1]OtherPosn!$D24</f>
        <v>37153</v>
      </c>
      <c r="DY33" s="234" t="n">
        <f aca="false">[1]OtherPosn!$N24</f>
        <v>-10354.779296875</v>
      </c>
      <c r="DZ33" s="234" t="n">
        <f aca="false">SUM([1]OtherPosn!$O24:$P24)</f>
        <v>0</v>
      </c>
      <c r="EA33" s="440"/>
      <c r="EB33" s="440"/>
      <c r="EC33" s="440"/>
      <c r="ED33" s="440"/>
      <c r="EE33" s="440"/>
      <c r="EF33" s="440"/>
      <c r="EG33" s="440"/>
      <c r="EH33" s="440"/>
      <c r="EI33" s="440"/>
      <c r="EJ33" s="440"/>
      <c r="EK33" s="440"/>
      <c r="EL33" s="440"/>
      <c r="EM33" s="440"/>
      <c r="EN33" s="440"/>
      <c r="EO33" s="597" t="n">
        <f aca="false">DJ33</f>
        <v>37803</v>
      </c>
      <c r="EP33" s="234" t="n">
        <f aca="false">DK33</f>
        <v>22</v>
      </c>
      <c r="EQ33" s="473" t="n">
        <f aca="false">O33*$EP33</f>
        <v>616</v>
      </c>
      <c r="ER33" s="473" t="n">
        <f aca="false">P33*$EP33</f>
        <v>638</v>
      </c>
      <c r="ES33" s="440" t="n">
        <f aca="false">IF(YEAR($EO33)=2000,EP33,0)</f>
        <v>0</v>
      </c>
      <c r="ET33" s="440" t="n">
        <f aca="false">IF(YEAR($EO33)=2000,EQ33,0)</f>
        <v>0</v>
      </c>
      <c r="EU33" s="440" t="n">
        <f aca="false">IF(YEAR($EO33)=2000,ER33,0)</f>
        <v>0</v>
      </c>
      <c r="EV33" s="440"/>
      <c r="EW33" s="440"/>
      <c r="EX33" s="440"/>
      <c r="EY33" s="440"/>
      <c r="EZ33" s="440"/>
      <c r="FA33" s="440"/>
      <c r="FB33" s="440"/>
      <c r="FC33" s="440"/>
      <c r="FD33" s="440"/>
      <c r="FE33" s="440"/>
      <c r="FF33" s="440"/>
      <c r="FG33" s="440"/>
      <c r="FH33" s="440"/>
      <c r="FI33" s="440"/>
      <c r="FJ33" s="440"/>
      <c r="FK33" s="440"/>
      <c r="FL33" s="440"/>
      <c r="FM33" s="440"/>
      <c r="FN33" s="440"/>
      <c r="FO33" s="440"/>
      <c r="FP33" s="440"/>
      <c r="FQ33" s="440"/>
      <c r="FR33" s="440"/>
      <c r="FS33" s="440"/>
      <c r="FT33" s="440"/>
      <c r="FU33" s="440"/>
      <c r="FV33" s="440"/>
      <c r="FW33" s="440"/>
      <c r="FX33" s="440"/>
      <c r="FY33" s="440"/>
      <c r="FZ33" s="440"/>
      <c r="GA33" s="440"/>
      <c r="GB33" s="440"/>
      <c r="GC33" s="440"/>
      <c r="GD33" s="440"/>
      <c r="GE33" s="440"/>
      <c r="GF33" s="440"/>
      <c r="GG33" s="440"/>
      <c r="GH33" s="440"/>
      <c r="GI33" s="440"/>
      <c r="GJ33" s="440"/>
      <c r="GK33" s="440"/>
      <c r="GL33" s="440"/>
      <c r="GM33" s="440"/>
      <c r="GN33" s="440"/>
      <c r="GO33" s="440"/>
      <c r="GP33" s="440"/>
      <c r="GQ33" s="440"/>
      <c r="GR33" s="440"/>
      <c r="GS33" s="440"/>
      <c r="GT33" s="440"/>
      <c r="GU33" s="440"/>
      <c r="GV33" s="440"/>
      <c r="GW33" s="440"/>
      <c r="GX33" s="440"/>
      <c r="GY33" s="440"/>
      <c r="GZ33" s="440"/>
      <c r="HA33" s="440"/>
      <c r="HB33" s="440"/>
      <c r="HC33" s="440"/>
      <c r="HD33" s="440"/>
      <c r="HE33" s="440"/>
      <c r="HF33" s="440"/>
      <c r="HG33" s="440"/>
      <c r="HH33" s="440"/>
      <c r="HI33" s="440"/>
      <c r="HJ33" s="440"/>
      <c r="HK33" s="440"/>
      <c r="HL33" s="440"/>
      <c r="HM33" s="440"/>
      <c r="HN33" s="440"/>
      <c r="HO33" s="440"/>
      <c r="HP33" s="440"/>
      <c r="HQ33" s="440"/>
      <c r="HR33" s="440"/>
      <c r="HS33" s="440"/>
      <c r="HT33" s="440"/>
      <c r="HU33" s="440"/>
      <c r="HV33" s="440"/>
      <c r="HW33" s="440"/>
      <c r="HX33" s="440"/>
      <c r="HY33" s="440"/>
      <c r="HZ33" s="440"/>
      <c r="IA33" s="440"/>
      <c r="IB33" s="440"/>
      <c r="IC33" s="440"/>
      <c r="ID33" s="440"/>
      <c r="IE33" s="440"/>
      <c r="IF33" s="440"/>
      <c r="IG33" s="440"/>
      <c r="IH33" s="440"/>
      <c r="II33" s="440"/>
      <c r="IJ33" s="440"/>
      <c r="IK33" s="440"/>
      <c r="IL33" s="440"/>
      <c r="IM33" s="440"/>
      <c r="IN33" s="440"/>
      <c r="IO33" s="440"/>
      <c r="IP33" s="440"/>
      <c r="IQ33" s="440"/>
      <c r="IR33" s="440"/>
      <c r="IS33" s="440"/>
      <c r="IT33" s="440"/>
      <c r="IU33" s="440"/>
      <c r="IV33" s="440"/>
      <c r="IW33" s="440"/>
    </row>
    <row r="34" customFormat="false" ht="18" hidden="false" customHeight="false" outlineLevel="0" collapsed="false">
      <c r="A34" s="599" t="n">
        <f aca="false">[1]Cinergy!$D56</f>
        <v>37834</v>
      </c>
      <c r="B34" s="600" t="n">
        <f aca="false">[1]Cinergy!$O56</f>
        <v>-10535.326171875</v>
      </c>
      <c r="C34" s="601" t="n">
        <f aca="false">B34/(CE34*CD34)</f>
        <v>-34.0561739679392</v>
      </c>
      <c r="D34" s="601" t="n">
        <f aca="false">BY34+IF(YEAR(A34)=$T$20,$BY$48,0)+IF(YEAR(A34)=$T$21,$BY$49,0)+IF(YEAR(A34)=$T$22,$BY$50,0)</f>
        <v>0</v>
      </c>
      <c r="E34" s="600" t="n">
        <f aca="false">B34+(D34*CD34*CE34)</f>
        <v>-10535.326171875</v>
      </c>
      <c r="F34" s="602" t="n">
        <f aca="false">C34+D34</f>
        <v>-34.0561739679392</v>
      </c>
      <c r="G34" s="603" t="n">
        <f aca="false">[1]Cinergy!$E56</f>
        <v>50.125</v>
      </c>
      <c r="H34" s="498" t="n">
        <f aca="false">IF($R$9,R34,Q34)</f>
        <v>-0.5</v>
      </c>
      <c r="I34" s="604" t="n">
        <f aca="false">G34+H34</f>
        <v>49.625</v>
      </c>
      <c r="J34" s="600" t="n">
        <f aca="false">H34*B34</f>
        <v>5267.6630859375</v>
      </c>
      <c r="K34" s="163" t="n">
        <f aca="false">(((I34-AL34)*AK34+(I34-AN34)*AM34+(I34-AP34)*AO34+(I34-AR34)*AQ34+(I34-AT34)*AS34+(I34-AV34)*AU34+(I34-AX34)*AW34+(I34-AZ34)*AY34+(I34-BB34)*BA34+(I34-BD34)*BC34+(I34-BF34)*BE34+(I34-BH34)*BG34+(I34-BJ34)*BI34+(I34-BL34)*BK34+(I34-BN34)*BM34+(I34-BP34)*BO34+(I34-BR34)*BQ34+(I34-BT34)*BS34+(I34-BV34)*BU34+(I34-BX34)*BW34)*CD34*CE34)+CG34+CH34+CI34</f>
        <v>0</v>
      </c>
      <c r="L34" s="123" t="n">
        <f aca="false">J34+K34</f>
        <v>5267.6630859375</v>
      </c>
      <c r="M34" s="0"/>
      <c r="N34" s="500" t="n">
        <f aca="false">A34</f>
        <v>37834</v>
      </c>
      <c r="O34" s="501" t="n">
        <v>28</v>
      </c>
      <c r="P34" s="501" t="n">
        <v>29</v>
      </c>
      <c r="Q34" s="502" t="n">
        <f aca="false">AVERAGE(O34:P34)-G34</f>
        <v>-21.625</v>
      </c>
      <c r="R34" s="503" t="n">
        <f aca="false">+R33</f>
        <v>-0.5</v>
      </c>
      <c r="S34" s="542" t="n">
        <f aca="false">I34</f>
        <v>49.625</v>
      </c>
      <c r="T34" s="505" t="n">
        <f aca="false">IF(U33=4,T33+1,T33)</f>
        <v>2003</v>
      </c>
      <c r="U34" s="506" t="n">
        <f aca="false">IF(U33=4,1,U33+1)</f>
        <v>3</v>
      </c>
      <c r="V34" s="579" t="str">
        <f aca="false">V19</f>
        <v>Q3 2003</v>
      </c>
      <c r="W34" s="579" t="n">
        <f aca="false" t="array" ref="W34:W34">SUM(IF((INT((MONTH($A$12:$A$47)-1)/3)=$U34-1)*(YEAR($A$12:$A$47)=$T34),$F$12:$F$47))</f>
        <v>-441.80332658118</v>
      </c>
      <c r="X34" s="580" t="n">
        <f aca="false" t="array" ref="X34:X34">SUM(IF((INT((MONTH($A$12:$A$47)-1)/3)=$U34-1)*(YEAR($A$12:$A$47)=$T34),$E$12:$E$47))</f>
        <v>-136276.326171875</v>
      </c>
      <c r="Y34" s="46"/>
      <c r="Z34" s="581" t="n">
        <f aca="false">A20</f>
        <v>37408</v>
      </c>
      <c r="AA34" s="582" t="n">
        <f aca="false">I20</f>
        <v>41</v>
      </c>
      <c r="AB34" s="583" t="n">
        <f aca="false">F20</f>
        <v>-1649.64497299409</v>
      </c>
      <c r="AC34" s="584" t="n">
        <f aca="false">F64</f>
        <v>-199.947397346989</v>
      </c>
      <c r="AD34" s="584" t="n">
        <f aca="false">AC34+AB34</f>
        <v>-1849.59237034108</v>
      </c>
      <c r="AE34" s="46"/>
      <c r="AF34" s="46"/>
      <c r="AG34" s="46"/>
      <c r="AH34" s="46"/>
      <c r="AI34" s="46"/>
      <c r="AJ34" s="512" t="n">
        <f aca="false">A34</f>
        <v>37834</v>
      </c>
      <c r="AK34" s="513" t="n">
        <f aca="false">+AK33</f>
        <v>0</v>
      </c>
      <c r="AL34" s="514" t="n">
        <f aca="false">+AL33</f>
        <v>0</v>
      </c>
      <c r="AM34" s="513" t="n">
        <f aca="false">+AM33</f>
        <v>0</v>
      </c>
      <c r="AN34" s="514" t="n">
        <f aca="false">+AN33</f>
        <v>0</v>
      </c>
      <c r="AO34" s="513" t="n">
        <f aca="false">+AO33</f>
        <v>0</v>
      </c>
      <c r="AP34" s="514" t="n">
        <f aca="false">+AP33</f>
        <v>0</v>
      </c>
      <c r="AQ34" s="513" t="n">
        <f aca="false">+AQ33</f>
        <v>0</v>
      </c>
      <c r="AR34" s="514" t="n">
        <f aca="false">+AR33</f>
        <v>0</v>
      </c>
      <c r="AS34" s="515"/>
      <c r="AT34" s="516"/>
      <c r="AU34" s="550" t="n">
        <f aca="false">+AU33</f>
        <v>0</v>
      </c>
      <c r="AV34" s="551" t="n">
        <f aca="false">+AV33</f>
        <v>0</v>
      </c>
      <c r="AW34" s="550" t="n">
        <f aca="false">+AW33</f>
        <v>0</v>
      </c>
      <c r="AX34" s="551" t="n">
        <f aca="false">+AX33</f>
        <v>0</v>
      </c>
      <c r="AY34" s="550"/>
      <c r="AZ34" s="551"/>
      <c r="BA34" s="550"/>
      <c r="BB34" s="551"/>
      <c r="BC34" s="513"/>
      <c r="BD34" s="514"/>
      <c r="BE34" s="513"/>
      <c r="BF34" s="514"/>
      <c r="BG34" s="513"/>
      <c r="BH34" s="514"/>
      <c r="BI34" s="520"/>
      <c r="BJ34" s="517"/>
      <c r="BK34" s="520"/>
      <c r="BL34" s="517"/>
      <c r="BM34" s="520"/>
      <c r="BN34" s="517"/>
      <c r="BO34" s="520"/>
      <c r="BP34" s="517"/>
      <c r="BQ34" s="520"/>
      <c r="BR34" s="517"/>
      <c r="BS34" s="520"/>
      <c r="BT34" s="517"/>
      <c r="BU34" s="520"/>
      <c r="BV34" s="517"/>
      <c r="BW34" s="520"/>
      <c r="BX34" s="517"/>
      <c r="BY34" s="556" t="n">
        <f aca="false">AK34+AM34+AO34+AQ34+AS34+AU34+AW34+AY34+BA34+BC34+BE34+BG34+BI34+BK34+BM34+BO34+BQ34+BS34+BU34+BW34</f>
        <v>0</v>
      </c>
      <c r="BZ34" s="524" t="n">
        <f aca="false">IF(AND(BY34=0,CC34=0),0,(ABS(AK34)*AL34+ABS(AM34)*AN34+ABS(AO34)*AP34+ABS(AQ34)*AR34+ABS(AS34)*AT34+ABS(AU34)*AV34+ABS(AW34)*AX34+ABS(AY34)*AZ34+ABS(BA34)*BB34+ABS(BC34)*BD34+ABS(BE34)*BF34+ABS(BG34)*BH34+ABS(BI34)*BJ34+ABS(BK34)*BL34+ABS(BM34)*BN34+ABS(BO34)*BP34+ABS(BQ34)*BR34+ABS(BS34)*BT34+ABS(BU34)*BV34+ABS(BW34)*BX34)/CC34)</f>
        <v>0</v>
      </c>
      <c r="CA34" s="222"/>
      <c r="CB34" s="525" t="n">
        <f aca="false">AJ34</f>
        <v>37834</v>
      </c>
      <c r="CC34" s="222" t="n">
        <f aca="false">ABS(AK34)+ABS(AM34)+ABS(AO34)+ABS(AQ34)+ABS(AS34)+ABS(AU34)+ABS(AW34)+ABS(AY34)+ABS(BA34)+ABS(BC34)+ABS(BE34)+ABS(BG34)+ABS(BI34)+ABS(BK34)+ABS(BM34)+ABS(BO34)+ABS(BQ34)+ABS(BS34)+ABS(BU34)+ABS(BW34)</f>
        <v>0</v>
      </c>
      <c r="CD34" s="526" t="n">
        <f aca="false">16*DK34</f>
        <v>336</v>
      </c>
      <c r="CE34" s="222" t="n">
        <f aca="false">VLOOKUP(A34,Interest!$X$8:$AC$367,6)</f>
        <v>0.920688784530308</v>
      </c>
      <c r="CF34" s="527" t="n">
        <f aca="false">E34-B34</f>
        <v>0</v>
      </c>
      <c r="CG34" s="527" t="n">
        <f aca="false">IF(YEAR($AJ34)=$CG$10,(($I34-$AL$48)*$AK$48+($I34-$AN$48)*$AM$48+($I34-$AP$48)*$AO$48+($I34-$AR$48)*$AQ$48+($I34-$AT$48)*$AS$48+($I34-$AV$48)*$AU$48+($I34-$AX$48)*$AW$48+($I34-$AZ$48)*$AY$48+($I34-$BB$48)*$BA$48+($I34-$BD$48)*$BC$48+($I34-$BF$48)*$BE$48+($I34-$BH$48)*$BG$48+($I34-$BJ$48)*$BI$48+($I34-$BL$48)*$BK$48+($I34-$BN$48)*$BM$48+($I34-$BP$48)*$BO$48+($I34-$BR$48)*$BQ$48+($I34-$BT$48)*$BS$48+($I34-$BV$48)*$BU$48+($I34-$BX$48)*$BW$48)*$CD34*$CE34,0)</f>
        <v>0</v>
      </c>
      <c r="CH34" s="527" t="n">
        <f aca="false">IF(YEAR($AJ34)=$CH$10,(($I34-$AL$49)*$AK$49+($I34-$AN$49)*$AM$49+($I34-$AP$49)*$AO$49+($I34-$AR$49)*$AQ$49+($I34-$AT$49)*$AS$49+($I34-$AV$49)*$AU$49+($I34-$AX$49)*$AW$49+($I34-$AZ$49)*$AY$49+($I34-$BB$49)*$BA$49+($I34-$BD$49)*$BC$49+($I34-$BF$49)*$BE$49+($I34-$BH$49)*$BG$49+($I34-$BJ$49)*$BI$49+($I34-$BL$49)*$BK$49+($I34-$BN$49)*$BM$49+($I34-$BP$49)*$BO$49+($I34-$BR$49)*$BQ$49+($I34-$BT$49)*$BS$49+($I34-$BV$49)*$BU$49+($I34-$BX$49)*$BW$49)*$CD34*$CE34,0)</f>
        <v>0</v>
      </c>
      <c r="CI34" s="527" t="n">
        <f aca="false">IF(YEAR($AJ34)=$CI$10,(($I34-$AL$50)*$AK$50+($I34-$AN$50)*$AM$50+($I34-$AP$50)*$AO$50+($I34-$AR$50)*$AQ$50+($I34-$AT$50)*$AS$50+($I34-$AV$50)*$AU$50+($I34-$AX$50)*$AW$50+($I34-$AZ$50)*$AY$50+($I34-$BB$50)*$BA$50+($I34-$BD$50)*$BC$50+($I34-$BF$50)*$BE$50+($I34-$BH$50)*$BG$50+($I34-$BJ$50)*$BI$50+($I34-$BL$50)*$BK$50+($I34-$BN$50)*$BM$50+($I34-$BP$50)*$BO$50+($I34-$BR$50)*$BQ$50+($I34-$BT$50)*$BS$50+($I34-$BV$50)*$BU$50+($I34-$BX$50)*$BW$50)*$CD34*$CE34,0)</f>
        <v>0</v>
      </c>
      <c r="CJ34" s="439" t="n">
        <f aca="false">CC34*CD34</f>
        <v>0</v>
      </c>
      <c r="CK34" s="553"/>
      <c r="CL34" s="553" t="n">
        <v>14.2</v>
      </c>
      <c r="CM34" s="530" t="n">
        <f aca="false">+CF34*CL34/10000</f>
        <v>0</v>
      </c>
      <c r="CW34" s="47" t="n">
        <v>37.17</v>
      </c>
      <c r="CX34" s="47" t="n">
        <v>3.85</v>
      </c>
      <c r="CY34" s="528" t="n">
        <f aca="false">+CW34/CX34</f>
        <v>9.65454545454545</v>
      </c>
      <c r="DJ34" s="532" t="n">
        <f aca="false">[1]Cinergy!$D56</f>
        <v>37834</v>
      </c>
      <c r="DK34" s="440" t="n">
        <f aca="false">VLOOKUP(DJ34,DL34:DM275,2)</f>
        <v>21</v>
      </c>
      <c r="DL34" s="533" t="n">
        <v>36404</v>
      </c>
      <c r="DM34" s="459" t="n">
        <v>21</v>
      </c>
      <c r="DP34" s="534" t="n">
        <f aca="false">[1]Cinergy!$D25</f>
        <v>37164</v>
      </c>
      <c r="DQ34" s="234" t="n">
        <f aca="false">[1]OPPD_NPPD!$O25+[1]NSP!$O25</f>
        <v>0</v>
      </c>
      <c r="DR34" s="234" t="n">
        <f aca="false">[1]COMED!$O25</f>
        <v>0</v>
      </c>
      <c r="DS34" s="234" t="n">
        <f aca="false">DQ34+DR34</f>
        <v>0</v>
      </c>
      <c r="DT34" s="234" t="n">
        <f aca="false">SUM([1]OPPD_NPPD!$P25:$R25)+SUM([1]NSP!$P25:$R25)</f>
        <v>0</v>
      </c>
      <c r="DU34" s="234" t="n">
        <f aca="false">SUM([1]COMED!$P25:$R25)</f>
        <v>-2389.564453125</v>
      </c>
      <c r="DV34" s="234" t="n">
        <f aca="false">DT34+DU34</f>
        <v>-2389.564453125</v>
      </c>
      <c r="DW34" s="535"/>
      <c r="DX34" s="536" t="n">
        <f aca="false">[1]OtherPosn!$D25</f>
        <v>37154</v>
      </c>
      <c r="DY34" s="234" t="n">
        <f aca="false">[1]OtherPosn!$N25</f>
        <v>-10354.779296875</v>
      </c>
      <c r="DZ34" s="234" t="n">
        <f aca="false">SUM([1]OtherPosn!$O25:$P25)</f>
        <v>0</v>
      </c>
      <c r="EO34" s="532" t="n">
        <f aca="false">DJ34</f>
        <v>37834</v>
      </c>
      <c r="EP34" s="234" t="n">
        <f aca="false">DK34</f>
        <v>21</v>
      </c>
      <c r="EQ34" s="473" t="n">
        <f aca="false">O34*$EP34</f>
        <v>588</v>
      </c>
      <c r="ER34" s="473" t="n">
        <f aca="false">P34*$EP34</f>
        <v>609</v>
      </c>
      <c r="ES34" s="439" t="n">
        <f aca="false">IF(YEAR($EO34)=2000,EP34,0)</f>
        <v>0</v>
      </c>
      <c r="ET34" s="439" t="n">
        <f aca="false">IF(YEAR($EO34)=2000,EQ34,0)</f>
        <v>0</v>
      </c>
      <c r="EU34" s="439" t="n">
        <f aca="false">IF(YEAR($EO34)=2000,ER34,0)</f>
        <v>0</v>
      </c>
    </row>
    <row r="35" customFormat="false" ht="18.75" hidden="false" customHeight="false" outlineLevel="0" collapsed="false">
      <c r="A35" s="605" t="n">
        <f aca="false">[1]Cinergy!$D57</f>
        <v>37865</v>
      </c>
      <c r="B35" s="606" t="n">
        <f aca="false">[1]Cinergy!$O57</f>
        <v>-123025.4140625</v>
      </c>
      <c r="C35" s="607" t="n">
        <f aca="false">B35/(CE35*CD35)</f>
        <v>-399.404134636471</v>
      </c>
      <c r="D35" s="607" t="n">
        <f aca="false">BY35+IF(YEAR(A35)=$T$20,$BY$48,0)+IF(YEAR(A35)=$T$21,$BY$49,0)+IF(YEAR(A35)=$T$22,$BY$50,0)</f>
        <v>0</v>
      </c>
      <c r="E35" s="606" t="n">
        <f aca="false">B35+(D35*CD35*CE35)</f>
        <v>-123025.4140625</v>
      </c>
      <c r="F35" s="608" t="n">
        <f aca="false">C35+D35</f>
        <v>-399.404134636471</v>
      </c>
      <c r="G35" s="609" t="n">
        <f aca="false">[1]Cinergy!$E57</f>
        <v>28.25</v>
      </c>
      <c r="H35" s="498" t="n">
        <f aca="false">IF($R$9,R35,Q35)</f>
        <v>0</v>
      </c>
      <c r="I35" s="610" t="n">
        <f aca="false">G35+H35</f>
        <v>28.25</v>
      </c>
      <c r="J35" s="606" t="n">
        <f aca="false">H35*B35</f>
        <v>-0</v>
      </c>
      <c r="K35" s="611" t="n">
        <f aca="false">(((I35-AL35)*AK35+(I35-AN35)*AM35+(I35-AP35)*AO35+(I35-AR35)*AQ35+(I35-AT35)*AS35+(I35-AV35)*AU35+(I35-AX35)*AW35+(I35-AZ35)*AY35+(I35-BB35)*BA35+(I35-BD35)*BC35+(I35-BF35)*BE35+(I35-BH35)*BG35+(I35-BJ35)*BI35+(I35-BL35)*BK35+(I35-BN35)*BM35+(I35-BP35)*BO35+(I35-BR35)*BQ35+(I35-BT35)*BS35+(I35-BV35)*BU35+(I35-BX35)*BW35)*CD35*CE35)+CG35+CH35+CI35</f>
        <v>0</v>
      </c>
      <c r="L35" s="612" t="n">
        <f aca="false">J35+K35</f>
        <v>0</v>
      </c>
      <c r="M35" s="0"/>
      <c r="N35" s="500" t="n">
        <f aca="false">A35</f>
        <v>37865</v>
      </c>
      <c r="O35" s="501" t="n">
        <v>28</v>
      </c>
      <c r="P35" s="501" t="n">
        <v>29</v>
      </c>
      <c r="Q35" s="502" t="n">
        <f aca="false">AVERAGE(O35:P35)-G35</f>
        <v>0.25</v>
      </c>
      <c r="R35" s="503" t="n">
        <f aca="false">+Master!L45</f>
        <v>0</v>
      </c>
      <c r="S35" s="542" t="n">
        <f aca="false">I35</f>
        <v>28.25</v>
      </c>
      <c r="T35" s="505" t="n">
        <f aca="false">IF(MONTH($B$2)&gt;8,YEAR($B$2)+1,YEAR($B$2))</f>
        <v>2002</v>
      </c>
      <c r="U35" s="506"/>
      <c r="V35" s="575" t="str">
        <f aca="false">V20</f>
        <v>Bal 2002</v>
      </c>
      <c r="W35" s="575" t="n">
        <f aca="false" t="array" ref="W35:W35">SUM(IF((YEAR($A$12:$A$47)=$T35),$F$12:$F$47))</f>
        <v>-1502.95173442737</v>
      </c>
      <c r="X35" s="576" t="n">
        <f aca="false" t="array" ref="X35:X35">SUM(IF((YEAR($A$12:$A$47)=$T35),$E$12:$E$47))</f>
        <v>-479979.130467855</v>
      </c>
      <c r="Y35" s="46"/>
      <c r="Z35" s="577" t="n">
        <f aca="false">A21</f>
        <v>37438</v>
      </c>
      <c r="AA35" s="578" t="n">
        <f aca="false">I21</f>
        <v>54.875</v>
      </c>
      <c r="AB35" s="579" t="n">
        <f aca="false">F21</f>
        <v>-1133.76513842871</v>
      </c>
      <c r="AC35" s="579" t="n">
        <f aca="false">F65</f>
        <v>-849.658508345421</v>
      </c>
      <c r="AD35" s="579" t="n">
        <f aca="false">AC35+AB35</f>
        <v>-1983.42364677413</v>
      </c>
      <c r="AE35" s="46"/>
      <c r="AF35" s="46"/>
      <c r="AG35" s="46"/>
      <c r="AH35" s="46"/>
      <c r="AI35" s="46"/>
      <c r="AJ35" s="512" t="n">
        <f aca="false">A35</f>
        <v>37865</v>
      </c>
      <c r="AK35" s="513"/>
      <c r="AL35" s="514"/>
      <c r="AM35" s="513"/>
      <c r="AN35" s="514"/>
      <c r="AO35" s="513"/>
      <c r="AP35" s="514"/>
      <c r="AQ35" s="513"/>
      <c r="AR35" s="514"/>
      <c r="AS35" s="515"/>
      <c r="AT35" s="516"/>
      <c r="AU35" s="550" t="n">
        <f aca="false">+AU34</f>
        <v>0</v>
      </c>
      <c r="AV35" s="551" t="n">
        <f aca="false">+AV34</f>
        <v>0</v>
      </c>
      <c r="AW35" s="550" t="n">
        <f aca="false">+AW34</f>
        <v>0</v>
      </c>
      <c r="AX35" s="551" t="n">
        <f aca="false">+AX34</f>
        <v>0</v>
      </c>
      <c r="AY35" s="550"/>
      <c r="AZ35" s="551"/>
      <c r="BA35" s="550"/>
      <c r="BB35" s="551"/>
      <c r="BC35" s="513"/>
      <c r="BD35" s="514"/>
      <c r="BE35" s="513"/>
      <c r="BF35" s="514"/>
      <c r="BG35" s="513"/>
      <c r="BH35" s="514"/>
      <c r="BI35" s="520"/>
      <c r="BJ35" s="517"/>
      <c r="BK35" s="520"/>
      <c r="BL35" s="517"/>
      <c r="BM35" s="520"/>
      <c r="BN35" s="517"/>
      <c r="BO35" s="520"/>
      <c r="BP35" s="517"/>
      <c r="BQ35" s="520"/>
      <c r="BR35" s="517"/>
      <c r="BS35" s="520"/>
      <c r="BT35" s="517"/>
      <c r="BU35" s="520"/>
      <c r="BV35" s="517"/>
      <c r="BW35" s="520"/>
      <c r="BX35" s="517"/>
      <c r="BY35" s="556" t="n">
        <f aca="false">AK35+AM35+AO35+AQ35+AS35+AU35+AW35+AY35+BA35+BC35+BE35+BG35+BI35+BK35+BM35+BO35+BQ35+BS35+BU35+BW35</f>
        <v>0</v>
      </c>
      <c r="BZ35" s="524" t="n">
        <f aca="false">IF(AND(BY35=0,CC35=0),0,(ABS(AK35)*AL35+ABS(AM35)*AN35+ABS(AO35)*AP35+ABS(AQ35)*AR35+ABS(AS35)*AT35+ABS(AU35)*AV35+ABS(AW35)*AX35+ABS(AY35)*AZ35+ABS(BA35)*BB35+ABS(BC35)*BD35+ABS(BE35)*BF35+ABS(BG35)*BH35+ABS(BI35)*BJ35+ABS(BK35)*BL35+ABS(BM35)*BN35+ABS(BO35)*BP35+ABS(BQ35)*BR35+ABS(BS35)*BT35+ABS(BU35)*BV35+ABS(BW35)*BX35)/CC35)</f>
        <v>0</v>
      </c>
      <c r="CA35" s="222"/>
      <c r="CB35" s="525" t="n">
        <f aca="false">AJ35</f>
        <v>37865</v>
      </c>
      <c r="CC35" s="222" t="n">
        <f aca="false">ABS(AK35)+ABS(AM35)+ABS(AO35)+ABS(AQ35)+ABS(AS35)+ABS(AU35)+ABS(AW35)+ABS(AY35)+ABS(BA35)+ABS(BC35)+ABS(BE35)+ABS(BG35)+ABS(BI35)+ABS(BK35)+ABS(BM35)+ABS(BO35)+ABS(BQ35)+ABS(BS35)+ABS(BU35)+ABS(BW35)</f>
        <v>0</v>
      </c>
      <c r="CD35" s="526" t="n">
        <f aca="false">16*DK35</f>
        <v>336</v>
      </c>
      <c r="CE35" s="222" t="n">
        <f aca="false">VLOOKUP(A35,Interest!$X$8:$AC$367,6)</f>
        <v>0.916733288190573</v>
      </c>
      <c r="CF35" s="527" t="n">
        <f aca="false">E35-B35</f>
        <v>0</v>
      </c>
      <c r="CG35" s="527" t="n">
        <f aca="false">IF(YEAR($AJ35)=$CG$10,(($I35-$AL$48)*$AK$48+($I35-$AN$48)*$AM$48+($I35-$AP$48)*$AO$48+($I35-$AR$48)*$AQ$48+($I35-$AT$48)*$AS$48+($I35-$AV$48)*$AU$48+($I35-$AX$48)*$AW$48+($I35-$AZ$48)*$AY$48+($I35-$BB$48)*$BA$48+($I35-$BD$48)*$BC$48+($I35-$BF$48)*$BE$48+($I35-$BH$48)*$BG$48+($I35-$BJ$48)*$BI$48+($I35-$BL$48)*$BK$48+($I35-$BN$48)*$BM$48+($I35-$BP$48)*$BO$48+($I35-$BR$48)*$BQ$48+($I35-$BT$48)*$BS$48+($I35-$BV$48)*$BU$48+($I35-$BX$48)*$BW$48)*$CD35*$CE35,0)</f>
        <v>0</v>
      </c>
      <c r="CH35" s="527" t="n">
        <f aca="false">IF(YEAR($AJ35)=$CH$10,(($I35-$AL$49)*$AK$49+($I35-$AN$49)*$AM$49+($I35-$AP$49)*$AO$49+($I35-$AR$49)*$AQ$49+($I35-$AT$49)*$AS$49+($I35-$AV$49)*$AU$49+($I35-$AX$49)*$AW$49+($I35-$AZ$49)*$AY$49+($I35-$BB$49)*$BA$49+($I35-$BD$49)*$BC$49+($I35-$BF$49)*$BE$49+($I35-$BH$49)*$BG$49+($I35-$BJ$49)*$BI$49+($I35-$BL$49)*$BK$49+($I35-$BN$49)*$BM$49+($I35-$BP$49)*$BO$49+($I35-$BR$49)*$BQ$49+($I35-$BT$49)*$BS$49+($I35-$BV$49)*$BU$49+($I35-$BX$49)*$BW$49)*$CD35*$CE35,0)</f>
        <v>0</v>
      </c>
      <c r="CI35" s="527" t="n">
        <f aca="false">IF(YEAR($AJ35)=$CI$10,(($I35-$AL$50)*$AK$50+($I35-$AN$50)*$AM$50+($I35-$AP$50)*$AO$50+($I35-$AR$50)*$AQ$50+($I35-$AT$50)*$AS$50+($I35-$AV$50)*$AU$50+($I35-$AX$50)*$AW$50+($I35-$AZ$50)*$AY$50+($I35-$BB$50)*$BA$50+($I35-$BD$50)*$BC$50+($I35-$BF$50)*$BE$50+($I35-$BH$50)*$BG$50+($I35-$BJ$50)*$BI$50+($I35-$BL$50)*$BK$50+($I35-$BN$50)*$BM$50+($I35-$BP$50)*$BO$50+($I35-$BR$50)*$BQ$50+($I35-$BT$50)*$BS$50+($I35-$BV$50)*$BU$50+($I35-$BX$50)*$BW$50)*$CD35*$CE35,0)</f>
        <v>0</v>
      </c>
      <c r="CJ35" s="439" t="n">
        <f aca="false">CC35*CD35</f>
        <v>0</v>
      </c>
      <c r="CK35" s="553"/>
      <c r="CL35" s="553" t="n">
        <v>14.1</v>
      </c>
      <c r="CM35" s="530" t="n">
        <f aca="false">+CF35*CL35/10000</f>
        <v>0</v>
      </c>
      <c r="CW35" s="47" t="n">
        <v>37.19</v>
      </c>
      <c r="CX35" s="47" t="n">
        <v>3.91</v>
      </c>
      <c r="CY35" s="528" t="n">
        <f aca="false">+CW35/CX35</f>
        <v>9.51150895140665</v>
      </c>
      <c r="DJ35" s="532" t="n">
        <f aca="false">[1]Cinergy!$D57</f>
        <v>37865</v>
      </c>
      <c r="DK35" s="440" t="n">
        <f aca="false">VLOOKUP(DJ35,DL35:DM276,2)</f>
        <v>21</v>
      </c>
      <c r="DL35" s="533" t="n">
        <v>36434</v>
      </c>
      <c r="DM35" s="459" t="n">
        <v>21</v>
      </c>
      <c r="DP35" s="534" t="n">
        <f aca="false">[1]Cinergy!$D26</f>
        <v>37165</v>
      </c>
      <c r="DQ35" s="234" t="n">
        <f aca="false">[1]OPPD_NPPD!$O26+[1]NSP!$O26</f>
        <v>1588.2744140625</v>
      </c>
      <c r="DR35" s="234" t="n">
        <f aca="false">[1]COMED!$O26</f>
        <v>6035.44287109375</v>
      </c>
      <c r="DS35" s="234" t="n">
        <f aca="false">DQ35+DR35</f>
        <v>7623.71728515625</v>
      </c>
      <c r="DT35" s="234" t="n">
        <f aca="false">SUM([1]OPPD_NPPD!$P26:$R26)+SUM([1]NSP!$P26:$R26)</f>
        <v>0</v>
      </c>
      <c r="DU35" s="234" t="n">
        <f aca="false">SUM([1]COMED!$P26:$R26)</f>
        <v>-794.13720703125</v>
      </c>
      <c r="DV35" s="234" t="n">
        <f aca="false">DT35+DU35</f>
        <v>-794.13720703125</v>
      </c>
      <c r="DW35" s="535"/>
      <c r="DX35" s="536" t="n">
        <f aca="false">[1]OtherPosn!$D26</f>
        <v>37155</v>
      </c>
      <c r="DY35" s="234" t="n">
        <f aca="false">[1]OtherPosn!$N26</f>
        <v>-10354.779296875</v>
      </c>
      <c r="DZ35" s="234" t="n">
        <f aca="false">SUM([1]OtherPosn!$O26:$P26)</f>
        <v>0</v>
      </c>
      <c r="EO35" s="532" t="n">
        <f aca="false">DJ35</f>
        <v>37865</v>
      </c>
      <c r="EP35" s="234" t="n">
        <f aca="false">DK35</f>
        <v>21</v>
      </c>
      <c r="EQ35" s="473" t="n">
        <f aca="false">AG36*$EP35</f>
        <v>0</v>
      </c>
      <c r="ER35" s="473" t="n">
        <f aca="false">AH36*$EP35</f>
        <v>0</v>
      </c>
      <c r="ES35" s="439" t="n">
        <f aca="false">IF(YEAR($EO35)=2000,EP35,0)</f>
        <v>0</v>
      </c>
      <c r="ET35" s="439" t="n">
        <f aca="false">IF(YEAR($EO35)=2000,EQ35,0)</f>
        <v>0</v>
      </c>
      <c r="EU35" s="439" t="n">
        <f aca="false">IF(YEAR($EO35)=2000,ER35,0)</f>
        <v>0</v>
      </c>
    </row>
    <row r="36" customFormat="false" ht="18" hidden="false" customHeight="false" outlineLevel="0" collapsed="false">
      <c r="A36" s="599" t="n">
        <f aca="false">[1]Cinergy!$D58</f>
        <v>37895</v>
      </c>
      <c r="B36" s="600" t="n">
        <f aca="false">[1]Cinergy!$O58</f>
        <v>-318573.625</v>
      </c>
      <c r="C36" s="601" t="n">
        <f aca="false">B36/(CE36*CD36)</f>
        <v>-948.522680074999</v>
      </c>
      <c r="D36" s="601" t="n">
        <f aca="false">BY36+IF(YEAR(A36)=$T$20,$BY$48,0)+IF(YEAR(A36)=$T$21,$BY$49,0)+IF(YEAR(A36)=$T$22,$BY$50,0)</f>
        <v>0</v>
      </c>
      <c r="E36" s="600" t="n">
        <f aca="false">B36+(D36*CD36*CE36)</f>
        <v>-318573.625</v>
      </c>
      <c r="F36" s="602" t="n">
        <f aca="false">C36+D36</f>
        <v>-948.522680074999</v>
      </c>
      <c r="G36" s="603" t="n">
        <f aca="false">[1]Cinergy!$E58</f>
        <v>29.5215644836426</v>
      </c>
      <c r="H36" s="498" t="n">
        <f aca="false">IF($R$9,R36,Q36)</f>
        <v>-0.365001320838928</v>
      </c>
      <c r="I36" s="604" t="n">
        <f aca="false">G36+H36</f>
        <v>29.1565631628037</v>
      </c>
      <c r="J36" s="600" t="n">
        <f aca="false">H36*B36</f>
        <v>116279.793909445</v>
      </c>
      <c r="K36" s="163" t="n">
        <f aca="false">(((I36-AL36)*AK36+(I36-AN36)*AM36+(I36-AP36)*AO36+(I36-AR36)*AQ36+(I36-AT36)*AS36+(I36-AV36)*AU36+(I36-AX36)*AW36+(I36-AZ36)*AY36+(I36-BB36)*BA36+(I36-BD36)*BC36+(I36-BF36)*BE36+(I36-BH36)*BG36+(I36-BJ36)*BI36+(I36-BL36)*BK36+(I36-BN36)*BM36+(I36-BP36)*BO36+(I36-BR36)*BQ36+(I36-BT36)*BS36+(I36-BV36)*BU36+(I36-BX36)*BW36)*CD36*CE36)+CG36+CH36+CI36</f>
        <v>0</v>
      </c>
      <c r="L36" s="123" t="n">
        <f aca="false">J36+K36</f>
        <v>116279.793909445</v>
      </c>
      <c r="M36" s="46"/>
      <c r="N36" s="500" t="n">
        <f aca="false">A36</f>
        <v>37895</v>
      </c>
      <c r="O36" s="501" t="n">
        <v>28</v>
      </c>
      <c r="P36" s="501" t="n">
        <v>29</v>
      </c>
      <c r="Q36" s="502" t="n">
        <f aca="false">AVERAGE(O36:P36)-G36</f>
        <v>-1.02156448364258</v>
      </c>
      <c r="R36" s="503" t="n">
        <f aca="false">+Master!L46</f>
        <v>-0.365001320838928</v>
      </c>
      <c r="S36" s="542" t="n">
        <f aca="false">I36</f>
        <v>29.1565631628037</v>
      </c>
      <c r="T36" s="505" t="n">
        <f aca="false">T35+1</f>
        <v>2003</v>
      </c>
      <c r="U36" s="506"/>
      <c r="V36" s="613" t="n">
        <f aca="false">V21</f>
        <v>2003</v>
      </c>
      <c r="W36" s="579" t="n">
        <f aca="false" t="array" ref="W36:W36">SUM(IF((YEAR($A$12:$A$47)=$T36),$F$12:$F$47))</f>
        <v>-9517.1912047137</v>
      </c>
      <c r="X36" s="580" t="n">
        <f aca="false" t="array" ref="X36:X36">SUM(IF((YEAR($A$12:$A$47)=$T36),$E$12:$E$47))</f>
        <v>-3005245.40039063</v>
      </c>
      <c r="Y36" s="46"/>
      <c r="Z36" s="581" t="n">
        <f aca="false">A22</f>
        <v>37469</v>
      </c>
      <c r="AA36" s="582" t="n">
        <f aca="false">I22</f>
        <v>54.875</v>
      </c>
      <c r="AB36" s="583" t="n">
        <f aca="false">F22</f>
        <v>-1165.26152109775</v>
      </c>
      <c r="AC36" s="584" t="n">
        <f aca="false">F66</f>
        <v>-849.597460297794</v>
      </c>
      <c r="AD36" s="584" t="n">
        <f aca="false">AC36+AB36</f>
        <v>-2014.85898139555</v>
      </c>
      <c r="AE36" s="46"/>
      <c r="AF36" s="614"/>
      <c r="AG36" s="615"/>
      <c r="AH36" s="615"/>
      <c r="AI36" s="616"/>
      <c r="AJ36" s="512" t="n">
        <f aca="false">A36</f>
        <v>37895</v>
      </c>
      <c r="AK36" s="513"/>
      <c r="AL36" s="514"/>
      <c r="AM36" s="513"/>
      <c r="AN36" s="514"/>
      <c r="AO36" s="513"/>
      <c r="AP36" s="514"/>
      <c r="AQ36" s="513"/>
      <c r="AR36" s="514"/>
      <c r="AS36" s="515"/>
      <c r="AT36" s="516"/>
      <c r="AU36" s="550" t="n">
        <f aca="false">+AU35</f>
        <v>0</v>
      </c>
      <c r="AV36" s="551" t="n">
        <f aca="false">+AV35</f>
        <v>0</v>
      </c>
      <c r="AW36" s="550" t="n">
        <f aca="false">+AW35</f>
        <v>0</v>
      </c>
      <c r="AX36" s="551" t="n">
        <f aca="false">+AX35</f>
        <v>0</v>
      </c>
      <c r="AY36" s="550"/>
      <c r="AZ36" s="551"/>
      <c r="BA36" s="550"/>
      <c r="BB36" s="551"/>
      <c r="BC36" s="520"/>
      <c r="BD36" s="517"/>
      <c r="BE36" s="520"/>
      <c r="BF36" s="517"/>
      <c r="BG36" s="520"/>
      <c r="BH36" s="517"/>
      <c r="BI36" s="520"/>
      <c r="BJ36" s="517"/>
      <c r="BK36" s="520"/>
      <c r="BL36" s="517"/>
      <c r="BM36" s="520"/>
      <c r="BN36" s="517"/>
      <c r="BO36" s="520"/>
      <c r="BP36" s="517"/>
      <c r="BQ36" s="520"/>
      <c r="BR36" s="517"/>
      <c r="BS36" s="520"/>
      <c r="BT36" s="517"/>
      <c r="BU36" s="520"/>
      <c r="BV36" s="517"/>
      <c r="BW36" s="520"/>
      <c r="BX36" s="517"/>
      <c r="BY36" s="556" t="n">
        <f aca="false">AK36+AM36+AO36+AQ36+AS36+AU36+AW36+AY36+BA36+BC36+BE36+BG36+BI36+BK36+BM36+BO36+BQ36+BS36+BU36+BW36</f>
        <v>0</v>
      </c>
      <c r="BZ36" s="524" t="n">
        <f aca="false">IF(AND(BY36=0,CC36=0),0,(ABS(AK36)*AL36+ABS(AM36)*AN36+ABS(AO36)*AP36+ABS(AQ36)*AR36+ABS(AS36)*AT36+ABS(AU36)*AV36+ABS(AW36)*AX36+ABS(AY36)*AZ36+ABS(BA36)*BB36+ABS(BC36)*BD36+ABS(BE36)*BF36+ABS(BG36)*BH36+ABS(BI36)*BJ36+ABS(BK36)*BL36+ABS(BM36)*BN36+ABS(BO36)*BP36+ABS(BQ36)*BR36+ABS(BS36)*BT36+ABS(BU36)*BV36+ABS(BW36)*BX36)/CC36)</f>
        <v>0</v>
      </c>
      <c r="CA36" s="222"/>
      <c r="CB36" s="525" t="n">
        <f aca="false">AJ36</f>
        <v>37895</v>
      </c>
      <c r="CC36" s="222" t="n">
        <f aca="false">ABS(AK36)+ABS(AM36)+ABS(AO36)+ABS(AQ36)+ABS(AS36)+ABS(AU36)+ABS(AW36)+ABS(AY36)+ABS(BA36)+ABS(BC36)+ABS(BE36)+ABS(BG36)+ABS(BI36)+ABS(BK36)+ABS(BM36)+ABS(BO36)+ABS(BQ36)+ABS(BS36)+ABS(BU36)+ABS(BW36)</f>
        <v>0</v>
      </c>
      <c r="CD36" s="526" t="n">
        <f aca="false">16*DK36</f>
        <v>368</v>
      </c>
      <c r="CE36" s="222" t="n">
        <f aca="false">VLOOKUP(A36,Interest!$X$8:$AC$367,6)</f>
        <v>0.912671058430691</v>
      </c>
      <c r="CF36" s="527" t="n">
        <f aca="false">E36-B36</f>
        <v>0</v>
      </c>
      <c r="CG36" s="527" t="n">
        <f aca="false">IF(YEAR($AJ36)=$CG$10,(($I36-$AL$48)*$AK$48+($I36-$AN$48)*$AM$48+($I36-$AP$48)*$AO$48+($I36-$AR$48)*$AQ$48+($I36-$AT$48)*$AS$48+($I36-$AV$48)*$AU$48+($I36-$AX$48)*$AW$48+($I36-$AZ$48)*$AY$48+($I36-$BB$48)*$BA$48+($I36-$BD$48)*$BC$48+($I36-$BF$48)*$BE$48+($I36-$BH$48)*$BG$48+($I36-$BJ$48)*$BI$48+($I36-$BL$48)*$BK$48+($I36-$BN$48)*$BM$48+($I36-$BP$48)*$BO$48+($I36-$BR$48)*$BQ$48+($I36-$BT$48)*$BS$48+($I36-$BV$48)*$BU$48+($I36-$BX$48)*$BW$48)*$CD36*$CE36,0)</f>
        <v>0</v>
      </c>
      <c r="CH36" s="527" t="n">
        <f aca="false">IF(YEAR($AJ36)=$CH$10,(($I36-$AL$49)*$AK$49+($I36-$AN$49)*$AM$49+($I36-$AP$49)*$AO$49+($I36-$AR$49)*$AQ$49+($I36-$AT$49)*$AS$49+($I36-$AV$49)*$AU$49+($I36-$AX$49)*$AW$49+($I36-$AZ$49)*$AY$49+($I36-$BB$49)*$BA$49+($I36-$BD$49)*$BC$49+($I36-$BF$49)*$BE$49+($I36-$BH$49)*$BG$49+($I36-$BJ$49)*$BI$49+($I36-$BL$49)*$BK$49+($I36-$BN$49)*$BM$49+($I36-$BP$49)*$BO$49+($I36-$BR$49)*$BQ$49+($I36-$BT$49)*$BS$49+($I36-$BV$49)*$BU$49+($I36-$BX$49)*$BW$49)*$CD36*$CE36,0)</f>
        <v>0</v>
      </c>
      <c r="CI36" s="527" t="n">
        <f aca="false">IF(YEAR($AJ36)=$CI$10,(($I36-$AL$50)*$AK$50+($I36-$AN$50)*$AM$50+($I36-$AP$50)*$AO$50+($I36-$AR$50)*$AQ$50+($I36-$AT$50)*$AS$50+($I36-$AV$50)*$AU$50+($I36-$AX$50)*$AW$50+($I36-$AZ$50)*$AY$50+($I36-$BB$50)*$BA$50+($I36-$BD$50)*$BC$50+($I36-$BF$50)*$BE$50+($I36-$BH$50)*$BG$50+($I36-$BJ$50)*$BI$50+($I36-$BL$50)*$BK$50+($I36-$BN$50)*$BM$50+($I36-$BP$50)*$BO$50+($I36-$BR$50)*$BQ$50+($I36-$BT$50)*$BS$50+($I36-$BV$50)*$BU$50+($I36-$BX$50)*$BW$50)*$CD36*$CE36,0)</f>
        <v>0</v>
      </c>
      <c r="CJ36" s="439" t="n">
        <f aca="false">CC36*CD36</f>
        <v>0</v>
      </c>
      <c r="CK36" s="553"/>
      <c r="CL36" s="553" t="n">
        <v>8</v>
      </c>
      <c r="CM36" s="530" t="n">
        <f aca="false">+CF36*CL36/10000</f>
        <v>0</v>
      </c>
      <c r="CW36" s="47" t="n">
        <v>38.64</v>
      </c>
      <c r="CX36" s="47" t="n">
        <v>4</v>
      </c>
      <c r="CY36" s="528" t="n">
        <f aca="false">+CW36/CX36</f>
        <v>9.66</v>
      </c>
      <c r="DJ36" s="532" t="n">
        <f aca="false">[1]Cinergy!$D58</f>
        <v>37895</v>
      </c>
      <c r="DK36" s="440" t="n">
        <f aca="false">VLOOKUP(DJ36,DL36:DM277,2)</f>
        <v>23</v>
      </c>
      <c r="DL36" s="533" t="n">
        <v>36465</v>
      </c>
      <c r="DM36" s="459" t="n">
        <v>21</v>
      </c>
      <c r="DP36" s="534" t="n">
        <f aca="false">[1]Cinergy!$D27</f>
        <v>37166</v>
      </c>
      <c r="DQ36" s="234" t="n">
        <f aca="false">[1]OPPD_NPPD!$O27+[1]NSP!$O27</f>
        <v>1588.2744140625</v>
      </c>
      <c r="DR36" s="234" t="n">
        <f aca="false">[1]COMED!$O27</f>
        <v>6035.44287109375</v>
      </c>
      <c r="DS36" s="234" t="n">
        <f aca="false">DQ36+DR36</f>
        <v>7623.71728515625</v>
      </c>
      <c r="DT36" s="234" t="n">
        <f aca="false">SUM([1]OPPD_NPPD!$P27:$R27)+SUM([1]NSP!$P27:$R27)</f>
        <v>0</v>
      </c>
      <c r="DU36" s="234" t="n">
        <f aca="false">SUM([1]COMED!$P27:$R27)</f>
        <v>-794.13720703125</v>
      </c>
      <c r="DV36" s="234" t="n">
        <f aca="false">DT36+DU36</f>
        <v>-794.13720703125</v>
      </c>
      <c r="DW36" s="535"/>
      <c r="DX36" s="536" t="n">
        <f aca="false">[1]OtherPosn!$D27</f>
        <v>37158</v>
      </c>
      <c r="DY36" s="234" t="n">
        <f aca="false">[1]OtherPosn!$N27</f>
        <v>-10354.779296875</v>
      </c>
      <c r="DZ36" s="234" t="n">
        <f aca="false">SUM([1]OtherPosn!$O27:$P27)</f>
        <v>0</v>
      </c>
      <c r="EO36" s="532" t="n">
        <f aca="false">DJ36</f>
        <v>37895</v>
      </c>
      <c r="EP36" s="234" t="n">
        <f aca="false">DK36</f>
        <v>23</v>
      </c>
      <c r="EQ36" s="473" t="n">
        <f aca="false">AG37*$EP36</f>
        <v>0</v>
      </c>
      <c r="ER36" s="473" t="n">
        <f aca="false">AH37*$EP36</f>
        <v>0</v>
      </c>
    </row>
    <row r="37" customFormat="false" ht="18.75" hidden="false" customHeight="false" outlineLevel="0" collapsed="false">
      <c r="A37" s="605" t="n">
        <f aca="false">[1]Cinergy!$D59</f>
        <v>37926</v>
      </c>
      <c r="B37" s="606" t="n">
        <f aca="false">[1]Cinergy!$O59</f>
        <v>-262008.234375</v>
      </c>
      <c r="C37" s="607" t="n">
        <f aca="false">B37/(CE37*CD37)</f>
        <v>-948.507432243327</v>
      </c>
      <c r="D37" s="607" t="n">
        <f aca="false">BY37+IF(YEAR(A37)=$T$20,$BY$48,0)+IF(YEAR(A37)=$T$21,$BY$49,0)+IF(YEAR(A37)=$T$22,$BY$50,0)</f>
        <v>0</v>
      </c>
      <c r="E37" s="606" t="n">
        <f aca="false">B37+(D37*CD37*CE37)</f>
        <v>-262008.234375</v>
      </c>
      <c r="F37" s="608" t="n">
        <f aca="false">C37+D37</f>
        <v>-948.507432243327</v>
      </c>
      <c r="G37" s="609" t="n">
        <f aca="false">[1]Cinergy!$E59</f>
        <v>29.6215629577637</v>
      </c>
      <c r="H37" s="498" t="n">
        <f aca="false">IF($R$9,R37,Q37)</f>
        <v>-0.365001320838928</v>
      </c>
      <c r="I37" s="610" t="n">
        <f aca="false">G37+H37</f>
        <v>29.2565616369247</v>
      </c>
      <c r="J37" s="606" t="n">
        <f aca="false">H37*B37</f>
        <v>95633.3516175505</v>
      </c>
      <c r="K37" s="611" t="n">
        <f aca="false">(((I37-AL37)*AK37+(I37-AN37)*AM37+(I37-AP37)*AO37+(I37-AR37)*AQ37+(I37-AT37)*AS37+(I37-AV37)*AU37+(I37-AX37)*AW37+(I37-AZ37)*AY37+(I37-BB37)*BA37+(I37-BD37)*BC37+(I37-BF37)*BE37+(I37-BH37)*BG37+(I37-BJ37)*BI37+(I37-BL37)*BK37+(I37-BN37)*BM37+(I37-BP37)*BO37+(I37-BR37)*BQ37+(I37-BT37)*BS37+(I37-BV37)*BU37+(I37-BX37)*BW37)*CD37*CE37)+CG37+CH37+CI37</f>
        <v>0</v>
      </c>
      <c r="L37" s="612" t="n">
        <f aca="false">J37+K37</f>
        <v>95633.3516175505</v>
      </c>
      <c r="M37" s="46"/>
      <c r="N37" s="500" t="n">
        <f aca="false">A37</f>
        <v>37926</v>
      </c>
      <c r="O37" s="501" t="n">
        <v>28</v>
      </c>
      <c r="P37" s="501" t="n">
        <v>29</v>
      </c>
      <c r="Q37" s="502" t="n">
        <f aca="false">AVERAGE(O37:P37)-G37</f>
        <v>-1.12156295776367</v>
      </c>
      <c r="R37" s="503" t="n">
        <f aca="false">+R36</f>
        <v>-0.365001320838928</v>
      </c>
      <c r="S37" s="542" t="n">
        <f aca="false">I37</f>
        <v>29.2565616369247</v>
      </c>
      <c r="T37" s="505" t="n">
        <f aca="false">T36+1</f>
        <v>2004</v>
      </c>
      <c r="U37" s="506"/>
      <c r="V37" s="617" t="n">
        <f aca="false">V22</f>
        <v>2004</v>
      </c>
      <c r="W37" s="575" t="n">
        <f aca="false" t="array" ref="W37:W37">SUM(IF((YEAR($A$12:$A$47)=$T37),$F$12:$F$47))</f>
        <v>-1695.0331782905</v>
      </c>
      <c r="X37" s="576" t="n">
        <f aca="false" t="array" ref="X37:X37">SUM(IF((YEAR($A$12:$A$47)=$T37),$E$12:$E$47))</f>
        <v>-516622.579101563</v>
      </c>
      <c r="Y37" s="46"/>
      <c r="Z37" s="577" t="n">
        <f aca="false">A23</f>
        <v>37500</v>
      </c>
      <c r="AA37" s="578" t="n">
        <f aca="false">I23</f>
        <v>28.25</v>
      </c>
      <c r="AB37" s="579" t="n">
        <f aca="false">F23</f>
        <v>-849.506710585405</v>
      </c>
      <c r="AC37" s="579" t="n">
        <f aca="false">F67</f>
        <v>299.815016469527</v>
      </c>
      <c r="AD37" s="579" t="n">
        <f aca="false">AC37+AB37</f>
        <v>-549.691694115878</v>
      </c>
      <c r="AE37" s="46"/>
      <c r="AF37" s="618"/>
      <c r="AG37" s="619"/>
      <c r="AH37" s="620"/>
      <c r="AI37" s="621"/>
      <c r="AJ37" s="512" t="n">
        <f aca="false">A37</f>
        <v>37926</v>
      </c>
      <c r="AK37" s="513" t="n">
        <f aca="false">+AK36</f>
        <v>0</v>
      </c>
      <c r="AL37" s="514" t="n">
        <f aca="false">+AL36</f>
        <v>0</v>
      </c>
      <c r="AM37" s="513" t="n">
        <f aca="false">+AM36</f>
        <v>0</v>
      </c>
      <c r="AN37" s="514" t="n">
        <f aca="false">+AN36</f>
        <v>0</v>
      </c>
      <c r="AO37" s="513" t="n">
        <f aca="false">+AO36</f>
        <v>0</v>
      </c>
      <c r="AP37" s="514" t="n">
        <f aca="false">+AP36</f>
        <v>0</v>
      </c>
      <c r="AQ37" s="513" t="n">
        <f aca="false">+AQ36</f>
        <v>0</v>
      </c>
      <c r="AR37" s="514" t="n">
        <f aca="false">+AR36</f>
        <v>0</v>
      </c>
      <c r="AS37" s="515"/>
      <c r="AT37" s="516"/>
      <c r="AU37" s="550" t="n">
        <f aca="false">+AU36</f>
        <v>0</v>
      </c>
      <c r="AV37" s="551" t="n">
        <f aca="false">+AV36</f>
        <v>0</v>
      </c>
      <c r="AW37" s="550" t="n">
        <f aca="false">+AW36</f>
        <v>0</v>
      </c>
      <c r="AX37" s="551" t="n">
        <f aca="false">+AX36</f>
        <v>0</v>
      </c>
      <c r="AY37" s="550"/>
      <c r="AZ37" s="551"/>
      <c r="BA37" s="550"/>
      <c r="BB37" s="551"/>
      <c r="BC37" s="520"/>
      <c r="BD37" s="517"/>
      <c r="BE37" s="520"/>
      <c r="BF37" s="517"/>
      <c r="BG37" s="520"/>
      <c r="BH37" s="517"/>
      <c r="BI37" s="520"/>
      <c r="BJ37" s="517"/>
      <c r="BK37" s="520"/>
      <c r="BL37" s="517"/>
      <c r="BM37" s="520"/>
      <c r="BN37" s="517"/>
      <c r="BO37" s="520"/>
      <c r="BP37" s="517"/>
      <c r="BQ37" s="520"/>
      <c r="BR37" s="517"/>
      <c r="BS37" s="520"/>
      <c r="BT37" s="517"/>
      <c r="BU37" s="520"/>
      <c r="BV37" s="517"/>
      <c r="BW37" s="520"/>
      <c r="BX37" s="517"/>
      <c r="BY37" s="556" t="n">
        <f aca="false">AK37+AM37+AO37+AQ37+AS37+AU37+AW37+AY37+BA37+BC37+BE37+BG37+BI37+BK37+BM37+BO37+BQ37+BS37+BU37+BW37</f>
        <v>0</v>
      </c>
      <c r="BZ37" s="524" t="n">
        <f aca="false">IF(AND(BY37=0,CC37=0),0,(ABS(AK37)*AL37+ABS(AM37)*AN37+ABS(AO37)*AP37+ABS(AQ37)*AR37+ABS(AS37)*AT37+ABS(AU37)*AV37+ABS(AW37)*AX37+ABS(AY37)*AZ37+ABS(BA37)*BB37+ABS(BC37)*BD37+ABS(BE37)*BF37+ABS(BG37)*BH37+ABS(BI37)*BJ37+ABS(BK37)*BL37+ABS(BM37)*BN37+ABS(BO37)*BP37+ABS(BQ37)*BR37+ABS(BS37)*BT37+ABS(BU37)*BV37+ABS(BW37)*BX37)/CC37)</f>
        <v>0</v>
      </c>
      <c r="CA37" s="222"/>
      <c r="CB37" s="525" t="n">
        <f aca="false">AJ37</f>
        <v>37926</v>
      </c>
      <c r="CC37" s="222" t="n">
        <f aca="false">ABS(AK37)+ABS(AM37)+ABS(AO37)+ABS(AQ37)+ABS(AS37)+ABS(AU37)+ABS(AW37)+ABS(AY37)+ABS(BA37)+ABS(BC37)+ABS(BE37)+ABS(BG37)+ABS(BI37)+ABS(BK37)+ABS(BM37)+ABS(BO37)+ABS(BQ37)+ABS(BS37)+ABS(BU37)+ABS(BW37)</f>
        <v>0</v>
      </c>
      <c r="CD37" s="526" t="n">
        <f aca="false">16*DK37</f>
        <v>304</v>
      </c>
      <c r="CE37" s="222" t="n">
        <f aca="false">VLOOKUP(A37,Interest!$X$8:$AC$367,6)</f>
        <v>0.908658343334863</v>
      </c>
      <c r="CF37" s="527" t="n">
        <f aca="false">E37-B37</f>
        <v>0</v>
      </c>
      <c r="CG37" s="527" t="n">
        <f aca="false">IF(YEAR($AJ37)=$CG$10,(($I37-$AL$48)*$AK$48+($I37-$AN$48)*$AM$48+($I37-$AP$48)*$AO$48+($I37-$AR$48)*$AQ$48+($I37-$AT$48)*$AS$48+($I37-$AV$48)*$AU$48+($I37-$AX$48)*$AW$48+($I37-$AZ$48)*$AY$48+($I37-$BB$48)*$BA$48+($I37-$BD$48)*$BC$48+($I37-$BF$48)*$BE$48+($I37-$BH$48)*$BG$48+($I37-$BJ$48)*$BI$48+($I37-$BL$48)*$BK$48+($I37-$BN$48)*$BM$48+($I37-$BP$48)*$BO$48+($I37-$BR$48)*$BQ$48+($I37-$BT$48)*$BS$48+($I37-$BV$48)*$BU$48+($I37-$BX$48)*$BW$48)*$CD37*$CE37,0)</f>
        <v>0</v>
      </c>
      <c r="CH37" s="527" t="n">
        <f aca="false">IF(YEAR($AJ37)=$CH$10,(($I37-$AL$49)*$AK$49+($I37-$AN$49)*$AM$49+($I37-$AP$49)*$AO$49+($I37-$AR$49)*$AQ$49+($I37-$AT$49)*$AS$49+($I37-$AV$49)*$AU$49+($I37-$AX$49)*$AW$49+($I37-$AZ$49)*$AY$49+($I37-$BB$49)*$BA$49+($I37-$BD$49)*$BC$49+($I37-$BF$49)*$BE$49+($I37-$BH$49)*$BG$49+($I37-$BJ$49)*$BI$49+($I37-$BL$49)*$BK$49+($I37-$BN$49)*$BM$49+($I37-$BP$49)*$BO$49+($I37-$BR$49)*$BQ$49+($I37-$BT$49)*$BS$49+($I37-$BV$49)*$BU$49+($I37-$BX$49)*$BW$49)*$CD37*$CE37,0)</f>
        <v>0</v>
      </c>
      <c r="CI37" s="527" t="n">
        <f aca="false">IF(YEAR($AJ37)=$CI$10,(($I37-$AL$50)*$AK$50+($I37-$AN$50)*$AM$50+($I37-$AP$50)*$AO$50+($I37-$AR$50)*$AQ$50+($I37-$AT$50)*$AS$50+($I37-$AV$50)*$AU$50+($I37-$AX$50)*$AW$50+($I37-$AZ$50)*$AY$50+($I37-$BB$50)*$BA$50+($I37-$BD$50)*$BC$50+($I37-$BF$50)*$BE$50+($I37-$BH$50)*$BG$50+($I37-$BJ$50)*$BI$50+($I37-$BL$50)*$BK$50+($I37-$BN$50)*$BM$50+($I37-$BP$50)*$BO$50+($I37-$BR$50)*$BQ$50+($I37-$BT$50)*$BS$50+($I37-$BV$50)*$BU$50+($I37-$BX$50)*$BW$50)*$CD37*$CE37,0)</f>
        <v>0</v>
      </c>
      <c r="CJ37" s="439" t="n">
        <f aca="false">CC37*CD37</f>
        <v>0</v>
      </c>
      <c r="CK37" s="553"/>
      <c r="CL37" s="553" t="n">
        <v>8.3</v>
      </c>
      <c r="CM37" s="530" t="n">
        <f aca="false">+CF37*CL37/10000</f>
        <v>0</v>
      </c>
      <c r="CW37" s="47" t="n">
        <v>39.37</v>
      </c>
      <c r="CX37" s="47" t="n">
        <v>4.07</v>
      </c>
      <c r="CY37" s="528" t="n">
        <f aca="false">+CW37/CX37</f>
        <v>9.67321867321867</v>
      </c>
      <c r="DJ37" s="532" t="n">
        <f aca="false">[1]Cinergy!$D59</f>
        <v>37926</v>
      </c>
      <c r="DK37" s="440" t="n">
        <f aca="false">VLOOKUP(DJ37,DL37:DM278,2)</f>
        <v>19</v>
      </c>
      <c r="DL37" s="533" t="n">
        <v>36495</v>
      </c>
      <c r="DM37" s="459" t="n">
        <v>23</v>
      </c>
      <c r="DP37" s="534" t="n">
        <f aca="false">[1]Cinergy!$D28</f>
        <v>37167</v>
      </c>
      <c r="DQ37" s="234" t="n">
        <f aca="false">[1]OPPD_NPPD!$O28+[1]NSP!$O28</f>
        <v>1588.2744140625</v>
      </c>
      <c r="DR37" s="234" t="n">
        <f aca="false">[1]COMED!$O28</f>
        <v>6035.44287109375</v>
      </c>
      <c r="DS37" s="234" t="n">
        <f aca="false">DQ37+DR37</f>
        <v>7623.71728515625</v>
      </c>
      <c r="DT37" s="234" t="n">
        <f aca="false">SUM([1]OPPD_NPPD!$P28:$R28)+SUM([1]NSP!$P28:$R28)</f>
        <v>0</v>
      </c>
      <c r="DU37" s="234" t="n">
        <f aca="false">SUM([1]COMED!$P28:$R28)</f>
        <v>-794.13720703125</v>
      </c>
      <c r="DV37" s="234" t="n">
        <f aca="false">DT37+DU37</f>
        <v>-794.13720703125</v>
      </c>
      <c r="DW37" s="535"/>
      <c r="DX37" s="536" t="n">
        <f aca="false">[1]OtherPosn!$D28</f>
        <v>37159</v>
      </c>
      <c r="DY37" s="234" t="n">
        <f aca="false">[1]OtherPosn!$N28</f>
        <v>-10354.779296875</v>
      </c>
      <c r="DZ37" s="234" t="n">
        <f aca="false">SUM([1]OtherPosn!$O28:$P28)</f>
        <v>0</v>
      </c>
      <c r="EO37" s="532" t="n">
        <f aca="false">DJ37</f>
        <v>37926</v>
      </c>
      <c r="EP37" s="234" t="n">
        <f aca="false">DK37</f>
        <v>19</v>
      </c>
      <c r="EQ37" s="473" t="e">
        <f aca="false">AG38*$EP37</f>
        <v>#N/A</v>
      </c>
      <c r="ER37" s="473" t="e">
        <f aca="false">AH38*$EP37</f>
        <v>#N/A</v>
      </c>
    </row>
    <row r="38" customFormat="false" ht="18.75" hidden="false" customHeight="false" outlineLevel="0" collapsed="false">
      <c r="A38" s="599" t="n">
        <f aca="false">[1]Cinergy!$D60</f>
        <v>37956</v>
      </c>
      <c r="B38" s="600" t="n">
        <f aca="false">[1]Cinergy!$O60</f>
        <v>-301977.75</v>
      </c>
      <c r="C38" s="601" t="n">
        <f aca="false">B38/(CE38*CD38)</f>
        <v>-948.445240958536</v>
      </c>
      <c r="D38" s="601" t="n">
        <f aca="false">BY38+IF(YEAR(A38)=$T$20,$BY$48,0)+IF(YEAR(A38)=$T$21,$BY$49,0)+IF(YEAR(A38)=$T$22,$BY$50,0)</f>
        <v>0</v>
      </c>
      <c r="E38" s="600" t="n">
        <f aca="false">B38+(D38*CD38*CE38)</f>
        <v>-301977.75</v>
      </c>
      <c r="F38" s="602" t="n">
        <f aca="false">C38+D38</f>
        <v>-948.445240958536</v>
      </c>
      <c r="G38" s="603" t="n">
        <f aca="false">[1]Cinergy!$E60</f>
        <v>29.7215614318848</v>
      </c>
      <c r="H38" s="498" t="n">
        <f aca="false">IF($R$9,R38,Q38)</f>
        <v>-0.365001320838928</v>
      </c>
      <c r="I38" s="604" t="n">
        <f aca="false">G38+H38</f>
        <v>29.3565601110458</v>
      </c>
      <c r="J38" s="600" t="n">
        <f aca="false">H38*B38</f>
        <v>110222.277613968</v>
      </c>
      <c r="K38" s="163" t="n">
        <f aca="false">(((I38-AL38)*AK38+(I38-AN38)*AM38+(I38-AP38)*AO38+(I38-AR38)*AQ38+(I38-AT38)*AS38+(I38-AV38)*AU38+(I38-AX38)*AW38+(I38-AZ38)*AY38+(I38-BB38)*BA38+(I38-BD38)*BC38+(I38-BF38)*BE38+(I38-BH38)*BG38+(I38-BJ38)*BI38+(I38-BL38)*BK38+(I38-BN38)*BM38+(I38-BP38)*BO38+(I38-BR38)*BQ38+(I38-BT38)*BS38+(I38-BV38)*BU38+(I38-BX38)*BW38)*CD38*CE38)+CG38+CH38+CI38</f>
        <v>0</v>
      </c>
      <c r="L38" s="123" t="n">
        <f aca="false">J38+K38</f>
        <v>110222.277613968</v>
      </c>
      <c r="M38" s="46"/>
      <c r="N38" s="500" t="n">
        <f aca="false">A38</f>
        <v>37956</v>
      </c>
      <c r="O38" s="501" t="n">
        <v>28</v>
      </c>
      <c r="P38" s="501" t="n">
        <v>29</v>
      </c>
      <c r="Q38" s="502" t="n">
        <f aca="false">AVERAGE(O38:P38)-G38</f>
        <v>-1.22156143188477</v>
      </c>
      <c r="R38" s="503" t="n">
        <f aca="false">+R37</f>
        <v>-0.365001320838928</v>
      </c>
      <c r="S38" s="542" t="n">
        <f aca="false">I38</f>
        <v>29.3565601110458</v>
      </c>
      <c r="T38" s="46"/>
      <c r="U38" s="46"/>
      <c r="V38" s="622" t="s">
        <v>290</v>
      </c>
      <c r="W38" s="623" t="n">
        <f aca="false">SUM(D12:D47)</f>
        <v>4300</v>
      </c>
      <c r="X38" s="623" t="n">
        <f aca="false">SUM(CF12:CF47)</f>
        <v>1442623.49962361</v>
      </c>
      <c r="Y38" s="46"/>
      <c r="Z38" s="624" t="n">
        <f aca="false">A24</f>
        <v>37530</v>
      </c>
      <c r="AA38" s="625" t="n">
        <f aca="false">I24</f>
        <v>28.8062492907047</v>
      </c>
      <c r="AB38" s="626" t="n">
        <f aca="false">F24</f>
        <v>596.377151287315</v>
      </c>
      <c r="AC38" s="627" t="n">
        <f aca="false">F68</f>
        <v>-499.615174618189</v>
      </c>
      <c r="AD38" s="627" t="n">
        <f aca="false">AC38+AB38</f>
        <v>96.7619766691259</v>
      </c>
      <c r="AE38" s="46"/>
      <c r="AF38" s="628" t="s">
        <v>291</v>
      </c>
      <c r="AG38" s="615" t="e">
        <f aca="false">(VLOOKUP(DATE(1999,10,1),$EO$12:$ER$38,3)+VLOOKUP(DATE(1999,11,1),$EO$12:$ER$38,3)+VLOOKUP(DATE(1999,12,1),$EO$12:$ER$38,3))/(VLOOKUP(DATE(1999,10,1),$EO$12:$ER$38,2)+VLOOKUP(DATE(1999,11,1),$EO$12:$ER$38,2)+VLOOKUP(DATE(1999,12,1),$EO$12:$ER$38,2))</f>
        <v>#N/A</v>
      </c>
      <c r="AH38" s="508" t="e">
        <f aca="false">(VLOOKUP(DATE(1999,10,1),$EO$12:$ER$38,4)+VLOOKUP(DATE(1999,11,1),$EO$12:$ER$38,4)+VLOOKUP(DATE(1999,12,1),$EO$12:$ER$38,4))/(VLOOKUP(DATE(1999,10,1),$EO$12:$ER$38,2)+VLOOKUP(DATE(1999,11,1),$EO$12:$ER$38,2)+VLOOKUP(DATE(1999,12,1),$EO$12:$ER$38,2))</f>
        <v>#N/A</v>
      </c>
      <c r="AI38" s="616"/>
      <c r="AJ38" s="512" t="n">
        <f aca="false">A38</f>
        <v>37956</v>
      </c>
      <c r="AK38" s="513" t="n">
        <f aca="false">+AK37</f>
        <v>0</v>
      </c>
      <c r="AL38" s="514" t="n">
        <f aca="false">+AL37</f>
        <v>0</v>
      </c>
      <c r="AM38" s="513" t="n">
        <f aca="false">+AM37</f>
        <v>0</v>
      </c>
      <c r="AN38" s="514" t="n">
        <f aca="false">+AN37</f>
        <v>0</v>
      </c>
      <c r="AO38" s="513" t="n">
        <f aca="false">+AO37</f>
        <v>0</v>
      </c>
      <c r="AP38" s="514" t="n">
        <f aca="false">+AP37</f>
        <v>0</v>
      </c>
      <c r="AQ38" s="513" t="n">
        <f aca="false">+AQ37</f>
        <v>0</v>
      </c>
      <c r="AR38" s="514" t="n">
        <f aca="false">+AR37</f>
        <v>0</v>
      </c>
      <c r="AS38" s="515"/>
      <c r="AT38" s="516"/>
      <c r="AU38" s="550" t="n">
        <f aca="false">+AU37</f>
        <v>0</v>
      </c>
      <c r="AV38" s="551" t="n">
        <f aca="false">+AV37</f>
        <v>0</v>
      </c>
      <c r="AW38" s="550" t="n">
        <f aca="false">+AW37</f>
        <v>0</v>
      </c>
      <c r="AX38" s="551" t="n">
        <f aca="false">+AX37</f>
        <v>0</v>
      </c>
      <c r="AY38" s="550"/>
      <c r="AZ38" s="551"/>
      <c r="BA38" s="550"/>
      <c r="BB38" s="551"/>
      <c r="BC38" s="520"/>
      <c r="BD38" s="517"/>
      <c r="BE38" s="520"/>
      <c r="BF38" s="517"/>
      <c r="BG38" s="520"/>
      <c r="BH38" s="517"/>
      <c r="BI38" s="520"/>
      <c r="BJ38" s="517"/>
      <c r="BK38" s="520"/>
      <c r="BL38" s="517"/>
      <c r="BM38" s="520"/>
      <c r="BN38" s="517"/>
      <c r="BO38" s="520"/>
      <c r="BP38" s="517"/>
      <c r="BQ38" s="520"/>
      <c r="BR38" s="517"/>
      <c r="BS38" s="520"/>
      <c r="BT38" s="517"/>
      <c r="BU38" s="520"/>
      <c r="BV38" s="517"/>
      <c r="BW38" s="520"/>
      <c r="BX38" s="517"/>
      <c r="BY38" s="556" t="n">
        <f aca="false">AK38+AM38+AO38+AQ38+AS38+AU38+AW38+AY38+BA38+BC38+BE38+BG38+BI38+BK38+BM38+BO38+BQ38+BS38+BU38+BW38</f>
        <v>0</v>
      </c>
      <c r="BZ38" s="524" t="n">
        <f aca="false">IF(AND(BY38=0,CC38=0),0,(ABS(AK38)*AL38+ABS(AM38)*AN38+ABS(AO38)*AP38+ABS(AQ38)*AR38+ABS(AS38)*AT38+ABS(AU38)*AV38+ABS(AW38)*AX38+ABS(AY38)*AZ38+ABS(BA38)*BB38+ABS(BC38)*BD38+ABS(BE38)*BF38+ABS(BG38)*BH38+ABS(BI38)*BJ38+ABS(BK38)*BL38+ABS(BM38)*BN38+ABS(BO38)*BP38+ABS(BQ38)*BR38+ABS(BS38)*BT38+ABS(BU38)*BV38+ABS(BW38)*BX38)/CC38)</f>
        <v>0</v>
      </c>
      <c r="CB38" s="525" t="n">
        <f aca="false">AJ38</f>
        <v>37956</v>
      </c>
      <c r="CC38" s="222" t="n">
        <f aca="false">ABS(AK38)+ABS(AM38)+ABS(AO38)+ABS(AQ38)+ABS(AS38)+ABS(AU38)+ABS(AW38)+ABS(AY38)+ABS(BA38)+ABS(BC38)+ABS(BE38)+ABS(BG38)+ABS(BI38)+ABS(BK38)+ABS(BM38)+ABS(BO38)+ABS(BQ38)+ABS(BS38)+ABS(BU38)+ABS(BW38)</f>
        <v>0</v>
      </c>
      <c r="CD38" s="526" t="n">
        <f aca="false">16*DK38</f>
        <v>352</v>
      </c>
      <c r="CE38" s="222" t="n">
        <f aca="false">VLOOKUP(A38,Interest!$X$8:$AC$367,6)</f>
        <v>0.904523844054776</v>
      </c>
      <c r="CF38" s="527" t="n">
        <f aca="false">E38-B38</f>
        <v>0</v>
      </c>
      <c r="CG38" s="527" t="n">
        <f aca="false">IF(YEAR($AJ38)=$CG$10,(($I38-$AL$48)*$AK$48+($I38-$AN$48)*$AM$48+($I38-$AP$48)*$AO$48+($I38-$AR$48)*$AQ$48+($I38-$AT$48)*$AS$48+($I38-$AV$48)*$AU$48+($I38-$AX$48)*$AW$48+($I38-$AZ$48)*$AY$48+($I38-$BB$48)*$BA$48+($I38-$BD$48)*$BC$48+($I38-$BF$48)*$BE$48+($I38-$BH$48)*$BG$48+($I38-$BJ$48)*$BI$48+($I38-$BL$48)*$BK$48+($I38-$BN$48)*$BM$48+($I38-$BP$48)*$BO$48+($I38-$BR$48)*$BQ$48+($I38-$BT$48)*$BS$48+($I38-$BV$48)*$BU$48+($I38-$BX$48)*$BW$48)*$CD38*$CE38,0)</f>
        <v>0</v>
      </c>
      <c r="CH38" s="527" t="n">
        <f aca="false">IF(YEAR($AJ38)=$CH$10,(($I38-$AL$49)*$AK$49+($I38-$AN$49)*$AM$49+($I38-$AP$49)*$AO$49+($I38-$AR$49)*$AQ$49+($I38-$AT$49)*$AS$49+($I38-$AV$49)*$AU$49+($I38-$AX$49)*$AW$49+($I38-$AZ$49)*$AY$49+($I38-$BB$49)*$BA$49+($I38-$BD$49)*$BC$49+($I38-$BF$49)*$BE$49+($I38-$BH$49)*$BG$49+($I38-$BJ$49)*$BI$49+($I38-$BL$49)*$BK$49+($I38-$BN$49)*$BM$49+($I38-$BP$49)*$BO$49+($I38-$BR$49)*$BQ$49+($I38-$BT$49)*$BS$49+($I38-$BV$49)*$BU$49+($I38-$BX$49)*$BW$49)*$CD38*$CE38,0)</f>
        <v>0</v>
      </c>
      <c r="CI38" s="527" t="n">
        <f aca="false">IF(YEAR($AJ38)=$CI$10,(($I38-$AL$50)*$AK$50+($I38-$AN$50)*$AM$50+($I38-$AP$50)*$AO$50+($I38-$AR$50)*$AQ$50+($I38-$AT$50)*$AS$50+($I38-$AV$50)*$AU$50+($I38-$AX$50)*$AW$50+($I38-$AZ$50)*$AY$50+($I38-$BB$50)*$BA$50+($I38-$BD$50)*$BC$50+($I38-$BF$50)*$BE$50+($I38-$BH$50)*$BG$50+($I38-$BJ$50)*$BI$50+($I38-$BL$50)*$BK$50+($I38-$BN$50)*$BM$50+($I38-$BP$50)*$BO$50+($I38-$BR$50)*$BQ$50+($I38-$BT$50)*$BS$50+($I38-$BV$50)*$BU$50+($I38-$BX$50)*$BW$50)*$CD38*$CE38,0)</f>
        <v>0</v>
      </c>
      <c r="CJ38" s="439" t="n">
        <f aca="false">CC38*CD38</f>
        <v>0</v>
      </c>
      <c r="CK38" s="553"/>
      <c r="CL38" s="553" t="n">
        <v>8</v>
      </c>
      <c r="CM38" s="530" t="n">
        <f aca="false">+CF38*CL38/10000</f>
        <v>0</v>
      </c>
      <c r="DJ38" s="532" t="n">
        <f aca="false">[1]Cinergy!$D60</f>
        <v>37956</v>
      </c>
      <c r="DK38" s="440" t="n">
        <f aca="false">VLOOKUP(DJ38,DL38:DM279,2)</f>
        <v>22</v>
      </c>
      <c r="DL38" s="533" t="n">
        <v>36526</v>
      </c>
      <c r="DM38" s="459" t="n">
        <v>21</v>
      </c>
      <c r="DP38" s="534" t="n">
        <f aca="false">[1]Cinergy!$D29</f>
        <v>37168</v>
      </c>
      <c r="DQ38" s="234" t="n">
        <f aca="false">[1]OPPD_NPPD!$O29+[1]NSP!$O29</f>
        <v>1588.2744140625</v>
      </c>
      <c r="DR38" s="234" t="n">
        <f aca="false">[1]COMED!$O29</f>
        <v>6035.44287109375</v>
      </c>
      <c r="DS38" s="234" t="n">
        <f aca="false">DQ38+DR38</f>
        <v>7623.71728515625</v>
      </c>
      <c r="DT38" s="234" t="n">
        <f aca="false">SUM([1]OPPD_NPPD!$P29:$R29)+SUM([1]NSP!$P29:$R29)</f>
        <v>0</v>
      </c>
      <c r="DU38" s="234" t="n">
        <f aca="false">SUM([1]COMED!$P29:$R29)</f>
        <v>-794.13720703125</v>
      </c>
      <c r="DV38" s="234" t="n">
        <f aca="false">DT38+DU38</f>
        <v>-794.13720703125</v>
      </c>
      <c r="DW38" s="535"/>
      <c r="DX38" s="536" t="n">
        <f aca="false">[1]OtherPosn!$D29</f>
        <v>37160</v>
      </c>
      <c r="DY38" s="234" t="n">
        <f aca="false">[1]OtherPosn!$N29</f>
        <v>-10354.779296875</v>
      </c>
      <c r="DZ38" s="234" t="n">
        <f aca="false">SUM([1]OtherPosn!$O29:$P29)</f>
        <v>0</v>
      </c>
      <c r="EO38" s="532" t="n">
        <f aca="false">DJ38</f>
        <v>37956</v>
      </c>
      <c r="EP38" s="234" t="n">
        <f aca="false">DK38</f>
        <v>22</v>
      </c>
      <c r="EQ38" s="473" t="n">
        <f aca="false">AG39*$EP38</f>
        <v>517</v>
      </c>
      <c r="ER38" s="473" t="n">
        <f aca="false">AH39*$EP38</f>
        <v>528</v>
      </c>
    </row>
    <row r="39" customFormat="false" ht="17.25" hidden="false" customHeight="true" outlineLevel="0" collapsed="false">
      <c r="A39" s="605" t="n">
        <f aca="false">[1]Cinergy!$D61</f>
        <v>37987</v>
      </c>
      <c r="B39" s="606" t="n">
        <f aca="false">[1]Cinergy!$O61</f>
        <v>-45300.3671875</v>
      </c>
      <c r="C39" s="607" t="n">
        <f aca="false">B39/(CE39*CD39)</f>
        <v>-149.748386232918</v>
      </c>
      <c r="D39" s="607" t="n">
        <f aca="false">BY39+IF(YEAR(A39)=$T$20,$BY$48,0)+IF(YEAR(A39)=$T$21,$BY$49,0)+IF(YEAR(A39)=$T$22,$BY$50,0)</f>
        <v>0</v>
      </c>
      <c r="E39" s="606" t="n">
        <f aca="false">B39+(D39*CD39*CE39)</f>
        <v>-45300.3671875</v>
      </c>
      <c r="F39" s="608" t="n">
        <f aca="false">C39+D39</f>
        <v>-149.748386232918</v>
      </c>
      <c r="G39" s="609" t="n">
        <f aca="false">[1]Cinergy!$E61</f>
        <v>31.2607154846191</v>
      </c>
      <c r="H39" s="498" t="n">
        <f aca="false">IF($R$9,R39,Q39)</f>
        <v>1.81652250574871E-007</v>
      </c>
      <c r="I39" s="610" t="n">
        <f aca="false">G39+H39</f>
        <v>31.2607156662714</v>
      </c>
      <c r="J39" s="606" t="n">
        <f aca="false">H39*B39</f>
        <v>-0.0082289136514774</v>
      </c>
      <c r="K39" s="611" t="n">
        <f aca="false">(((I39-AL39)*AK39+(I39-AN39)*AM39+(I39-AP39)*AO39+(I39-AR39)*AQ39+(I39-AT39)*AS39+(I39-AV39)*AU39+(I39-AX39)*AW39+(I39-AZ39)*AY39+(I39-BB39)*BA39+(I39-BD39)*BC39+(I39-BF39)*BE39+(I39-BH39)*BG39+(I39-BJ39)*BI39+(I39-BL39)*BK39+(I39-BN39)*BM39+(I39-BP39)*BO39+(I39-BR39)*BQ39+(I39-BT39)*BS39+(I39-BV39)*BU39+(I39-BX39)*BW39)*CD39*CE39)+CG39+CH39+CI39</f>
        <v>0</v>
      </c>
      <c r="L39" s="612" t="n">
        <f aca="false">J39+K39</f>
        <v>-0.0082289136514774</v>
      </c>
      <c r="M39" s="46"/>
      <c r="N39" s="500" t="n">
        <f aca="false">A39</f>
        <v>37987</v>
      </c>
      <c r="O39" s="501" t="n">
        <v>28</v>
      </c>
      <c r="P39" s="501" t="n">
        <v>29</v>
      </c>
      <c r="Q39" s="502" t="n">
        <f aca="false">AVERAGE(O39:P39)-G39</f>
        <v>-2.76071548461914</v>
      </c>
      <c r="R39" s="503" t="n">
        <f aca="false">+[1]Cinergy!$F61</f>
        <v>1.81652250574871E-007</v>
      </c>
      <c r="S39" s="542" t="n">
        <f aca="false">I39</f>
        <v>31.2607156662714</v>
      </c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629" t="n">
        <f aca="false">SUM(AD26:AD38)</f>
        <v>-9412.17489415567</v>
      </c>
      <c r="AE39" s="46"/>
      <c r="AF39" s="630" t="s">
        <v>292</v>
      </c>
      <c r="AG39" s="619" t="n">
        <v>23.5</v>
      </c>
      <c r="AH39" s="620" t="n">
        <v>24</v>
      </c>
      <c r="AI39" s="621"/>
      <c r="AJ39" s="512" t="n">
        <f aca="false">A39</f>
        <v>37987</v>
      </c>
      <c r="AK39" s="513"/>
      <c r="AL39" s="514"/>
      <c r="AM39" s="513"/>
      <c r="AN39" s="514"/>
      <c r="AO39" s="513"/>
      <c r="AP39" s="514"/>
      <c r="AQ39" s="513"/>
      <c r="AR39" s="514"/>
      <c r="AS39" s="515"/>
      <c r="AT39" s="516"/>
      <c r="AU39" s="550"/>
      <c r="AV39" s="551"/>
      <c r="AW39" s="550"/>
      <c r="AX39" s="551"/>
      <c r="AY39" s="550"/>
      <c r="AZ39" s="551"/>
      <c r="BA39" s="550"/>
      <c r="BB39" s="551"/>
      <c r="BC39" s="520"/>
      <c r="BD39" s="517"/>
      <c r="BE39" s="520"/>
      <c r="BF39" s="517"/>
      <c r="BG39" s="520"/>
      <c r="BH39" s="517"/>
      <c r="BI39" s="520"/>
      <c r="BJ39" s="517"/>
      <c r="BK39" s="520"/>
      <c r="BL39" s="517"/>
      <c r="BM39" s="520"/>
      <c r="BN39" s="517"/>
      <c r="BO39" s="520"/>
      <c r="BP39" s="517"/>
      <c r="BQ39" s="520"/>
      <c r="BR39" s="517"/>
      <c r="BS39" s="520"/>
      <c r="BT39" s="517"/>
      <c r="BU39" s="520"/>
      <c r="BV39" s="517"/>
      <c r="BW39" s="520"/>
      <c r="BX39" s="517"/>
      <c r="BY39" s="556" t="n">
        <f aca="false">AK39+AM39+AO39+AQ39+AS39+AU39+AW39+AY39+BA39+BC39+BE39+BG39+BI39+BK39+BM39+BO39+BQ39+BS39+BU39+BW39</f>
        <v>0</v>
      </c>
      <c r="BZ39" s="524" t="n">
        <f aca="false">IF(AND(BY39=0,CC39=0),0,(ABS(AK39)*AL39+ABS(AM39)*AN39+ABS(AO39)*AP39+ABS(AQ39)*AR39+ABS(AS39)*AT39+ABS(AU39)*AV39+ABS(AW39)*AX39+ABS(AY39)*AZ39+ABS(BA39)*BB39+ABS(BC39)*BD39+ABS(BE39)*BF39+ABS(BG39)*BH39+ABS(BI39)*BJ39+ABS(BK39)*BL39+ABS(BM39)*BN39+ABS(BO39)*BP39+ABS(BQ39)*BR39+ABS(BS39)*BT39+ABS(BU39)*BV39+ABS(BW39)*BX39)/CC39)</f>
        <v>0</v>
      </c>
      <c r="CB39" s="525" t="n">
        <f aca="false">AJ39</f>
        <v>37987</v>
      </c>
      <c r="CC39" s="222" t="n">
        <f aca="false">ABS(AK39)+ABS(AM39)+ABS(AO39)+ABS(AQ39)+ABS(AS39)+ABS(AU39)+ABS(AW39)+ABS(AY39)+ABS(BA39)+ABS(BC39)+ABS(BE39)+ABS(BG39)+ABS(BI39)+ABS(BK39)+ABS(BM39)+ABS(BO39)+ABS(BQ39)+ABS(BS39)+ABS(BU39)+ABS(BW39)</f>
        <v>0</v>
      </c>
      <c r="CD39" s="526" t="n">
        <f aca="false">16*DK39</f>
        <v>336</v>
      </c>
      <c r="CE39" s="222" t="n">
        <f aca="false">VLOOKUP(A39,Interest!$X$8:$AC$367,6)</f>
        <v>0.900327040464172</v>
      </c>
      <c r="CF39" s="527" t="n">
        <f aca="false">E39-B39</f>
        <v>0</v>
      </c>
      <c r="CG39" s="527" t="n">
        <f aca="false">IF(YEAR($AJ39)=$CG$10,(($I39-$AL$48)*$AK$48+($I39-$AN$48)*$AM$48+($I39-$AP$48)*$AO$48+($I39-$AR$48)*$AQ$48+($I39-$AT$48)*$AS$48+($I39-$AV$48)*$AU$48+($I39-$AX$48)*$AW$48+($I39-$AZ$48)*$AY$48+($I39-$BB$48)*$BA$48+($I39-$BD$48)*$BC$48+($I39-$BF$48)*$BE$48+($I39-$BH$48)*$BG$48+($I39-$BJ$48)*$BI$48+($I39-$BL$48)*$BK$48+($I39-$BN$48)*$BM$48+($I39-$BP$48)*$BO$48+($I39-$BR$48)*$BQ$48+($I39-$BT$48)*$BS$48+($I39-$BV$48)*$BU$48+($I39-$BX$48)*$BW$48)*$CD39*$CE39,0)</f>
        <v>0</v>
      </c>
      <c r="CH39" s="527" t="n">
        <f aca="false">IF(YEAR($AJ39)=$CH$10,(($I39-$AL$49)*$AK$49+($I39-$AN$49)*$AM$49+($I39-$AP$49)*$AO$49+($I39-$AR$49)*$AQ$49+($I39-$AT$49)*$AS$49+($I39-$AV$49)*$AU$49+($I39-$AX$49)*$AW$49+($I39-$AZ$49)*$AY$49+($I39-$BB$49)*$BA$49+($I39-$BD$49)*$BC$49+($I39-$BF$49)*$BE$49+($I39-$BH$49)*$BG$49+($I39-$BJ$49)*$BI$49+($I39-$BL$49)*$BK$49+($I39-$BN$49)*$BM$49+($I39-$BP$49)*$BO$49+($I39-$BR$49)*$BQ$49+($I39-$BT$49)*$BS$49+($I39-$BV$49)*$BU$49+($I39-$BX$49)*$BW$49)*$CD39*$CE39,0)</f>
        <v>0</v>
      </c>
      <c r="CI39" s="527" t="n">
        <f aca="false">IF(YEAR($AJ39)=$CI$10,(($I39-$AL$50)*$AK$50+($I39-$AN$50)*$AM$50+($I39-$AP$50)*$AO$50+($I39-$AR$50)*$AQ$50+($I39-$AT$50)*$AS$50+($I39-$AV$50)*$AU$50+($I39-$AX$50)*$AW$50+($I39-$AZ$50)*$AY$50+($I39-$BB$50)*$BA$50+($I39-$BD$50)*$BC$50+($I39-$BF$50)*$BE$50+($I39-$BH$50)*$BG$50+($I39-$BJ$50)*$BI$50+($I39-$BL$50)*$BK$50+($I39-$BN$50)*$BM$50+($I39-$BP$50)*$BO$50+($I39-$BR$50)*$BQ$50+($I39-$BT$50)*$BS$50+($I39-$BV$50)*$BU$50+($I39-$BX$50)*$BW$50)*$CD39*$CE39,0)</f>
        <v>0</v>
      </c>
      <c r="CJ39" s="439" t="n">
        <f aca="false">CC39*CD39</f>
        <v>0</v>
      </c>
      <c r="CK39" s="553"/>
      <c r="CL39" s="553" t="n">
        <v>7.7</v>
      </c>
      <c r="CM39" s="530" t="n">
        <f aca="false">+CF39*CL39/10000</f>
        <v>0</v>
      </c>
      <c r="DJ39" s="532" t="n">
        <f aca="false">[1]Cinergy!$D61</f>
        <v>37987</v>
      </c>
      <c r="DK39" s="440" t="n">
        <f aca="false">VLOOKUP(DJ39,DL39:DM280,2)</f>
        <v>21</v>
      </c>
      <c r="DL39" s="533" t="n">
        <v>36557</v>
      </c>
      <c r="DM39" s="459" t="n">
        <v>21</v>
      </c>
      <c r="DP39" s="534" t="n">
        <f aca="false">[1]Cinergy!$D30</f>
        <v>37169</v>
      </c>
      <c r="DQ39" s="234" t="n">
        <f aca="false">[1]OPPD_NPPD!$O30+[1]NSP!$O30</f>
        <v>1588.2744140625</v>
      </c>
      <c r="DR39" s="234" t="n">
        <f aca="false">[1]COMED!$O30</f>
        <v>6035.44287109375</v>
      </c>
      <c r="DS39" s="234" t="n">
        <f aca="false">DQ39+DR39</f>
        <v>7623.71728515625</v>
      </c>
      <c r="DT39" s="234" t="n">
        <f aca="false">SUM([1]OPPD_NPPD!$P30:$R30)+SUM([1]NSP!$P30:$R30)</f>
        <v>0</v>
      </c>
      <c r="DU39" s="234" t="n">
        <f aca="false">SUM([1]COMED!$P30:$R30)</f>
        <v>-794.13720703125</v>
      </c>
      <c r="DV39" s="234" t="n">
        <f aca="false">DT39+DU39</f>
        <v>-794.13720703125</v>
      </c>
      <c r="DW39" s="535"/>
      <c r="DX39" s="536" t="n">
        <f aca="false">[1]OtherPosn!$D30</f>
        <v>37161</v>
      </c>
      <c r="DY39" s="234" t="n">
        <f aca="false">[1]OtherPosn!$N30</f>
        <v>-10354.779296875</v>
      </c>
      <c r="DZ39" s="234" t="n">
        <f aca="false">SUM([1]OtherPosn!$O30:$P30)</f>
        <v>0</v>
      </c>
    </row>
    <row r="40" customFormat="false" ht="18" hidden="false" customHeight="true" outlineLevel="0" collapsed="false">
      <c r="A40" s="599" t="n">
        <f aca="false">[1]Cinergy!$D62</f>
        <v>38018</v>
      </c>
      <c r="B40" s="600" t="n">
        <f aca="false">[1]Cinergy!$O62</f>
        <v>-42953.421875</v>
      </c>
      <c r="C40" s="601" t="n">
        <f aca="false">B40/(CE40*CD40)</f>
        <v>-149.757445252292</v>
      </c>
      <c r="D40" s="601" t="n">
        <f aca="false">BY40+IF(YEAR(A40)=$T$20,$BY$48,0)+IF(YEAR(A40)=$T$21,$BY$49,0)+IF(YEAR(A40)=$T$22,$BY$50,0)</f>
        <v>0</v>
      </c>
      <c r="E40" s="600" t="n">
        <f aca="false">B40+(D40*CD40*CE40)</f>
        <v>-42953.421875</v>
      </c>
      <c r="F40" s="602" t="n">
        <f aca="false">C40+D40</f>
        <v>-149.757445252292</v>
      </c>
      <c r="G40" s="603" t="n">
        <f aca="false">[1]Cinergy!$E62</f>
        <v>30.6607093811035</v>
      </c>
      <c r="H40" s="498" t="n">
        <f aca="false">IF($R$9,R40,Q40)</f>
        <v>1.81652250574871E-007</v>
      </c>
      <c r="I40" s="604" t="n">
        <f aca="false">G40+H40</f>
        <v>30.6607095627558</v>
      </c>
      <c r="J40" s="600" t="n">
        <f aca="false">H40*B40</f>
        <v>-0.00780258575348564</v>
      </c>
      <c r="K40" s="163" t="n">
        <f aca="false">(((I40-AL40)*AK40+(I40-AN40)*AM40+(I40-AP40)*AO40+(I40-AR40)*AQ40+(I40-AT40)*AS40+(I40-AV40)*AU40+(I40-AX40)*AW40+(I40-AZ40)*AY40+(I40-BB40)*BA40+(I40-BD40)*BC40+(I40-BF40)*BE40+(I40-BH40)*BG40+(I40-BJ40)*BI40+(I40-BL40)*BK40+(I40-BN40)*BM40+(I40-BP40)*BO40+(I40-BR40)*BQ40+(I40-BT40)*BS40+(I40-BV40)*BU40+(I40-BX40)*BW40)*CD40*CE40)+CG40+CH40+CI40</f>
        <v>0</v>
      </c>
      <c r="L40" s="123" t="n">
        <f aca="false">J40+K40</f>
        <v>-0.00780258575348564</v>
      </c>
      <c r="M40" s="46"/>
      <c r="N40" s="500" t="n">
        <f aca="false">A40</f>
        <v>38018</v>
      </c>
      <c r="O40" s="501" t="n">
        <v>28</v>
      </c>
      <c r="P40" s="501" t="n">
        <v>29</v>
      </c>
      <c r="Q40" s="502" t="n">
        <f aca="false">AVERAGE(O40:P40)-G40</f>
        <v>-2.16070938110352</v>
      </c>
      <c r="R40" s="503" t="n">
        <f aca="false">+[1]Cinergy!$F62</f>
        <v>1.81652250574871E-007</v>
      </c>
      <c r="S40" s="542" t="n">
        <f aca="false">I40</f>
        <v>30.6607095627558</v>
      </c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614"/>
      <c r="AG40" s="615"/>
      <c r="AH40" s="615"/>
      <c r="AI40" s="616"/>
      <c r="AJ40" s="512" t="n">
        <f aca="false">A40</f>
        <v>38018</v>
      </c>
      <c r="AK40" s="513"/>
      <c r="AL40" s="514"/>
      <c r="AM40" s="513"/>
      <c r="AN40" s="514"/>
      <c r="AO40" s="513"/>
      <c r="AP40" s="514"/>
      <c r="AQ40" s="513"/>
      <c r="AR40" s="514"/>
      <c r="AS40" s="515"/>
      <c r="AT40" s="516"/>
      <c r="AU40" s="550"/>
      <c r="AV40" s="551"/>
      <c r="AW40" s="550"/>
      <c r="AX40" s="551"/>
      <c r="AY40" s="550"/>
      <c r="AZ40" s="551"/>
      <c r="BA40" s="550"/>
      <c r="BB40" s="551"/>
      <c r="BC40" s="520"/>
      <c r="BD40" s="517"/>
      <c r="BE40" s="520"/>
      <c r="BF40" s="517"/>
      <c r="BG40" s="520"/>
      <c r="BH40" s="517"/>
      <c r="BI40" s="520"/>
      <c r="BJ40" s="517"/>
      <c r="BK40" s="520"/>
      <c r="BL40" s="517"/>
      <c r="BM40" s="520"/>
      <c r="BN40" s="517"/>
      <c r="BO40" s="520"/>
      <c r="BP40" s="517"/>
      <c r="BQ40" s="520"/>
      <c r="BR40" s="517"/>
      <c r="BS40" s="520"/>
      <c r="BT40" s="517"/>
      <c r="BU40" s="520"/>
      <c r="BV40" s="517"/>
      <c r="BW40" s="520"/>
      <c r="BX40" s="517"/>
      <c r="BY40" s="556" t="n">
        <f aca="false">AK40+AM40+AO40+AQ40+AS40+AU40+AW40+AY40+BA40+BC40+BE40+BG40+BI40+BK40+BM40+BO40+BQ40+BS40+BU40+BW40</f>
        <v>0</v>
      </c>
      <c r="BZ40" s="524" t="n">
        <f aca="false">IF(AND(BY40=0,CC40=0),0,(ABS(AK40)*AL40+ABS(AM40)*AN40+ABS(AO40)*AP40+ABS(AQ40)*AR40+ABS(AS40)*AT40+ABS(AU40)*AV40+ABS(AW40)*AX40+ABS(AY40)*AZ40+ABS(BA40)*BB40+ABS(BC40)*BD40+ABS(BE40)*BF40+ABS(BG40)*BH40+ABS(BI40)*BJ40+ABS(BK40)*BL40+ABS(BM40)*BN40+ABS(BO40)*BP40+ABS(BQ40)*BR40+ABS(BS40)*BT40+ABS(BU40)*BV40+ABS(BW40)*BX40)/CC40)</f>
        <v>0</v>
      </c>
      <c r="CB40" s="525" t="n">
        <f aca="false">AJ40</f>
        <v>38018</v>
      </c>
      <c r="CC40" s="222" t="n">
        <f aca="false">ABS(AK40)+ABS(AM40)+ABS(AO40)+ABS(AQ40)+ABS(AS40)+ABS(AU40)+ABS(AW40)+ABS(AY40)+ABS(BA40)+ABS(BC40)+ABS(BE40)+ABS(BG40)+ABS(BI40)+ABS(BK40)+ABS(BM40)+ABS(BO40)+ABS(BQ40)+ABS(BS40)+ABS(BU40)+ABS(BW40)</f>
        <v>0</v>
      </c>
      <c r="CD40" s="526" t="n">
        <f aca="false">16*DK40</f>
        <v>320</v>
      </c>
      <c r="CE40" s="222" t="n">
        <f aca="false">VLOOKUP(A40,Interest!$X$8:$AC$367,6)</f>
        <v>0.89631232112195</v>
      </c>
      <c r="CF40" s="527" t="n">
        <f aca="false">E40-B40</f>
        <v>0</v>
      </c>
      <c r="CG40" s="527" t="n">
        <f aca="false">IF(YEAR($AJ40)=$CG$10,(($I40-$AL$48)*$AK$48+($I40-$AN$48)*$AM$48+($I40-$AP$48)*$AO$48+($I40-$AR$48)*$AQ$48+($I40-$AT$48)*$AS$48+($I40-$AV$48)*$AU$48+($I40-$AX$48)*$AW$48+($I40-$AZ$48)*$AY$48+($I40-$BB$48)*$BA$48+($I40-$BD$48)*$BC$48+($I40-$BF$48)*$BE$48+($I40-$BH$48)*$BG$48+($I40-$BJ$48)*$BI$48+($I40-$BL$48)*$BK$48+($I40-$BN$48)*$BM$48+($I40-$BP$48)*$BO$48+($I40-$BR$48)*$BQ$48+($I40-$BT$48)*$BS$48+($I40-$BV$48)*$BU$48+($I40-$BX$48)*$BW$48)*$CD40*$CE40,0)</f>
        <v>0</v>
      </c>
      <c r="CH40" s="527" t="n">
        <f aca="false">IF(YEAR($AJ40)=$CH$10,(($I40-$AL$49)*$AK$49+($I40-$AN$49)*$AM$49+($I40-$AP$49)*$AO$49+($I40-$AR$49)*$AQ$49+($I40-$AT$49)*$AS$49+($I40-$AV$49)*$AU$49+($I40-$AX$49)*$AW$49+($I40-$AZ$49)*$AY$49+($I40-$BB$49)*$BA$49+($I40-$BD$49)*$BC$49+($I40-$BF$49)*$BE$49+($I40-$BH$49)*$BG$49+($I40-$BJ$49)*$BI$49+($I40-$BL$49)*$BK$49+($I40-$BN$49)*$BM$49+($I40-$BP$49)*$BO$49+($I40-$BR$49)*$BQ$49+($I40-$BT$49)*$BS$49+($I40-$BV$49)*$BU$49+($I40-$BX$49)*$BW$49)*$CD40*$CE40,0)</f>
        <v>0</v>
      </c>
      <c r="CI40" s="527" t="n">
        <f aca="false">IF(YEAR($AJ40)=$CI$10,(($I40-$AL$50)*$AK$50+($I40-$AN$50)*$AM$50+($I40-$AP$50)*$AO$50+($I40-$AR$50)*$AQ$50+($I40-$AT$50)*$AS$50+($I40-$AV$50)*$AU$50+($I40-$AX$50)*$AW$50+($I40-$AZ$50)*$AY$50+($I40-$BB$50)*$BA$50+($I40-$BD$50)*$BC$50+($I40-$BF$50)*$BE$50+($I40-$BH$50)*$BG$50+($I40-$BJ$50)*$BI$50+($I40-$BL$50)*$BK$50+($I40-$BN$50)*$BM$50+($I40-$BP$50)*$BO$50+($I40-$BR$50)*$BQ$50+($I40-$BT$50)*$BS$50+($I40-$BV$50)*$BU$50+($I40-$BX$50)*$BW$50)*$CD40*$CE40,0)</f>
        <v>0</v>
      </c>
      <c r="CJ40" s="439" t="n">
        <f aca="false">CC40*CD40</f>
        <v>0</v>
      </c>
      <c r="CK40" s="553"/>
      <c r="CL40" s="553" t="n">
        <v>8.4</v>
      </c>
      <c r="CM40" s="530" t="n">
        <f aca="false">+CF40*CL40/10000</f>
        <v>0</v>
      </c>
      <c r="DJ40" s="532" t="n">
        <f aca="false">[1]Cinergy!$D62</f>
        <v>38018</v>
      </c>
      <c r="DK40" s="440" t="n">
        <f aca="false">VLOOKUP(DJ40,DL40:DM281,2)</f>
        <v>20</v>
      </c>
      <c r="DL40" s="533" t="n">
        <v>36586</v>
      </c>
      <c r="DM40" s="459" t="n">
        <v>23</v>
      </c>
      <c r="DP40" s="534" t="n">
        <f aca="false">[1]Cinergy!$D31</f>
        <v>37170</v>
      </c>
      <c r="DQ40" s="234" t="n">
        <f aca="false">[1]OPPD_NPPD!$O31+[1]NSP!$O31</f>
        <v>0</v>
      </c>
      <c r="DR40" s="234" t="n">
        <f aca="false">[1]COMED!$O31</f>
        <v>0</v>
      </c>
      <c r="DS40" s="234" t="n">
        <f aca="false">DQ40+DR40</f>
        <v>0</v>
      </c>
      <c r="DT40" s="234" t="n">
        <f aca="false">SUM([1]OPPD_NPPD!$P31:$R31)+SUM([1]NSP!$P31:$R31)</f>
        <v>0</v>
      </c>
      <c r="DU40" s="234" t="n">
        <f aca="false">SUM([1]COMED!$P31:$R31)</f>
        <v>-2382.41162109375</v>
      </c>
      <c r="DV40" s="234" t="n">
        <f aca="false">DT40+DU40</f>
        <v>-2382.41162109375</v>
      </c>
      <c r="DW40" s="535"/>
      <c r="DX40" s="536" t="n">
        <f aca="false">[1]OtherPosn!$D31</f>
        <v>37162</v>
      </c>
      <c r="DY40" s="234" t="n">
        <f aca="false">[1]OtherPosn!$N31</f>
        <v>-10354.779296875</v>
      </c>
      <c r="DZ40" s="234" t="n">
        <f aca="false">SUM([1]OtherPosn!$O31:$P31)</f>
        <v>0</v>
      </c>
    </row>
    <row r="41" customFormat="false" ht="18" hidden="false" customHeight="true" outlineLevel="0" collapsed="false">
      <c r="A41" s="605" t="n">
        <f aca="false">[1]Cinergy!$D63</f>
        <v>38047</v>
      </c>
      <c r="B41" s="606" t="n">
        <f aca="false">[1]Cinergy!$O63</f>
        <v>-49164.66015625</v>
      </c>
      <c r="C41" s="607" t="n">
        <f aca="false">B41/(CE41*CD41)</f>
        <v>-149.757469497401</v>
      </c>
      <c r="D41" s="607" t="n">
        <f aca="false">BY41+IF(YEAR(A41)=$T$20,$BY$48,0)+IF(YEAR(A41)=$T$21,$BY$49,0)+IF(YEAR(A41)=$T$22,$BY$50,0)</f>
        <v>0</v>
      </c>
      <c r="E41" s="606" t="n">
        <f aca="false">B41+(D41*CD41*CE41)</f>
        <v>-49164.66015625</v>
      </c>
      <c r="F41" s="608" t="n">
        <f aca="false">C41+D41</f>
        <v>-149.757469497401</v>
      </c>
      <c r="G41" s="609" t="n">
        <f aca="false">[1]Cinergy!$E63</f>
        <v>29.3726711273193</v>
      </c>
      <c r="H41" s="498" t="n">
        <f aca="false">IF($R$9,R41,Q41)</f>
        <v>-0.250000443569448</v>
      </c>
      <c r="I41" s="610" t="n">
        <f aca="false">G41+H41</f>
        <v>29.1226706837499</v>
      </c>
      <c r="J41" s="606" t="n">
        <f aca="false">H41*B41</f>
        <v>12291.1868470037</v>
      </c>
      <c r="K41" s="611" t="n">
        <f aca="false">(((I41-AL41)*AK41+(I41-AN41)*AM41+(I41-AP41)*AO41+(I41-AR41)*AQ41+(I41-AT41)*AS41+(I41-AV41)*AU41+(I41-AX41)*AW41+(I41-AZ41)*AY41+(I41-BB41)*BA41+(I41-BD41)*BC41+(I41-BF41)*BE41+(I41-BH41)*BG41+(I41-BJ41)*BI41+(I41-BL41)*BK41+(I41-BN41)*BM41+(I41-BP41)*BO41+(I41-BR41)*BQ41+(I41-BT41)*BS41+(I41-BV41)*BU41+(I41-BX41)*BW41)*CD41*CE41)+CG41+CH41+CI41</f>
        <v>0</v>
      </c>
      <c r="L41" s="612" t="n">
        <f aca="false">J41+K41</f>
        <v>12291.1868470037</v>
      </c>
      <c r="M41" s="46"/>
      <c r="N41" s="500" t="n">
        <f aca="false">A41</f>
        <v>38047</v>
      </c>
      <c r="O41" s="501" t="n">
        <v>28</v>
      </c>
      <c r="P41" s="501" t="n">
        <v>29</v>
      </c>
      <c r="Q41" s="502" t="n">
        <f aca="false">AVERAGE(O41:P41)-G41</f>
        <v>-0.872671127319336</v>
      </c>
      <c r="R41" s="503" t="n">
        <f aca="false">+[1]Cinergy!$F63</f>
        <v>-0.250000443569448</v>
      </c>
      <c r="S41" s="542" t="n">
        <f aca="false">I41</f>
        <v>29.1226706837499</v>
      </c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618"/>
      <c r="AG41" s="620"/>
      <c r="AH41" s="620"/>
      <c r="AI41" s="621"/>
      <c r="AJ41" s="512" t="n">
        <f aca="false">A41</f>
        <v>38047</v>
      </c>
      <c r="AK41" s="513"/>
      <c r="AL41" s="514"/>
      <c r="AM41" s="513"/>
      <c r="AN41" s="514"/>
      <c r="AO41" s="513"/>
      <c r="AP41" s="514"/>
      <c r="AQ41" s="513"/>
      <c r="AR41" s="514"/>
      <c r="AS41" s="515"/>
      <c r="AT41" s="516"/>
      <c r="AU41" s="550"/>
      <c r="AV41" s="551"/>
      <c r="AW41" s="550"/>
      <c r="AX41" s="551"/>
      <c r="AY41" s="513"/>
      <c r="AZ41" s="517"/>
      <c r="BA41" s="520"/>
      <c r="BB41" s="517"/>
      <c r="BC41" s="520"/>
      <c r="BD41" s="517"/>
      <c r="BE41" s="520"/>
      <c r="BF41" s="517"/>
      <c r="BG41" s="520"/>
      <c r="BH41" s="517"/>
      <c r="BI41" s="520"/>
      <c r="BJ41" s="517"/>
      <c r="BK41" s="520"/>
      <c r="BL41" s="517"/>
      <c r="BM41" s="520"/>
      <c r="BN41" s="517"/>
      <c r="BO41" s="520"/>
      <c r="BP41" s="517"/>
      <c r="BQ41" s="520"/>
      <c r="BR41" s="517"/>
      <c r="BS41" s="520"/>
      <c r="BT41" s="517"/>
      <c r="BU41" s="520"/>
      <c r="BV41" s="517"/>
      <c r="BW41" s="520"/>
      <c r="BX41" s="517"/>
      <c r="BY41" s="556" t="n">
        <f aca="false">AK41+AM41+AO41+AQ41+AS41+AU41+AW41+AY41+BA41+BC41+BE41+BG41+BI41+BK41+BM41+BO41+BQ41+BS41+BU41+BW41</f>
        <v>0</v>
      </c>
      <c r="BZ41" s="524" t="n">
        <f aca="false">IF(AND(BY41=0,CC41=0),0,(ABS(AK41)*AL41+ABS(AM41)*AN41+ABS(AO41)*AP41+ABS(AQ41)*AR41+ABS(AS41)*AT41+ABS(AU41)*AV41+ABS(AW41)*AX41+ABS(AY41)*AZ41+ABS(BA41)*BB41+ABS(BC41)*BD41+ABS(BE41)*BF41+ABS(BG41)*BH41+ABS(BI41)*BJ41+ABS(BK41)*BL41+ABS(BM41)*BN41+ABS(BO41)*BP41+ABS(BQ41)*BR41+ABS(BS41)*BT41+ABS(BU41)*BV41+ABS(BW41)*BX41)/CC41)</f>
        <v>0</v>
      </c>
      <c r="CB41" s="525" t="n">
        <f aca="false">AJ41</f>
        <v>38047</v>
      </c>
      <c r="CC41" s="222" t="n">
        <f aca="false">ABS(AK41)+ABS(AM41)+ABS(AO41)+ABS(AQ41)+ABS(AS41)+ABS(AU41)+ABS(AW41)+ABS(AY41)+ABS(BA41)+ABS(BC41)+ABS(BE41)+ABS(BG41)+ABS(BI41)+ABS(BK41)+ABS(BM41)+ABS(BO41)+ABS(BQ41)+ABS(BS41)+ABS(BU41)+ABS(BW41)</f>
        <v>0</v>
      </c>
      <c r="CD41" s="526" t="n">
        <f aca="false">16*DK41</f>
        <v>368</v>
      </c>
      <c r="CE41" s="222" t="n">
        <f aca="false">VLOOKUP(A41,Interest!$X$8:$AC$367,6)</f>
        <v>0.89210655360418</v>
      </c>
      <c r="CF41" s="527" t="n">
        <f aca="false">E41-B41</f>
        <v>0</v>
      </c>
      <c r="CG41" s="527" t="n">
        <f aca="false">IF(YEAR($AJ41)=$CG$10,(($I41-$AL$48)*$AK$48+($I41-$AN$48)*$AM$48+($I41-$AP$48)*$AO$48+($I41-$AR$48)*$AQ$48+($I41-$AT$48)*$AS$48+($I41-$AV$48)*$AU$48+($I41-$AX$48)*$AW$48+($I41-$AZ$48)*$AY$48+($I41-$BB$48)*$BA$48+($I41-$BD$48)*$BC$48+($I41-$BF$48)*$BE$48+($I41-$BH$48)*$BG$48+($I41-$BJ$48)*$BI$48+($I41-$BL$48)*$BK$48+($I41-$BN$48)*$BM$48+($I41-$BP$48)*$BO$48+($I41-$BR$48)*$BQ$48+($I41-$BT$48)*$BS$48+($I41-$BV$48)*$BU$48+($I41-$BX$48)*$BW$48)*$CD41*$CE41,0)</f>
        <v>0</v>
      </c>
      <c r="CH41" s="527" t="n">
        <f aca="false">IF(YEAR($AJ41)=$CH$10,(($I41-$AL$49)*$AK$49+($I41-$AN$49)*$AM$49+($I41-$AP$49)*$AO$49+($I41-$AR$49)*$AQ$49+($I41-$AT$49)*$AS$49+($I41-$AV$49)*$AU$49+($I41-$AX$49)*$AW$49+($I41-$AZ$49)*$AY$49+($I41-$BB$49)*$BA$49+($I41-$BD$49)*$BC$49+($I41-$BF$49)*$BE$49+($I41-$BH$49)*$BG$49+($I41-$BJ$49)*$BI$49+($I41-$BL$49)*$BK$49+($I41-$BN$49)*$BM$49+($I41-$BP$49)*$BO$49+($I41-$BR$49)*$BQ$49+($I41-$BT$49)*$BS$49+($I41-$BV$49)*$BU$49+($I41-$BX$49)*$BW$49)*$CD41*$CE41,0)</f>
        <v>0</v>
      </c>
      <c r="CI41" s="527" t="n">
        <f aca="false">IF(YEAR($AJ41)=$CI$10,(($I41-$AL$50)*$AK$50+($I41-$AN$50)*$AM$50+($I41-$AP$50)*$AO$50+($I41-$AR$50)*$AQ$50+($I41-$AT$50)*$AS$50+($I41-$AV$50)*$AU$50+($I41-$AX$50)*$AW$50+($I41-$AZ$50)*$AY$50+($I41-$BB$50)*$BA$50+($I41-$BD$50)*$BC$50+($I41-$BF$50)*$BE$50+($I41-$BH$50)*$BG$50+($I41-$BJ$50)*$BI$50+($I41-$BL$50)*$BK$50+($I41-$BN$50)*$BM$50+($I41-$BP$50)*$BO$50+($I41-$BR$50)*$BQ$50+($I41-$BT$50)*$BS$50+($I41-$BV$50)*$BU$50+($I41-$BX$50)*$BW$50)*$CD41*$CE41,0)</f>
        <v>0</v>
      </c>
      <c r="CJ41" s="439" t="n">
        <f aca="false">CC41*CD41</f>
        <v>0</v>
      </c>
      <c r="CK41" s="553"/>
      <c r="CL41" s="553" t="n">
        <v>8.5</v>
      </c>
      <c r="CM41" s="530" t="n">
        <f aca="false">+CF41*CL41/10000</f>
        <v>0</v>
      </c>
      <c r="DJ41" s="532" t="n">
        <f aca="false">[1]Cinergy!$D63</f>
        <v>38047</v>
      </c>
      <c r="DK41" s="440" t="n">
        <f aca="false">VLOOKUP(DJ41,DL41:DM282,2)</f>
        <v>23</v>
      </c>
      <c r="DL41" s="533" t="n">
        <v>36617</v>
      </c>
      <c r="DM41" s="459" t="n">
        <v>20</v>
      </c>
      <c r="DP41" s="534" t="n">
        <f aca="false">[1]Cinergy!$D32</f>
        <v>37171</v>
      </c>
      <c r="DQ41" s="234" t="n">
        <f aca="false">[1]OPPD_NPPD!$O32+[1]NSP!$O32</f>
        <v>0</v>
      </c>
      <c r="DR41" s="234" t="n">
        <f aca="false">[1]COMED!$O32</f>
        <v>0</v>
      </c>
      <c r="DS41" s="234" t="n">
        <f aca="false">DQ41+DR41</f>
        <v>0</v>
      </c>
      <c r="DT41" s="234" t="n">
        <f aca="false">SUM([1]OPPD_NPPD!$P32:$R32)+SUM([1]NSP!$P32:$R32)</f>
        <v>0</v>
      </c>
      <c r="DU41" s="234" t="n">
        <f aca="false">SUM([1]COMED!$P32:$R32)</f>
        <v>-2382.41162109375</v>
      </c>
      <c r="DV41" s="234" t="n">
        <f aca="false">DT41+DU41</f>
        <v>-2382.41162109375</v>
      </c>
      <c r="DW41" s="535"/>
      <c r="DX41" s="536" t="n">
        <f aca="false">[1]OtherPosn!$D32</f>
        <v>37165</v>
      </c>
      <c r="DY41" s="234" t="n">
        <f aca="false">[1]OtherPosn!$N32</f>
        <v>0</v>
      </c>
      <c r="DZ41" s="234" t="n">
        <f aca="false">SUM([1]OtherPosn!$O32:$P32)</f>
        <v>0</v>
      </c>
    </row>
    <row r="42" customFormat="false" ht="18" hidden="false" customHeight="false" outlineLevel="0" collapsed="false">
      <c r="A42" s="599" t="n">
        <f aca="false">[1]Cinergy!$D64</f>
        <v>38078</v>
      </c>
      <c r="B42" s="600" t="n">
        <f aca="false">[1]Cinergy!$O64</f>
        <v>-46812.14453125</v>
      </c>
      <c r="C42" s="601" t="n">
        <f aca="false">B42/(CE42*CD42)</f>
        <v>-149.767185855738</v>
      </c>
      <c r="D42" s="601" t="n">
        <f aca="false">BY42+IF(YEAR(A42)=$T$20,$BY$48,0)+IF(YEAR(A42)=$T$21,$BY$49,0)+IF(YEAR(A42)=$T$22,$BY$50,0)</f>
        <v>0</v>
      </c>
      <c r="E42" s="600" t="n">
        <f aca="false">B42+(D42*CD42*CE42)</f>
        <v>-46812.14453125</v>
      </c>
      <c r="F42" s="602" t="n">
        <f aca="false">C42+D42</f>
        <v>-149.767185855738</v>
      </c>
      <c r="G42" s="603" t="n">
        <f aca="false">[1]Cinergy!$E64</f>
        <v>29.5726718902588</v>
      </c>
      <c r="H42" s="498" t="n">
        <f aca="false">IF($R$9,R42,Q42)</f>
        <v>-0.250000443569448</v>
      </c>
      <c r="I42" s="604" t="n">
        <f aca="false">G42+H42</f>
        <v>29.3226714466893</v>
      </c>
      <c r="J42" s="600" t="n">
        <f aca="false">H42*B42</f>
        <v>11703.0568972496</v>
      </c>
      <c r="K42" s="163" t="n">
        <f aca="false">(((I42-AL42)*AK42+(I42-AN42)*AM42+(I42-AP42)*AO42+(I42-AR42)*AQ42+(I42-AT42)*AS42+(I42-AV42)*AU42+(I42-AX42)*AW42+(I42-AZ42)*AY42+(I42-BB42)*BA42+(I42-BD42)*BC42+(I42-BF42)*BE42+(I42-BH42)*BG42+(I42-BJ42)*BI42+(I42-BL42)*BK42+(I42-BN42)*BM42+(I42-BP42)*BO42+(I42-BR42)*BQ42+(I42-BT42)*BS42+(I42-BV42)*BU42+(I42-BX42)*BW42)*CD42*CE42)+CG42+CH42+CI42</f>
        <v>0</v>
      </c>
      <c r="L42" s="123" t="n">
        <f aca="false">J42+K42</f>
        <v>11703.0568972496</v>
      </c>
      <c r="M42" s="46"/>
      <c r="N42" s="500" t="n">
        <f aca="false">A42</f>
        <v>38078</v>
      </c>
      <c r="O42" s="501" t="n">
        <v>28</v>
      </c>
      <c r="P42" s="501" t="n">
        <v>29</v>
      </c>
      <c r="Q42" s="502" t="n">
        <f aca="false">AVERAGE(O42:P42)-G42</f>
        <v>-1.07267189025879</v>
      </c>
      <c r="R42" s="503" t="n">
        <f aca="false">+[1]Cinergy!$F64</f>
        <v>-0.250000443569448</v>
      </c>
      <c r="S42" s="542" t="n">
        <f aca="false">I42</f>
        <v>29.3226714466893</v>
      </c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614" t="s">
        <v>293</v>
      </c>
      <c r="AG42" s="615" t="e">
        <f aca="false">ET10</f>
        <v>#DIV/0!</v>
      </c>
      <c r="AH42" s="615" t="e">
        <f aca="false">EU10</f>
        <v>#DIV/0!</v>
      </c>
      <c r="AI42" s="616"/>
      <c r="AJ42" s="512" t="n">
        <f aca="false">A42</f>
        <v>38078</v>
      </c>
      <c r="AK42" s="513"/>
      <c r="AL42" s="514"/>
      <c r="AM42" s="513"/>
      <c r="AN42" s="514"/>
      <c r="AO42" s="513"/>
      <c r="AP42" s="514"/>
      <c r="AQ42" s="513"/>
      <c r="AR42" s="514"/>
      <c r="AS42" s="515"/>
      <c r="AT42" s="516"/>
      <c r="AU42" s="550"/>
      <c r="AV42" s="551"/>
      <c r="AW42" s="550"/>
      <c r="AX42" s="551"/>
      <c r="AY42" s="513"/>
      <c r="AZ42" s="517"/>
      <c r="BA42" s="520"/>
      <c r="BB42" s="517"/>
      <c r="BC42" s="520"/>
      <c r="BD42" s="517"/>
      <c r="BE42" s="520"/>
      <c r="BF42" s="517"/>
      <c r="BG42" s="520"/>
      <c r="BH42" s="517"/>
      <c r="BI42" s="520"/>
      <c r="BJ42" s="517"/>
      <c r="BK42" s="520"/>
      <c r="BL42" s="517"/>
      <c r="BM42" s="520"/>
      <c r="BN42" s="517"/>
      <c r="BO42" s="520"/>
      <c r="BP42" s="517"/>
      <c r="BQ42" s="520"/>
      <c r="BR42" s="517"/>
      <c r="BS42" s="520"/>
      <c r="BT42" s="517"/>
      <c r="BU42" s="520"/>
      <c r="BV42" s="517"/>
      <c r="BW42" s="520"/>
      <c r="BX42" s="517"/>
      <c r="BY42" s="556" t="n">
        <f aca="false">AK42+AM42+AO42+AQ42+AS42+AU42+AW42+AY42+BA42+BC42+BE42+BG42+BI42+BK42+BM42+BO42+BQ42+BS42+BU42+BW42</f>
        <v>0</v>
      </c>
      <c r="BZ42" s="524" t="n">
        <f aca="false">IF(AND(BY42=0,CC42=0),0,(ABS(AK42)*AL42+ABS(AM42)*AN42+ABS(AO42)*AP42+ABS(AQ42)*AR42+ABS(AS42)*AT42+ABS(AU42)*AV42+ABS(AW42)*AX42+ABS(AY42)*AZ42+ABS(BA42)*BB42+ABS(BC42)*BD42+ABS(BE42)*BF42+ABS(BG42)*BH42+ABS(BI42)*BJ42+ABS(BK42)*BL42+ABS(BM42)*BN42+ABS(BO42)*BP42+ABS(BQ42)*BR42+ABS(BS42)*BT42+ABS(BU42)*BV42+ABS(BW42)*BX42)/CC42)</f>
        <v>0</v>
      </c>
      <c r="CB42" s="525" t="n">
        <f aca="false">AJ42</f>
        <v>38078</v>
      </c>
      <c r="CC42" s="222" t="n">
        <f aca="false">ABS(AK42)+ABS(AM42)+ABS(AO42)+ABS(AQ42)+ABS(AS42)+ABS(AU42)+ABS(AW42)+ABS(AY42)+ABS(BA42)+ABS(BC42)+ABS(BE42)+ABS(BG42)+ABS(BI42)+ABS(BK42)+ABS(BM42)+ABS(BO42)+ABS(BQ42)+ABS(BS42)+ABS(BU42)+ABS(BW42)</f>
        <v>0</v>
      </c>
      <c r="CD42" s="526" t="n">
        <f aca="false">16*DK42</f>
        <v>352</v>
      </c>
      <c r="CE42" s="222" t="n">
        <f aca="false">VLOOKUP(A42,Interest!$X$8:$AC$367,6)</f>
        <v>0.887971862487145</v>
      </c>
      <c r="CF42" s="527" t="n">
        <f aca="false">E42-B42</f>
        <v>0</v>
      </c>
      <c r="CG42" s="527" t="n">
        <f aca="false">IF(YEAR($AJ42)=$CG$10,(($I42-$AL$48)*$AK$48+($I42-$AN$48)*$AM$48+($I42-$AP$48)*$AO$48+($I42-$AR$48)*$AQ$48+($I42-$AT$48)*$AS$48+($I42-$AV$48)*$AU$48+($I42-$AX$48)*$AW$48+($I42-$AZ$48)*$AY$48+($I42-$BB$48)*$BA$48+($I42-$BD$48)*$BC$48+($I42-$BF$48)*$BE$48+($I42-$BH$48)*$BG$48+($I42-$BJ$48)*$BI$48+($I42-$BL$48)*$BK$48+($I42-$BN$48)*$BM$48+($I42-$BP$48)*$BO$48+($I42-$BR$48)*$BQ$48+($I42-$BT$48)*$BS$48+($I42-$BV$48)*$BU$48+($I42-$BX$48)*$BW$48)*$CD42*$CE42,0)</f>
        <v>0</v>
      </c>
      <c r="CH42" s="527" t="n">
        <f aca="false">IF(YEAR($AJ42)=$CH$10,(($I42-$AL$49)*$AK$49+($I42-$AN$49)*$AM$49+($I42-$AP$49)*$AO$49+($I42-$AR$49)*$AQ$49+($I42-$AT$49)*$AS$49+($I42-$AV$49)*$AU$49+($I42-$AX$49)*$AW$49+($I42-$AZ$49)*$AY$49+($I42-$BB$49)*$BA$49+($I42-$BD$49)*$BC$49+($I42-$BF$49)*$BE$49+($I42-$BH$49)*$BG$49+($I42-$BJ$49)*$BI$49+($I42-$BL$49)*$BK$49+($I42-$BN$49)*$BM$49+($I42-$BP$49)*$BO$49+($I42-$BR$49)*$BQ$49+($I42-$BT$49)*$BS$49+($I42-$BV$49)*$BU$49+($I42-$BX$49)*$BW$49)*$CD42*$CE42,0)</f>
        <v>0</v>
      </c>
      <c r="CI42" s="527" t="n">
        <f aca="false">IF(YEAR($AJ42)=$CI$10,(($I42-$AL$50)*$AK$50+($I42-$AN$50)*$AM$50+($I42-$AP$50)*$AO$50+($I42-$AR$50)*$AQ$50+($I42-$AT$50)*$AS$50+($I42-$AV$50)*$AU$50+($I42-$AX$50)*$AW$50+($I42-$AZ$50)*$AY$50+($I42-$BB$50)*$BA$50+($I42-$BD$50)*$BC$50+($I42-$BF$50)*$BE$50+($I42-$BH$50)*$BG$50+($I42-$BJ$50)*$BI$50+($I42-$BL$50)*$BK$50+($I42-$BN$50)*$BM$50+($I42-$BP$50)*$BO$50+($I42-$BR$50)*$BQ$50+($I42-$BT$50)*$BS$50+($I42-$BV$50)*$BU$50+($I42-$BX$50)*$BW$50)*$CD42*$CE42,0)</f>
        <v>0</v>
      </c>
      <c r="CJ42" s="439" t="n">
        <f aca="false">CC42*CD42</f>
        <v>0</v>
      </c>
      <c r="CK42" s="553"/>
      <c r="CL42" s="553" t="n">
        <v>8.3</v>
      </c>
      <c r="CM42" s="530" t="n">
        <f aca="false">+CF42*CL42/10000</f>
        <v>0</v>
      </c>
      <c r="DJ42" s="532" t="n">
        <f aca="false">[1]Cinergy!$D64</f>
        <v>38078</v>
      </c>
      <c r="DK42" s="440" t="n">
        <f aca="false">VLOOKUP(DJ42,DL42:DM283,2)</f>
        <v>22</v>
      </c>
      <c r="DL42" s="533" t="n">
        <v>36647</v>
      </c>
      <c r="DM42" s="459" t="n">
        <v>22</v>
      </c>
      <c r="DP42" s="534" t="n">
        <f aca="false">[1]Cinergy!$D33</f>
        <v>37172</v>
      </c>
      <c r="DQ42" s="234" t="n">
        <f aca="false">[1]OPPD_NPPD!$O33+[1]NSP!$O33</f>
        <v>1588.2744140625</v>
      </c>
      <c r="DR42" s="234" t="n">
        <f aca="false">[1]COMED!$O33</f>
        <v>0</v>
      </c>
      <c r="DS42" s="234" t="n">
        <f aca="false">DQ42+DR42</f>
        <v>1588.2744140625</v>
      </c>
      <c r="DT42" s="234" t="n">
        <f aca="false">SUM([1]OPPD_NPPD!$P33:$R33)+SUM([1]NSP!$P33:$R33)</f>
        <v>0</v>
      </c>
      <c r="DU42" s="234" t="n">
        <f aca="false">SUM([1]COMED!$P33:$R33)</f>
        <v>0</v>
      </c>
      <c r="DV42" s="234" t="n">
        <f aca="false">DT42+DU42</f>
        <v>0</v>
      </c>
      <c r="DW42" s="535"/>
      <c r="DX42" s="536" t="n">
        <f aca="false">[1]OtherPosn!$D33</f>
        <v>37166</v>
      </c>
      <c r="DY42" s="234" t="n">
        <f aca="false">[1]OtherPosn!$N33</f>
        <v>0</v>
      </c>
      <c r="DZ42" s="234" t="n">
        <f aca="false">SUM([1]OtherPosn!$O33:$P33)</f>
        <v>0</v>
      </c>
    </row>
    <row r="43" customFormat="false" ht="18.75" hidden="false" customHeight="false" outlineLevel="0" collapsed="false">
      <c r="A43" s="605" t="n">
        <f aca="false">[1]Cinergy!$D65</f>
        <v>38108</v>
      </c>
      <c r="B43" s="606" t="n">
        <f aca="false">[1]Cinergy!$O65</f>
        <v>-42353.9609375</v>
      </c>
      <c r="C43" s="607" t="n">
        <f aca="false">B43/(CE43*CD43)</f>
        <v>-149.758523026548</v>
      </c>
      <c r="D43" s="607" t="n">
        <f aca="false">BY43+IF(YEAR(A43)=$T$20,$BY$48,0)+IF(YEAR(A43)=$T$21,$BY$49,0)+IF(YEAR(A43)=$T$22,$BY$50,0)</f>
        <v>0</v>
      </c>
      <c r="E43" s="606" t="n">
        <f aca="false">B43+(D43*CD43*CE43)</f>
        <v>-42353.9609375</v>
      </c>
      <c r="F43" s="608" t="n">
        <f aca="false">C43+D43</f>
        <v>-149.758523026548</v>
      </c>
      <c r="G43" s="609" t="n">
        <f aca="false">[1]Cinergy!$E65</f>
        <v>30.7250061035156</v>
      </c>
      <c r="H43" s="498" t="n">
        <f aca="false">IF($R$9,R43,Q43)</f>
        <v>0</v>
      </c>
      <c r="I43" s="610" t="n">
        <f aca="false">G43+H43</f>
        <v>30.7250061035156</v>
      </c>
      <c r="J43" s="606" t="n">
        <f aca="false">H43*B43</f>
        <v>-0</v>
      </c>
      <c r="K43" s="611" t="n">
        <f aca="false">(((I43-AL43)*AK43+(I43-AN43)*AM43+(I43-AP43)*AO43+(I43-AR43)*AQ43+(I43-AT43)*AS43+(I43-AV43)*AU43+(I43-AX43)*AW43+(I43-AZ43)*AY43+(I43-BB43)*BA43+(I43-BD43)*BC43+(I43-BF43)*BE43+(I43-BH43)*BG43+(I43-BJ43)*BI43+(I43-BL43)*BK43+(I43-BN43)*BM43+(I43-BP43)*BO43+(I43-BR43)*BQ43+(I43-BT43)*BS43+(I43-BV43)*BU43+(I43-BX43)*BW43)*CD43*CE43)+CG43+CH43+CI43</f>
        <v>0</v>
      </c>
      <c r="L43" s="612" t="n">
        <f aca="false">J43+K43</f>
        <v>0</v>
      </c>
      <c r="M43" s="46"/>
      <c r="N43" s="500" t="n">
        <f aca="false">A43</f>
        <v>38108</v>
      </c>
      <c r="O43" s="501" t="n">
        <v>28</v>
      </c>
      <c r="P43" s="501" t="n">
        <v>29</v>
      </c>
      <c r="Q43" s="502" t="n">
        <f aca="false">AVERAGE(O43:P43)-G43</f>
        <v>-2.22500610351563</v>
      </c>
      <c r="R43" s="503" t="n">
        <f aca="false">+[1]Cinergy!$F65</f>
        <v>0</v>
      </c>
      <c r="S43" s="542" t="n">
        <f aca="false">I43</f>
        <v>30.7250061035156</v>
      </c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618" t="s">
        <v>294</v>
      </c>
      <c r="AG43" s="620" t="n">
        <v>36</v>
      </c>
      <c r="AH43" s="620" t="n">
        <v>39.5</v>
      </c>
      <c r="AI43" s="621"/>
      <c r="AJ43" s="512" t="n">
        <f aca="false">A43</f>
        <v>38108</v>
      </c>
      <c r="AK43" s="513"/>
      <c r="AL43" s="514"/>
      <c r="AM43" s="513"/>
      <c r="AN43" s="514"/>
      <c r="AO43" s="513"/>
      <c r="AP43" s="514"/>
      <c r="AQ43" s="513"/>
      <c r="AR43" s="514"/>
      <c r="AS43" s="515"/>
      <c r="AT43" s="516"/>
      <c r="AU43" s="513"/>
      <c r="AV43" s="517"/>
      <c r="AW43" s="520"/>
      <c r="AX43" s="517"/>
      <c r="AY43" s="513"/>
      <c r="AZ43" s="517"/>
      <c r="BA43" s="520"/>
      <c r="BB43" s="517"/>
      <c r="BC43" s="520"/>
      <c r="BD43" s="517"/>
      <c r="BE43" s="520"/>
      <c r="BF43" s="517"/>
      <c r="BG43" s="520"/>
      <c r="BH43" s="517"/>
      <c r="BI43" s="520"/>
      <c r="BJ43" s="517"/>
      <c r="BK43" s="520"/>
      <c r="BL43" s="517"/>
      <c r="BM43" s="520"/>
      <c r="BN43" s="517"/>
      <c r="BO43" s="520"/>
      <c r="BP43" s="517"/>
      <c r="BQ43" s="520"/>
      <c r="BR43" s="517"/>
      <c r="BS43" s="520"/>
      <c r="BT43" s="517"/>
      <c r="BU43" s="520"/>
      <c r="BV43" s="517"/>
      <c r="BW43" s="520"/>
      <c r="BX43" s="517"/>
      <c r="BY43" s="556" t="n">
        <f aca="false">AK43+AM43+AO43+AQ43+AS43+AU43+AW43+AY43+BA43+BC43+BE43+BG43+BI43+BK43+BM43+BO43+BQ43+BS43+BU43+BW43</f>
        <v>0</v>
      </c>
      <c r="BZ43" s="524" t="n">
        <f aca="false">IF(AND(BY43=0,CC43=0),0,(ABS(AK43)*AL43+ABS(AM43)*AN43+ABS(AO43)*AP43+ABS(AQ43)*AR43+ABS(AS43)*AT43+ABS(AU43)*AV43+ABS(AW43)*AX43+ABS(AY43)*AZ43+ABS(BA43)*BB43+ABS(BC43)*BD43+ABS(BE43)*BF43+ABS(BG43)*BH43+ABS(BI43)*BJ43+ABS(BK43)*BL43+ABS(BM43)*BN43+ABS(BO43)*BP43+ABS(BQ43)*BR43+ABS(BS43)*BT43+ABS(BU43)*BV43+ABS(BW43)*BX43)/CC43)</f>
        <v>0</v>
      </c>
      <c r="CB43" s="525" t="n">
        <f aca="false">AJ43</f>
        <v>38108</v>
      </c>
      <c r="CC43" s="222" t="n">
        <f aca="false">ABS(AK43)+ABS(AM43)+ABS(AO43)+ABS(AQ43)+ABS(AS43)+ABS(AU43)+ABS(AW43)+ABS(AY43)+ABS(BA43)+ABS(BC43)+ABS(BE43)+ABS(BG43)+ABS(BI43)+ABS(BK43)+ABS(BM43)+ABS(BO43)+ABS(BQ43)+ABS(BS43)+ABS(BU43)+ABS(BW43)</f>
        <v>0</v>
      </c>
      <c r="CD43" s="526" t="n">
        <f aca="false">16*DK43</f>
        <v>320</v>
      </c>
      <c r="CE43" s="222" t="n">
        <f aca="false">VLOOKUP(A43,Interest!$X$8:$AC$367,6)</f>
        <v>0.883796963637421</v>
      </c>
      <c r="CF43" s="527" t="n">
        <f aca="false">E43-B43</f>
        <v>0</v>
      </c>
      <c r="CG43" s="527" t="n">
        <f aca="false">IF(YEAR($AJ43)=$CG$10,(($I43-$AL$48)*$AK$48+($I43-$AN$48)*$AM$48+($I43-$AP$48)*$AO$48+($I43-$AR$48)*$AQ$48+($I43-$AT$48)*$AS$48+($I43-$AV$48)*$AU$48+($I43-$AX$48)*$AW$48+($I43-$AZ$48)*$AY$48+($I43-$BB$48)*$BA$48+($I43-$BD$48)*$BC$48+($I43-$BF$48)*$BE$48+($I43-$BH$48)*$BG$48+($I43-$BJ$48)*$BI$48+($I43-$BL$48)*$BK$48+($I43-$BN$48)*$BM$48+($I43-$BP$48)*$BO$48+($I43-$BR$48)*$BQ$48+($I43-$BT$48)*$BS$48+($I43-$BV$48)*$BU$48+($I43-$BX$48)*$BW$48)*$CD43*$CE43,0)</f>
        <v>0</v>
      </c>
      <c r="CH43" s="527" t="n">
        <f aca="false">IF(YEAR($AJ43)=$CH$10,(($I43-$AL$49)*$AK$49+($I43-$AN$49)*$AM$49+($I43-$AP$49)*$AO$49+($I43-$AR$49)*$AQ$49+($I43-$AT$49)*$AS$49+($I43-$AV$49)*$AU$49+($I43-$AX$49)*$AW$49+($I43-$AZ$49)*$AY$49+($I43-$BB$49)*$BA$49+($I43-$BD$49)*$BC$49+($I43-$BF$49)*$BE$49+($I43-$BH$49)*$BG$49+($I43-$BJ$49)*$BI$49+($I43-$BL$49)*$BK$49+($I43-$BN$49)*$BM$49+($I43-$BP$49)*$BO$49+($I43-$BR$49)*$BQ$49+($I43-$BT$49)*$BS$49+($I43-$BV$49)*$BU$49+($I43-$BX$49)*$BW$49)*$CD43*$CE43,0)</f>
        <v>0</v>
      </c>
      <c r="CI43" s="527" t="n">
        <f aca="false">IF(YEAR($AJ43)=$CI$10,(($I43-$AL$50)*$AK$50+($I43-$AN$50)*$AM$50+($I43-$AP$50)*$AO$50+($I43-$AR$50)*$AQ$50+($I43-$AT$50)*$AS$50+($I43-$AV$50)*$AU$50+($I43-$AX$50)*$AW$50+($I43-$AZ$50)*$AY$50+($I43-$BB$50)*$BA$50+($I43-$BD$50)*$BC$50+($I43-$BF$50)*$BE$50+($I43-$BH$50)*$BG$50+($I43-$BJ$50)*$BI$50+($I43-$BL$50)*$BK$50+($I43-$BN$50)*$BM$50+($I43-$BP$50)*$BO$50+($I43-$BR$50)*$BQ$50+($I43-$BT$50)*$BS$50+($I43-$BV$50)*$BU$50+($I43-$BX$50)*$BW$50)*$CD43*$CE43,0)</f>
        <v>0</v>
      </c>
      <c r="CJ43" s="439" t="n">
        <f aca="false">CC43*CD43</f>
        <v>0</v>
      </c>
      <c r="CK43" s="553"/>
      <c r="CL43" s="553" t="n">
        <v>8.8</v>
      </c>
      <c r="CM43" s="530" t="n">
        <f aca="false">+CF43*CL43/10000</f>
        <v>0</v>
      </c>
      <c r="DJ43" s="532" t="n">
        <f aca="false">[1]Cinergy!$D65</f>
        <v>38108</v>
      </c>
      <c r="DK43" s="440" t="n">
        <f aca="false">VLOOKUP(DJ43,DL43:DM284,2)</f>
        <v>20</v>
      </c>
      <c r="DL43" s="533" t="n">
        <v>36678</v>
      </c>
      <c r="DM43" s="459" t="n">
        <v>22</v>
      </c>
      <c r="DP43" s="534" t="n">
        <f aca="false">[1]Cinergy!$D34</f>
        <v>37195</v>
      </c>
      <c r="DQ43" s="234" t="n">
        <f aca="false">[1]OPPD_NPPD!$O34+[1]NSP!$O34</f>
        <v>27000.666015625</v>
      </c>
      <c r="DR43" s="234" t="n">
        <f aca="false">[1]COMED!$O34</f>
        <v>108637.974121094</v>
      </c>
      <c r="DS43" s="234" t="n">
        <f aca="false">DQ43+DR43</f>
        <v>135638.640136719</v>
      </c>
      <c r="DT43" s="234" t="n">
        <f aca="false">SUM([1]OPPD_NPPD!$P34:$R34)+SUM([1]NSP!$P34:$R34)</f>
        <v>0</v>
      </c>
      <c r="DU43" s="234" t="n">
        <f aca="false">SUM([1]COMED!$P34:$R34)</f>
        <v>-28688.2055664063</v>
      </c>
      <c r="DV43" s="234" t="n">
        <f aca="false">DT43+DU43</f>
        <v>-28688.2055664063</v>
      </c>
      <c r="DW43" s="535"/>
      <c r="DX43" s="536" t="n">
        <f aca="false">[1]OtherPosn!$D34</f>
        <v>37167</v>
      </c>
      <c r="DY43" s="234" t="n">
        <f aca="false">[1]OtherPosn!$N34</f>
        <v>0</v>
      </c>
      <c r="DZ43" s="234" t="n">
        <f aca="false">SUM([1]OtherPosn!$O34:$P34)</f>
        <v>0</v>
      </c>
    </row>
    <row r="44" customFormat="false" ht="18" hidden="false" customHeight="false" outlineLevel="0" collapsed="false">
      <c r="A44" s="599" t="n">
        <f aca="false">[1]Cinergy!$D66</f>
        <v>38139</v>
      </c>
      <c r="B44" s="600" t="n">
        <f aca="false">[1]Cinergy!$O66</f>
        <v>-216411.84375</v>
      </c>
      <c r="C44" s="601" t="n">
        <f aca="false">B44/(CE44*CD44)</f>
        <v>-698.907854451475</v>
      </c>
      <c r="D44" s="601" t="n">
        <f aca="false">BY44+IF(YEAR(A44)=$T$20,$BY$48,0)+IF(YEAR(A44)=$T$21,$BY$49,0)+IF(YEAR(A44)=$T$22,$BY$50,0)</f>
        <v>0</v>
      </c>
      <c r="E44" s="600" t="n">
        <f aca="false">B44+(D44*CD44*CE44)</f>
        <v>-216411.84375</v>
      </c>
      <c r="F44" s="602" t="n">
        <f aca="false">C44+D44</f>
        <v>-698.907854451475</v>
      </c>
      <c r="G44" s="603" t="n">
        <f aca="false">[1]Cinergy!$E66</f>
        <v>39.0500068664551</v>
      </c>
      <c r="H44" s="498" t="n">
        <f aca="false">IF($R$9,R44,Q44)</f>
        <v>-0.5</v>
      </c>
      <c r="I44" s="604" t="n">
        <f aca="false">G44+H44</f>
        <v>38.5500068664551</v>
      </c>
      <c r="J44" s="600" t="n">
        <f aca="false">H44*B44</f>
        <v>108205.921875</v>
      </c>
      <c r="K44" s="163" t="n">
        <f aca="false">(((I44-AL44)*AK44+(I44-AN44)*AM44+(I44-AP44)*AO44+(I44-AR44)*AQ44+(I44-AT44)*AS44+(I44-AV44)*AU44+(I44-AX44)*AW44+(I44-AZ44)*AY44+(I44-BB44)*BA44+(I44-BD44)*BC44+(I44-BF44)*BE44+(I44-BH44)*BG44+(I44-BJ44)*BI44+(I44-BL44)*BK44+(I44-BN44)*BM44+(I44-BP44)*BO44+(I44-BR44)*BQ44+(I44-BT44)*BS44+(I44-BV44)*BU44+(I44-BX44)*BW44)*CD44*CE44)+CG44+CH44+CI44</f>
        <v>0</v>
      </c>
      <c r="L44" s="123" t="n">
        <f aca="false">J44+K44</f>
        <v>108205.921875</v>
      </c>
      <c r="M44" s="46"/>
      <c r="N44" s="500" t="n">
        <f aca="false">A44</f>
        <v>38139</v>
      </c>
      <c r="O44" s="501" t="n">
        <v>28</v>
      </c>
      <c r="P44" s="501" t="n">
        <v>29</v>
      </c>
      <c r="Q44" s="502" t="n">
        <f aca="false">AVERAGE(O44:P44)-G44</f>
        <v>-10.5500068664551</v>
      </c>
      <c r="R44" s="503" t="n">
        <f aca="false">+[1]Cinergy!$F66</f>
        <v>-0.5</v>
      </c>
      <c r="S44" s="542" t="n">
        <f aca="false">I44</f>
        <v>38.5500068664551</v>
      </c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614"/>
      <c r="AG44" s="615"/>
      <c r="AH44" s="615"/>
      <c r="AI44" s="616"/>
      <c r="AJ44" s="512" t="n">
        <f aca="false">A44</f>
        <v>38139</v>
      </c>
      <c r="AK44" s="513"/>
      <c r="AL44" s="514"/>
      <c r="AM44" s="513"/>
      <c r="AN44" s="514"/>
      <c r="AO44" s="513"/>
      <c r="AP44" s="514"/>
      <c r="AQ44" s="513"/>
      <c r="AR44" s="514"/>
      <c r="AS44" s="515"/>
      <c r="AT44" s="516"/>
      <c r="AU44" s="513"/>
      <c r="AV44" s="517"/>
      <c r="AW44" s="520"/>
      <c r="AX44" s="517"/>
      <c r="AY44" s="513"/>
      <c r="AZ44" s="517"/>
      <c r="BA44" s="520"/>
      <c r="BB44" s="517"/>
      <c r="BC44" s="520"/>
      <c r="BD44" s="517"/>
      <c r="BE44" s="520"/>
      <c r="BF44" s="517"/>
      <c r="BG44" s="520"/>
      <c r="BH44" s="517"/>
      <c r="BI44" s="520"/>
      <c r="BJ44" s="517"/>
      <c r="BK44" s="520"/>
      <c r="BL44" s="517"/>
      <c r="BM44" s="520"/>
      <c r="BN44" s="517"/>
      <c r="BO44" s="520"/>
      <c r="BP44" s="517"/>
      <c r="BQ44" s="520"/>
      <c r="BR44" s="517"/>
      <c r="BS44" s="520"/>
      <c r="BT44" s="517"/>
      <c r="BU44" s="520"/>
      <c r="BV44" s="517"/>
      <c r="BW44" s="520"/>
      <c r="BX44" s="517"/>
      <c r="BY44" s="556" t="n">
        <f aca="false">AK44+AM44+AO44+AQ44+AS44+AU44+AW44+AY44+BA44+BC44+BE44+BG44+BI44+BK44+BM44+BO44+BQ44+BS44+BU44+BW44</f>
        <v>0</v>
      </c>
      <c r="BZ44" s="524" t="n">
        <f aca="false">IF(AND(BY44=0,CC44=0),0,(ABS(AK44)*AL44+ABS(AM44)*AN44+ABS(AO44)*AP44+ABS(AQ44)*AR44+ABS(AS44)*AT44+ABS(AU44)*AV44+ABS(AW44)*AX44+ABS(AY44)*AZ44+ABS(BA44)*BB44+ABS(BC44)*BD44+ABS(BE44)*BF44+ABS(BG44)*BH44+ABS(BI44)*BJ44+ABS(BK44)*BL44+ABS(BM44)*BN44+ABS(BO44)*BP44+ABS(BQ44)*BR44+ABS(BS44)*BT44+ABS(BU44)*BV44+ABS(BW44)*BX44)/CC44)</f>
        <v>0</v>
      </c>
      <c r="CB44" s="525" t="n">
        <f aca="false">AJ44</f>
        <v>38139</v>
      </c>
      <c r="CC44" s="222" t="n">
        <f aca="false">ABS(AK44)+ABS(AM44)+ABS(AO44)+ABS(AQ44)+ABS(AS44)+ABS(AU44)+ABS(AW44)+ABS(AY44)+ABS(BA44)+ABS(BC44)+ABS(BE44)+ABS(BG44)+ABS(BI44)+ABS(BK44)+ABS(BM44)+ABS(BO44)+ABS(BQ44)+ABS(BS44)+ABS(BU44)+ABS(BW44)</f>
        <v>0</v>
      </c>
      <c r="CD44" s="526" t="n">
        <f aca="false">16*DK44</f>
        <v>352</v>
      </c>
      <c r="CE44" s="222" t="n">
        <f aca="false">VLOOKUP(A44,Interest!$X$8:$AC$367,6)</f>
        <v>0.879667284283552</v>
      </c>
      <c r="CF44" s="527" t="n">
        <f aca="false">E44-B44</f>
        <v>0</v>
      </c>
      <c r="CG44" s="527" t="n">
        <f aca="false">IF(YEAR($AJ44)=$CG$10,(($I44-$AL$48)*$AK$48+($I44-$AN$48)*$AM$48+($I44-$AP$48)*$AO$48+($I44-$AR$48)*$AQ$48+($I44-$AT$48)*$AS$48+($I44-$AV$48)*$AU$48+($I44-$AX$48)*$AW$48+($I44-$AZ$48)*$AY$48+($I44-$BB$48)*$BA$48+($I44-$BD$48)*$BC$48+($I44-$BF$48)*$BE$48+($I44-$BH$48)*$BG$48+($I44-$BJ$48)*$BI$48+($I44-$BL$48)*$BK$48+($I44-$BN$48)*$BM$48+($I44-$BP$48)*$BO$48+($I44-$BR$48)*$BQ$48+($I44-$BT$48)*$BS$48+($I44-$BV$48)*$BU$48+($I44-$BX$48)*$BW$48)*$CD44*$CE44,0)</f>
        <v>0</v>
      </c>
      <c r="CH44" s="527" t="n">
        <f aca="false">IF(YEAR($AJ44)=$CH$10,(($I44-$AL$49)*$AK$49+($I44-$AN$49)*$AM$49+($I44-$AP$49)*$AO$49+($I44-$AR$49)*$AQ$49+($I44-$AT$49)*$AS$49+($I44-$AV$49)*$AU$49+($I44-$AX$49)*$AW$49+($I44-$AZ$49)*$AY$49+($I44-$BB$49)*$BA$49+($I44-$BD$49)*$BC$49+($I44-$BF$49)*$BE$49+($I44-$BH$49)*$BG$49+($I44-$BJ$49)*$BI$49+($I44-$BL$49)*$BK$49+($I44-$BN$49)*$BM$49+($I44-$BP$49)*$BO$49+($I44-$BR$49)*$BQ$49+($I44-$BT$49)*$BS$49+($I44-$BV$49)*$BU$49+($I44-$BX$49)*$BW$49)*$CD44*$CE44,0)</f>
        <v>0</v>
      </c>
      <c r="CI44" s="527" t="n">
        <f aca="false">IF(YEAR($AJ44)=$CI$10,(($I44-$AL$50)*$AK$50+($I44-$AN$50)*$AM$50+($I44-$AP$50)*$AO$50+($I44-$AR$50)*$AQ$50+($I44-$AT$50)*$AS$50+($I44-$AV$50)*$AU$50+($I44-$AX$50)*$AW$50+($I44-$AZ$50)*$AY$50+($I44-$BB$50)*$BA$50+($I44-$BD$50)*$BC$50+($I44-$BF$50)*$BE$50+($I44-$BH$50)*$BG$50+($I44-$BJ$50)*$BI$50+($I44-$BL$50)*$BK$50+($I44-$BN$50)*$BM$50+($I44-$BP$50)*$BO$50+($I44-$BR$50)*$BQ$50+($I44-$BT$50)*$BS$50+($I44-$BV$50)*$BU$50+($I44-$BX$50)*$BW$50)*$CD44*$CE44,0)</f>
        <v>0</v>
      </c>
      <c r="CJ44" s="439" t="n">
        <f aca="false">CC44*CD44</f>
        <v>0</v>
      </c>
      <c r="CK44" s="553"/>
      <c r="CL44" s="553" t="n">
        <v>9.1</v>
      </c>
      <c r="CM44" s="530" t="n">
        <f aca="false">+CF44*CL44/10000</f>
        <v>0</v>
      </c>
      <c r="DJ44" s="532" t="n">
        <f aca="false">[1]Cinergy!$D66</f>
        <v>38139</v>
      </c>
      <c r="DK44" s="440" t="n">
        <f aca="false">VLOOKUP(DJ44,DL44:DM285,2)</f>
        <v>22</v>
      </c>
      <c r="DL44" s="533" t="n">
        <v>36708</v>
      </c>
      <c r="DM44" s="459" t="n">
        <v>20</v>
      </c>
      <c r="DP44" s="534" t="n">
        <f aca="false">[1]Cinergy!$D35</f>
        <v>37196</v>
      </c>
      <c r="DQ44" s="234" t="n">
        <f aca="false">[1]OPPD_NPPD!$O35+[1]NSP!$O35</f>
        <v>0</v>
      </c>
      <c r="DR44" s="234" t="n">
        <f aca="false">[1]COMED!$O35</f>
        <v>143019.8125</v>
      </c>
      <c r="DS44" s="234" t="n">
        <f aca="false">DQ44+DR44</f>
        <v>143019.8125</v>
      </c>
      <c r="DT44" s="234" t="n">
        <f aca="false">SUM([1]OPPD_NPPD!$P35:$R35)+SUM([1]NSP!$P35:$R35)</f>
        <v>0</v>
      </c>
      <c r="DU44" s="234" t="n">
        <f aca="false">SUM([1]COMED!$P35:$R35)</f>
        <v>-38407.8696289063</v>
      </c>
      <c r="DV44" s="234" t="n">
        <f aca="false">DT44+DU44</f>
        <v>-38407.8696289063</v>
      </c>
      <c r="DW44" s="535"/>
      <c r="DX44" s="536" t="n">
        <f aca="false">[1]OtherPosn!$D35</f>
        <v>37168</v>
      </c>
      <c r="DY44" s="234" t="n">
        <f aca="false">[1]OtherPosn!$N35</f>
        <v>0</v>
      </c>
      <c r="DZ44" s="234" t="n">
        <f aca="false">SUM([1]OtherPosn!$O35:$P35)</f>
        <v>0</v>
      </c>
    </row>
    <row r="45" customFormat="false" ht="18.75" hidden="false" customHeight="false" outlineLevel="0" collapsed="false">
      <c r="A45" s="605" t="n">
        <f aca="false">[1]Cinergy!$D67</f>
        <v>38169</v>
      </c>
      <c r="B45" s="606" t="n">
        <f aca="false">[1]Cinergy!$O67</f>
        <v>-14684.265625</v>
      </c>
      <c r="C45" s="607" t="n">
        <f aca="false">B45/(CE45*CD45)</f>
        <v>-47.6510684767343</v>
      </c>
      <c r="D45" s="607" t="n">
        <f aca="false">BY45+IF(YEAR(A45)=$T$20,$BY$48,0)+IF(YEAR(A45)=$T$21,$BY$49,0)+IF(YEAR(A45)=$T$22,$BY$50,0)</f>
        <v>0</v>
      </c>
      <c r="E45" s="606" t="n">
        <f aca="false">B45+(D45*CD45*CE45)</f>
        <v>-14684.265625</v>
      </c>
      <c r="F45" s="608" t="n">
        <f aca="false">C45+D45</f>
        <v>-47.6510684767343</v>
      </c>
      <c r="G45" s="609" t="n">
        <f aca="false">[1]Cinergy!$E67</f>
        <v>49.875</v>
      </c>
      <c r="H45" s="498" t="n">
        <f aca="false">IF($R$9,R45,Q45)</f>
        <v>-0.5</v>
      </c>
      <c r="I45" s="610" t="n">
        <f aca="false">G45+H45</f>
        <v>49.375</v>
      </c>
      <c r="J45" s="606" t="n">
        <f aca="false">H45*B45</f>
        <v>7342.1328125</v>
      </c>
      <c r="K45" s="611" t="n">
        <f aca="false">(((I45-AL45)*AK45+(I45-AN45)*AM45+(I45-AP45)*AO45+(I45-AR45)*AQ45+(I45-AT45)*AS45+(I45-AV45)*AU45+(I45-AX45)*AW45+(I45-AZ45)*AY45+(I45-BB45)*BA45+(I45-BD45)*BC45+(I45-BF45)*BE45+(I45-BH45)*BG45+(I45-BJ45)*BI45+(I45-BL45)*BK45+(I45-BN45)*BM45+(I45-BP45)*BO45+(I45-BR45)*BQ45+(I45-BT45)*BS45+(I45-BV45)*BU45+(I45-BX45)*BW45)*CD45*CE45)+CG45+CH45+CI45</f>
        <v>0</v>
      </c>
      <c r="L45" s="612" t="n">
        <f aca="false">J45+K45</f>
        <v>7342.1328125</v>
      </c>
      <c r="M45" s="46"/>
      <c r="N45" s="500" t="n">
        <f aca="false">A45</f>
        <v>38169</v>
      </c>
      <c r="O45" s="501" t="n">
        <v>28</v>
      </c>
      <c r="P45" s="501" t="n">
        <v>29</v>
      </c>
      <c r="Q45" s="502" t="n">
        <f aca="false">AVERAGE(O45:P45)-G45</f>
        <v>-21.375</v>
      </c>
      <c r="R45" s="503" t="n">
        <f aca="false">+[1]Cinergy!$F67</f>
        <v>-0.5</v>
      </c>
      <c r="S45" s="542" t="n">
        <f aca="false">I45</f>
        <v>49.375</v>
      </c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618"/>
      <c r="AG45" s="620"/>
      <c r="AH45" s="620"/>
      <c r="AI45" s="621"/>
      <c r="AJ45" s="512" t="n">
        <f aca="false">A45</f>
        <v>38169</v>
      </c>
      <c r="AK45" s="513"/>
      <c r="AL45" s="514"/>
      <c r="AM45" s="513"/>
      <c r="AN45" s="514"/>
      <c r="AO45" s="513"/>
      <c r="AP45" s="514"/>
      <c r="AQ45" s="513"/>
      <c r="AR45" s="514"/>
      <c r="AS45" s="515"/>
      <c r="AT45" s="516"/>
      <c r="AU45" s="513"/>
      <c r="AV45" s="517"/>
      <c r="AW45" s="520"/>
      <c r="AX45" s="517"/>
      <c r="AY45" s="520"/>
      <c r="AZ45" s="517"/>
      <c r="BA45" s="520"/>
      <c r="BB45" s="517"/>
      <c r="BC45" s="520"/>
      <c r="BD45" s="517"/>
      <c r="BE45" s="520"/>
      <c r="BF45" s="517"/>
      <c r="BG45" s="520"/>
      <c r="BH45" s="517"/>
      <c r="BI45" s="520"/>
      <c r="BJ45" s="517"/>
      <c r="BK45" s="520"/>
      <c r="BL45" s="517"/>
      <c r="BM45" s="520"/>
      <c r="BN45" s="517"/>
      <c r="BO45" s="520"/>
      <c r="BP45" s="517"/>
      <c r="BQ45" s="520"/>
      <c r="BR45" s="517"/>
      <c r="BS45" s="520"/>
      <c r="BT45" s="517"/>
      <c r="BU45" s="520"/>
      <c r="BV45" s="517"/>
      <c r="BW45" s="520"/>
      <c r="BX45" s="517"/>
      <c r="BY45" s="556" t="n">
        <f aca="false">AK45+AM45+AO45+AQ45+AS45+AU45+AW45+AY45+BA45+BC45+BE45+BG45+BI45+BK45+BM45+BO45+BQ45+BS45+BU45+BW45</f>
        <v>0</v>
      </c>
      <c r="BZ45" s="524" t="n">
        <f aca="false">IF(AND(BY45=0,CC45=0),0,(ABS(AK45)*AL45+ABS(AM45)*AN45+ABS(AO45)*AP45+ABS(AQ45)*AR45+ABS(AS45)*AT45+ABS(AU45)*AV45+ABS(AW45)*AX45+ABS(AY45)*AZ45+ABS(BA45)*BB45+ABS(BC45)*BD45+ABS(BE45)*BF45+ABS(BG45)*BH45+ABS(BI45)*BJ45+ABS(BK45)*BL45+ABS(BM45)*BN45+ABS(BO45)*BP45+ABS(BQ45)*BR45+ABS(BS45)*BT45+ABS(BU45)*BV45+ABS(BW45)*BX45)/CC45)</f>
        <v>0</v>
      </c>
      <c r="CB45" s="525" t="n">
        <f aca="false">AJ45</f>
        <v>38169</v>
      </c>
      <c r="CC45" s="222" t="n">
        <f aca="false">ABS(AK45)+ABS(AM45)+ABS(AO45)+ABS(AQ45)+ABS(AS45)+ABS(AU45)+ABS(AW45)+ABS(AY45)+ABS(BA45)+ABS(BC45)+ABS(BE45)+ABS(BG45)+ABS(BI45)+ABS(BK45)+ABS(BM45)+ABS(BO45)+ABS(BQ45)+ABS(BS45)+ABS(BU45)+ABS(BW45)</f>
        <v>0</v>
      </c>
      <c r="CD45" s="526" t="n">
        <f aca="false">16*DK45</f>
        <v>352</v>
      </c>
      <c r="CE45" s="222" t="n">
        <f aca="false">VLOOKUP(A45,Interest!$X$8:$AC$367,6)</f>
        <v>0.875461244436829</v>
      </c>
      <c r="CF45" s="527" t="n">
        <f aca="false">E45-B45</f>
        <v>0</v>
      </c>
      <c r="CG45" s="527" t="n">
        <f aca="false">IF(YEAR($AJ45)=$CG$10,(($I45-$AL$48)*$AK$48+($I45-$AN$48)*$AM$48+($I45-$AP$48)*$AO$48+($I45-$AR$48)*$AQ$48+($I45-$AT$48)*$AS$48+($I45-$AV$48)*$AU$48+($I45-$AX$48)*$AW$48+($I45-$AZ$48)*$AY$48+($I45-$BB$48)*$BA$48+($I45-$BD$48)*$BC$48+($I45-$BF$48)*$BE$48+($I45-$BH$48)*$BG$48+($I45-$BJ$48)*$BI$48+($I45-$BL$48)*$BK$48+($I45-$BN$48)*$BM$48+($I45-$BP$48)*$BO$48+($I45-$BR$48)*$BQ$48+($I45-$BT$48)*$BS$48+($I45-$BV$48)*$BU$48+($I45-$BX$48)*$BW$48)*$CD45*$CE45,0)</f>
        <v>0</v>
      </c>
      <c r="CH45" s="527" t="n">
        <f aca="false">IF(YEAR($AJ45)=$CH$10,(($I45-$AL$49)*$AK$49+($I45-$AN$49)*$AM$49+($I45-$AP$49)*$AO$49+($I45-$AR$49)*$AQ$49+($I45-$AT$49)*$AS$49+($I45-$AV$49)*$AU$49+($I45-$AX$49)*$AW$49+($I45-$AZ$49)*$AY$49+($I45-$BB$49)*$BA$49+($I45-$BD$49)*$BC$49+($I45-$BF$49)*$BE$49+($I45-$BH$49)*$BG$49+($I45-$BJ$49)*$BI$49+($I45-$BL$49)*$BK$49+($I45-$BN$49)*$BM$49+($I45-$BP$49)*$BO$49+($I45-$BR$49)*$BQ$49+($I45-$BT$49)*$BS$49+($I45-$BV$49)*$BU$49+($I45-$BX$49)*$BW$49)*$CD45*$CE45,0)</f>
        <v>0</v>
      </c>
      <c r="CI45" s="527" t="n">
        <f aca="false">IF(YEAR($AJ45)=$CI$10,(($I45-$AL$50)*$AK$50+($I45-$AN$50)*$AM$50+($I45-$AP$50)*$AO$50+($I45-$AR$50)*$AQ$50+($I45-$AT$50)*$AS$50+($I45-$AV$50)*$AU$50+($I45-$AX$50)*$AW$50+($I45-$AZ$50)*$AY$50+($I45-$BB$50)*$BA$50+($I45-$BD$50)*$BC$50+($I45-$BF$50)*$BE$50+($I45-$BH$50)*$BG$50+($I45-$BJ$50)*$BI$50+($I45-$BL$50)*$BK$50+($I45-$BN$50)*$BM$50+($I45-$BP$50)*$BO$50+($I45-$BR$50)*$BQ$50+($I45-$BT$50)*$BS$50+($I45-$BV$50)*$BU$50+($I45-$BX$50)*$BW$50)*$CD45*$CE45,0)</f>
        <v>0</v>
      </c>
      <c r="CJ45" s="439" t="n">
        <f aca="false">CC45*CD45</f>
        <v>0</v>
      </c>
      <c r="CK45" s="553"/>
      <c r="CL45" s="553" t="n">
        <v>11.57</v>
      </c>
      <c r="CM45" s="530" t="n">
        <f aca="false">+CF45*CL45/10000</f>
        <v>0</v>
      </c>
      <c r="DJ45" s="532" t="n">
        <f aca="false">[1]Cinergy!$D67</f>
        <v>38169</v>
      </c>
      <c r="DK45" s="440" t="n">
        <f aca="false">VLOOKUP(DJ45,DL45:DM286,2)</f>
        <v>22</v>
      </c>
      <c r="DL45" s="533" t="n">
        <v>36739</v>
      </c>
      <c r="DM45" s="459" t="n">
        <v>23</v>
      </c>
      <c r="DP45" s="534" t="n">
        <f aca="false">[1]Cinergy!$D36</f>
        <v>37226</v>
      </c>
      <c r="DQ45" s="234" t="n">
        <f aca="false">[1]OPPD_NPPD!$O36+[1]NSP!$O36</f>
        <v>0</v>
      </c>
      <c r="DR45" s="234" t="n">
        <f aca="false">[1]COMED!$O36</f>
        <v>166609.9375</v>
      </c>
      <c r="DS45" s="234" t="n">
        <f aca="false">DQ45+DR45</f>
        <v>166609.9375</v>
      </c>
      <c r="DT45" s="234" t="n">
        <f aca="false">SUM([1]OPPD_NPPD!$P36:$R36)+SUM([1]NSP!$P36:$R36)</f>
        <v>0</v>
      </c>
      <c r="DU45" s="234" t="n">
        <f aca="false">SUM([1]COMED!$P36:$R36)</f>
        <v>-42244.7006835938</v>
      </c>
      <c r="DV45" s="234" t="n">
        <f aca="false">DT45+DU45</f>
        <v>-42244.7006835938</v>
      </c>
      <c r="DW45" s="535"/>
      <c r="DX45" s="536" t="n">
        <f aca="false">[1]OtherPosn!$D36</f>
        <v>37169</v>
      </c>
      <c r="DY45" s="234" t="n">
        <f aca="false">[1]OtherPosn!$N36</f>
        <v>0</v>
      </c>
      <c r="DZ45" s="234" t="n">
        <f aca="false">SUM([1]OtherPosn!$O36:$P36)</f>
        <v>0</v>
      </c>
    </row>
    <row r="46" customFormat="false" ht="18.75" hidden="false" customHeight="false" outlineLevel="0" collapsed="false">
      <c r="A46" s="599" t="n">
        <f aca="false">[1]Cinergy!$D68</f>
        <v>38200</v>
      </c>
      <c r="B46" s="600" t="n">
        <f aca="false">[1]Cinergy!$O68</f>
        <v>-15308.9306640625</v>
      </c>
      <c r="C46" s="601" t="n">
        <f aca="false">B46/(CE46*CD46)</f>
        <v>-49.9191818465402</v>
      </c>
      <c r="D46" s="601" t="n">
        <f aca="false">BY46+IF(YEAR(A46)=$T$20,$BY$48,0)+IF(YEAR(A46)=$T$21,$BY$49,0)+IF(YEAR(A46)=$T$22,$BY$50,0)</f>
        <v>0</v>
      </c>
      <c r="E46" s="600" t="n">
        <f aca="false">B46+(D46*CD46*CE46)</f>
        <v>-15308.9306640625</v>
      </c>
      <c r="F46" s="602" t="n">
        <f aca="false">C46+D46</f>
        <v>-49.9191818465402</v>
      </c>
      <c r="G46" s="603" t="n">
        <f aca="false">[1]Cinergy!$E68</f>
        <v>49.875</v>
      </c>
      <c r="H46" s="498" t="n">
        <f aca="false">IF($R$9,R46,Q46)</f>
        <v>-0.5</v>
      </c>
      <c r="I46" s="604" t="n">
        <f aca="false">G46+H46</f>
        <v>49.375</v>
      </c>
      <c r="J46" s="600" t="n">
        <f aca="false">H46*B46</f>
        <v>7654.46533203125</v>
      </c>
      <c r="K46" s="163" t="n">
        <f aca="false">(((I46-AL46)*AK46+(I46-AN46)*AM46+(I46-AP46)*AO46+(I46-AR46)*AQ46+(I46-AT46)*AS46+(I46-AV46)*AU46+(I46-AX46)*AW46+(I46-AZ46)*AY46+(I46-BB46)*BA46+(I46-BD46)*BC46+(I46-BF46)*BE46+(I46-BH46)*BG46+(I46-BJ46)*BI46+(I46-BL46)*BK46+(I46-BN46)*BM46+(I46-BP46)*BO46+(I46-BR46)*BQ46+(I46-BT46)*BS46+(I46-BV46)*BU46+(I46-BX46)*BW46)*CD46*CE46)+CG46+CH46+CI46</f>
        <v>0</v>
      </c>
      <c r="L46" s="123" t="n">
        <f aca="false">J46+K46</f>
        <v>7654.46533203125</v>
      </c>
      <c r="M46" s="46"/>
      <c r="N46" s="500" t="n">
        <f aca="false">A46</f>
        <v>38200</v>
      </c>
      <c r="O46" s="501" t="n">
        <v>28</v>
      </c>
      <c r="P46" s="501" t="n">
        <v>29</v>
      </c>
      <c r="Q46" s="502" t="n">
        <f aca="false">AVERAGE(O46:P46)-G46</f>
        <v>-21.375</v>
      </c>
      <c r="R46" s="503" t="n">
        <f aca="false">+[1]Cinergy!$F68</f>
        <v>-0.5</v>
      </c>
      <c r="S46" s="542" t="n">
        <f aca="false">I46</f>
        <v>49.375</v>
      </c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618" t="s">
        <v>295</v>
      </c>
      <c r="AG46" s="620" t="n">
        <v>1</v>
      </c>
      <c r="AH46" s="620" t="n">
        <v>4</v>
      </c>
      <c r="AI46" s="621"/>
      <c r="AJ46" s="512" t="n">
        <f aca="false">A46</f>
        <v>38200</v>
      </c>
      <c r="AK46" s="513"/>
      <c r="AL46" s="514"/>
      <c r="AM46" s="513"/>
      <c r="AN46" s="514"/>
      <c r="AO46" s="513"/>
      <c r="AP46" s="514"/>
      <c r="AQ46" s="513"/>
      <c r="AR46" s="514"/>
      <c r="AS46" s="515"/>
      <c r="AT46" s="516"/>
      <c r="AU46" s="520"/>
      <c r="AV46" s="517"/>
      <c r="AW46" s="520"/>
      <c r="AX46" s="517"/>
      <c r="AY46" s="520"/>
      <c r="AZ46" s="517"/>
      <c r="BA46" s="520"/>
      <c r="BB46" s="517"/>
      <c r="BC46" s="520"/>
      <c r="BD46" s="517"/>
      <c r="BE46" s="520"/>
      <c r="BF46" s="517"/>
      <c r="BG46" s="520"/>
      <c r="BH46" s="517"/>
      <c r="BI46" s="520"/>
      <c r="BJ46" s="517"/>
      <c r="BK46" s="520"/>
      <c r="BL46" s="517"/>
      <c r="BM46" s="520"/>
      <c r="BN46" s="517"/>
      <c r="BO46" s="520"/>
      <c r="BP46" s="517"/>
      <c r="BQ46" s="520"/>
      <c r="BR46" s="517"/>
      <c r="BS46" s="520"/>
      <c r="BT46" s="517"/>
      <c r="BU46" s="520"/>
      <c r="BV46" s="517"/>
      <c r="BW46" s="520"/>
      <c r="BX46" s="517"/>
      <c r="BY46" s="556" t="n">
        <f aca="false">AK46+AM46+AO46+AQ46+AS46+AU46+AW46+AY46+BA46+BC46+BE46+BG46+BI46+BK46+BM46+BO46+BQ46+BS46+BU46+BW46</f>
        <v>0</v>
      </c>
      <c r="BZ46" s="524" t="n">
        <f aca="false">IF(AND(BY46=0,CC46=0),0,(ABS(AK46)*AL46+ABS(AM46)*AN46+ABS(AO46)*AP46+ABS(AQ46)*AR46+ABS(AS46)*AT46+ABS(AU46)*AV46+ABS(AW46)*AX46+ABS(AY46)*AZ46+ABS(BA46)*BB46+ABS(BC46)*BD46+ABS(BE46)*BF46+ABS(BG46)*BH46+ABS(BI46)*BJ46+ABS(BK46)*BL46+ABS(BM46)*BN46+ABS(BO46)*BP46+ABS(BQ46)*BR46+ABS(BS46)*BT46+ABS(BU46)*BV46+ABS(BW46)*BX46)/CC46)</f>
        <v>0</v>
      </c>
      <c r="CB46" s="525" t="n">
        <f aca="false">AJ46</f>
        <v>38200</v>
      </c>
      <c r="CC46" s="222" t="n">
        <f aca="false">ABS(AK46)+ABS(AM46)+ABS(AO46)+ABS(AQ46)+ABS(AS46)+ABS(AU46)+ABS(AW46)+ABS(AY46)+ABS(BA46)+ABS(BC46)+ABS(BE46)+ABS(BG46)+ABS(BI46)+ABS(BK46)+ABS(BM46)+ABS(BO46)+ABS(BQ46)+ABS(BS46)+ABS(BU46)+ABS(BW46)</f>
        <v>0</v>
      </c>
      <c r="CD46" s="526" t="n">
        <f aca="false">16*DK46</f>
        <v>352</v>
      </c>
      <c r="CE46" s="222" t="n">
        <f aca="false">VLOOKUP(A46,Interest!$X$8:$AC$367,6)</f>
        <v>0.871233836109965</v>
      </c>
      <c r="CF46" s="527" t="n">
        <f aca="false">E46-B46</f>
        <v>0</v>
      </c>
      <c r="CG46" s="527" t="n">
        <f aca="false">IF(YEAR($AJ46)=$CG$10,(($I46-$AL$48)*$AK$48+($I46-$AN$48)*$AM$48+($I46-$AP$48)*$AO$48+($I46-$AR$48)*$AQ$48+($I46-$AT$48)*$AS$48+($I46-$AV$48)*$AU$48+($I46-$AX$48)*$AW$48+($I46-$AZ$48)*$AY$48+($I46-$BB$48)*$BA$48+($I46-$BD$48)*$BC$48+($I46-$BF$48)*$BE$48+($I46-$BH$48)*$BG$48+($I46-$BJ$48)*$BI$48+($I46-$BL$48)*$BK$48+($I46-$BN$48)*$BM$48+($I46-$BP$48)*$BO$48+($I46-$BR$48)*$BQ$48+($I46-$BT$48)*$BS$48+($I46-$BV$48)*$BU$48+($I46-$BX$48)*$BW$48)*$CD46*$CE46,0)</f>
        <v>0</v>
      </c>
      <c r="CH46" s="527" t="n">
        <f aca="false">IF(YEAR($AJ46)=$CH$10,(($I46-$AL$49)*$AK$49+($I46-$AN$49)*$AM$49+($I46-$AP$49)*$AO$49+($I46-$AR$49)*$AQ$49+($I46-$AT$49)*$AS$49+($I46-$AV$49)*$AU$49+($I46-$AX$49)*$AW$49+($I46-$AZ$49)*$AY$49+($I46-$BB$49)*$BA$49+($I46-$BD$49)*$BC$49+($I46-$BF$49)*$BE$49+($I46-$BH$49)*$BG$49+($I46-$BJ$49)*$BI$49+($I46-$BL$49)*$BK$49+($I46-$BN$49)*$BM$49+($I46-$BP$49)*$BO$49+($I46-$BR$49)*$BQ$49+($I46-$BT$49)*$BS$49+($I46-$BV$49)*$BU$49+($I46-$BX$49)*$BW$49)*$CD46*$CE46,0)</f>
        <v>0</v>
      </c>
      <c r="CI46" s="527" t="n">
        <f aca="false">IF(YEAR($AJ46)=$CI$10,(($I46-$AL$50)*$AK$50+($I46-$AN$50)*$AM$50+($I46-$AP$50)*$AO$50+($I46-$AR$50)*$AQ$50+($I46-$AT$50)*$AS$50+($I46-$AV$50)*$AU$50+($I46-$AX$50)*$AW$50+($I46-$AZ$50)*$AY$50+($I46-$BB$50)*$BA$50+($I46-$BD$50)*$BC$50+($I46-$BF$50)*$BE$50+($I46-$BH$50)*$BG$50+($I46-$BJ$50)*$BI$50+($I46-$BL$50)*$BK$50+($I46-$BN$50)*$BM$50+($I46-$BP$50)*$BO$50+($I46-$BR$50)*$BQ$50+($I46-$BT$50)*$BS$50+($I46-$BV$50)*$BU$50+($I46-$BX$50)*$BW$50)*$CD46*$CE46,0)</f>
        <v>0</v>
      </c>
      <c r="CJ46" s="439" t="n">
        <f aca="false">CC46*CD46</f>
        <v>0</v>
      </c>
      <c r="CK46" s="553"/>
      <c r="CL46" s="553" t="n">
        <v>13.56</v>
      </c>
      <c r="CM46" s="530" t="n">
        <f aca="false">+CF46*CL46/10000</f>
        <v>0</v>
      </c>
      <c r="DJ46" s="532" t="n">
        <f aca="false">[1]Cinergy!$D68</f>
        <v>38200</v>
      </c>
      <c r="DK46" s="440" t="n">
        <f aca="false">VLOOKUP(DJ46,DL46:DM287,2)</f>
        <v>22</v>
      </c>
      <c r="DL46" s="533" t="n">
        <v>36770</v>
      </c>
      <c r="DM46" s="459" t="n">
        <v>20</v>
      </c>
      <c r="DP46" s="534" t="n">
        <f aca="false">[1]Cinergy!$D37</f>
        <v>37257</v>
      </c>
      <c r="DQ46" s="234" t="n">
        <f aca="false">[1]OPPD_NPPD!$O37+[1]NSP!$O37</f>
        <v>0</v>
      </c>
      <c r="DR46" s="234" t="n">
        <f aca="false">[1]COMED!$O37</f>
        <v>-422618.8125</v>
      </c>
      <c r="DS46" s="234" t="n">
        <f aca="false">DQ46+DR46</f>
        <v>-422618.8125</v>
      </c>
      <c r="DT46" s="234" t="n">
        <f aca="false">SUM([1]OPPD_NPPD!$P37:$R37)+SUM([1]NSP!$P37:$R37)</f>
        <v>0</v>
      </c>
      <c r="DU46" s="234" t="n">
        <f aca="false">SUM([1]COMED!$P37:$R37)</f>
        <v>18895.0283203125</v>
      </c>
      <c r="DV46" s="234" t="n">
        <f aca="false">DT46+DU46</f>
        <v>18895.0283203125</v>
      </c>
      <c r="DW46" s="535"/>
      <c r="DX46" s="536" t="n">
        <f aca="false">[1]OtherPosn!$D37</f>
        <v>37172</v>
      </c>
      <c r="DY46" s="234" t="n">
        <f aca="false">[1]OtherPosn!$N37</f>
        <v>0</v>
      </c>
      <c r="DZ46" s="234" t="n">
        <f aca="false">SUM([1]OtherPosn!$O37:$P37)</f>
        <v>0</v>
      </c>
    </row>
    <row r="47" customFormat="false" ht="18.75" hidden="false" customHeight="false" outlineLevel="0" collapsed="false">
      <c r="A47" s="631" t="n">
        <f aca="false">[1]Cinergy!$D69</f>
        <v>38231</v>
      </c>
      <c r="B47" s="632" t="n">
        <f aca="false">[1]Cinergy!$O69</f>
        <v>-43632.984375</v>
      </c>
      <c r="C47" s="633" t="n">
        <f aca="false">B47/(CE47*CD47)</f>
        <v>-149.76606365085</v>
      </c>
      <c r="D47" s="633" t="n">
        <f aca="false">BY47+IF(YEAR(A47)=$T$20,$BY$48,0)+IF(YEAR(A47)=$T$21,$BY$49,0)+IF(YEAR(A47)=$T$22,$BY$50,0)</f>
        <v>0</v>
      </c>
      <c r="E47" s="632" t="n">
        <f aca="false">B47+(D47*CD47*CE47)</f>
        <v>-43632.984375</v>
      </c>
      <c r="F47" s="634" t="n">
        <f aca="false">C47+D47</f>
        <v>-149.76606365085</v>
      </c>
      <c r="G47" s="635" t="n">
        <f aca="false">[1]Cinergy!$E69</f>
        <v>28.6750011444092</v>
      </c>
      <c r="H47" s="498" t="n">
        <f aca="false">IF($R$9,R47,Q47)</f>
        <v>0</v>
      </c>
      <c r="I47" s="636" t="n">
        <f aca="false">G47+H47</f>
        <v>28.6750011444092</v>
      </c>
      <c r="J47" s="632" t="n">
        <f aca="false">H47*B47</f>
        <v>-0</v>
      </c>
      <c r="K47" s="637" t="n">
        <f aca="false">(((I47-AL47)*AK47+(I47-AN47)*AM47+(I47-AP47)*AO47+(I47-AR47)*AQ47+(I47-AT47)*AS47+(I47-AV47)*AU47+(I47-AX47)*AW47+(I47-AZ47)*AY47+(I47-BB47)*BA47+(I47-BD47)*BC47+(I47-BF47)*BE47+(I47-BH47)*BG47+(I47-BJ47)*BI47+(I47-BL47)*BK47+(I47-BN47)*BM47+(I47-BP47)*BO47+(I47-BR47)*BQ47+(I47-BT47)*BS47+(I47-BV47)*BU47+(I47-BX47)*BW47)*CD47*CE47)+CG47+CH47+CI47</f>
        <v>0</v>
      </c>
      <c r="L47" s="638" t="n">
        <f aca="false">J47+K47</f>
        <v>0</v>
      </c>
      <c r="M47" s="46"/>
      <c r="N47" s="500" t="n">
        <f aca="false">A47</f>
        <v>38231</v>
      </c>
      <c r="O47" s="501" t="n">
        <v>28</v>
      </c>
      <c r="P47" s="501" t="n">
        <v>29</v>
      </c>
      <c r="Q47" s="502" t="n">
        <f aca="false">AVERAGE(O47:P47)-G47</f>
        <v>-0.17500114440918</v>
      </c>
      <c r="R47" s="503" t="n">
        <f aca="false">+[1]Cinergy!$F69</f>
        <v>0</v>
      </c>
      <c r="S47" s="542" t="n">
        <f aca="false">I47</f>
        <v>28.6750011444092</v>
      </c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512" t="n">
        <f aca="false">A47</f>
        <v>38231</v>
      </c>
      <c r="AK47" s="513"/>
      <c r="AL47" s="514"/>
      <c r="AM47" s="513"/>
      <c r="AN47" s="514"/>
      <c r="AO47" s="513"/>
      <c r="AP47" s="514"/>
      <c r="AQ47" s="513"/>
      <c r="AR47" s="514"/>
      <c r="AS47" s="515"/>
      <c r="AT47" s="516"/>
      <c r="AU47" s="520"/>
      <c r="AV47" s="517"/>
      <c r="AW47" s="520"/>
      <c r="AX47" s="517"/>
      <c r="AY47" s="520"/>
      <c r="AZ47" s="517"/>
      <c r="BA47" s="520"/>
      <c r="BB47" s="517"/>
      <c r="BC47" s="520"/>
      <c r="BD47" s="517"/>
      <c r="BE47" s="520"/>
      <c r="BF47" s="517"/>
      <c r="BG47" s="520"/>
      <c r="BH47" s="517"/>
      <c r="BI47" s="520"/>
      <c r="BJ47" s="517"/>
      <c r="BK47" s="520"/>
      <c r="BL47" s="517"/>
      <c r="BM47" s="520"/>
      <c r="BN47" s="517"/>
      <c r="BO47" s="520"/>
      <c r="BP47" s="517"/>
      <c r="BQ47" s="520"/>
      <c r="BR47" s="517"/>
      <c r="BS47" s="520"/>
      <c r="BT47" s="517"/>
      <c r="BU47" s="520"/>
      <c r="BV47" s="517"/>
      <c r="BW47" s="520"/>
      <c r="BX47" s="517"/>
      <c r="BY47" s="556" t="n">
        <f aca="false">AK47+AM47+AO47+AQ47+AS47+AU47+AW47+AY47+BA47+BC47+BE47+BG47+BI47+BK47+BM47+BO47+BQ47+BS47+BU47+BW47</f>
        <v>0</v>
      </c>
      <c r="BZ47" s="524" t="n">
        <f aca="false">IF(AND(BY47=0,CC47=0),0,(ABS(AK47)*AL47+ABS(AM47)*AN47+ABS(AO47)*AP47+ABS(AQ47)*AR47+ABS(AS47)*AT47+ABS(AU47)*AV47+ABS(AW47)*AX47+ABS(AY47)*AZ47+ABS(BA47)*BB47+ABS(BC47)*BD47+ABS(BE47)*BF47+ABS(BG47)*BH47+ABS(BI47)*BJ47+ABS(BK47)*BL47+ABS(BM47)*BN47+ABS(BO47)*BP47+ABS(BQ47)*BR47+ABS(BS47)*BT47+ABS(BU47)*BV47+ABS(BW47)*BX47)/CC47)</f>
        <v>0</v>
      </c>
      <c r="CB47" s="525" t="n">
        <f aca="false">AJ47</f>
        <v>38231</v>
      </c>
      <c r="CC47" s="222" t="n">
        <f aca="false">ABS(AK47)+ABS(AM47)+ABS(AO47)+ABS(AQ47)+ABS(AS47)+ABS(AU47)+ABS(AW47)+ABS(AY47)+ABS(BA47)+ABS(BC47)+ABS(BE47)+ABS(BG47)+ABS(BI47)+ABS(BK47)+ABS(BM47)+ABS(BO47)+ABS(BQ47)+ABS(BS47)+ABS(BU47)+ABS(BW47)</f>
        <v>0</v>
      </c>
      <c r="CD47" s="526" t="n">
        <f aca="false">16*DK47</f>
        <v>336</v>
      </c>
      <c r="CE47" s="222" t="n">
        <f aca="false">VLOOKUP(A47,Interest!$X$8:$AC$367,6)</f>
        <v>0.867086103347059</v>
      </c>
      <c r="CF47" s="527" t="n">
        <f aca="false">E47-B47</f>
        <v>0</v>
      </c>
      <c r="CG47" s="527" t="n">
        <f aca="false">IF(YEAR($AJ47)=$CG$10,(($I47-$AL$48)*$AK$48+($I47-$AN$48)*$AM$48+($I47-$AP$48)*$AO$48+($I47-$AR$48)*$AQ$48+($I47-$AT$48)*$AS$48+($I47-$AV$48)*$AU$48+($I47-$AX$48)*$AW$48+($I47-$AZ$48)*$AY$48+($I47-$BB$48)*$BA$48+($I47-$BD$48)*$BC$48+($I47-$BF$48)*$BE$48+($I47-$BH$48)*$BG$48+($I47-$BJ$48)*$BI$48+($I47-$BL$48)*$BK$48+($I47-$BN$48)*$BM$48+($I47-$BP$48)*$BO$48+($I47-$BR$48)*$BQ$48+($I47-$BT$48)*$BS$48+($I47-$BV$48)*$BU$48+($I47-$BX$48)*$BW$48)*$CD47*$CE47,0)</f>
        <v>0</v>
      </c>
      <c r="CH47" s="527" t="n">
        <f aca="false">IF(YEAR($AJ47)=$CH$10,(($I47-$AL$49)*$AK$49+($I47-$AN$49)*$AM$49+($I47-$AP$49)*$AO$49+($I47-$AR$49)*$AQ$49+($I47-$AT$49)*$AS$49+($I47-$AV$49)*$AU$49+($I47-$AX$49)*$AW$49+($I47-$AZ$49)*$AY$49+($I47-$BB$49)*$BA$49+($I47-$BD$49)*$BC$49+($I47-$BF$49)*$BE$49+($I47-$BH$49)*$BG$49+($I47-$BJ$49)*$BI$49+($I47-$BL$49)*$BK$49+($I47-$BN$49)*$BM$49+($I47-$BP$49)*$BO$49+($I47-$BR$49)*$BQ$49+($I47-$BT$49)*$BS$49+($I47-$BV$49)*$BU$49+($I47-$BX$49)*$BW$49)*$CD47*$CE47,0)</f>
        <v>0</v>
      </c>
      <c r="CI47" s="527" t="n">
        <f aca="false">IF(YEAR($AJ47)=$CI$10,(($I47-$AL$50)*$AK$50+($I47-$AN$50)*$AM$50+($I47-$AP$50)*$AO$50+($I47-$AR$50)*$AQ$50+($I47-$AT$50)*$AS$50+($I47-$AV$50)*$AU$50+($I47-$AX$50)*$AW$50+($I47-$AZ$50)*$AY$50+($I47-$BB$50)*$BA$50+($I47-$BD$50)*$BC$50+($I47-$BF$50)*$BE$50+($I47-$BH$50)*$BG$50+($I47-$BJ$50)*$BI$50+($I47-$BL$50)*$BK$50+($I47-$BN$50)*$BM$50+($I47-$BP$50)*$BO$50+($I47-$BR$50)*$BQ$50+($I47-$BT$50)*$BS$50+($I47-$BV$50)*$BU$50+($I47-$BX$50)*$BW$50)*$CD47*$CE47,0)</f>
        <v>0</v>
      </c>
      <c r="CJ47" s="439" t="n">
        <f aca="false">CC47*CD47</f>
        <v>0</v>
      </c>
      <c r="CK47" s="458"/>
      <c r="CL47" s="553" t="n">
        <v>13.44</v>
      </c>
      <c r="CM47" s="530" t="n">
        <f aca="false">+CF47*CL47/10000</f>
        <v>0</v>
      </c>
      <c r="DJ47" s="532" t="n">
        <f aca="false">[1]Cinergy!$D69</f>
        <v>38231</v>
      </c>
      <c r="DK47" s="440" t="n">
        <f aca="false">VLOOKUP(DJ47,DL47:DM288,2)</f>
        <v>21</v>
      </c>
      <c r="DL47" s="533" t="n">
        <v>36800</v>
      </c>
      <c r="DM47" s="459" t="n">
        <v>22</v>
      </c>
      <c r="DP47" s="534" t="n">
        <f aca="false">[1]Cinergy!$D38</f>
        <v>37288</v>
      </c>
      <c r="DQ47" s="234" t="n">
        <f aca="false">[1]OPPD_NPPD!$O38+[1]NSP!$O38</f>
        <v>0</v>
      </c>
      <c r="DR47" s="234" t="n">
        <f aca="false">[1]COMED!$O38</f>
        <v>-383171.78125</v>
      </c>
      <c r="DS47" s="234" t="n">
        <f aca="false">DQ47+DR47</f>
        <v>-383171.78125</v>
      </c>
      <c r="DT47" s="234" t="n">
        <f aca="false">SUM([1]OPPD_NPPD!$P38:$R38)+SUM([1]NSP!$P38:$R38)</f>
        <v>0</v>
      </c>
      <c r="DU47" s="234" t="n">
        <f aca="false">SUM([1]COMED!$P38:$R38)</f>
        <v>17274.1372070313</v>
      </c>
      <c r="DV47" s="234" t="n">
        <f aca="false">DT47+DU47</f>
        <v>17274.1372070313</v>
      </c>
      <c r="DW47" s="535"/>
      <c r="DX47" s="536" t="n">
        <f aca="false">[1]OtherPosn!$D38</f>
        <v>37195</v>
      </c>
      <c r="DY47" s="234" t="n">
        <f aca="false">[1]OtherPosn!$N38</f>
        <v>0</v>
      </c>
      <c r="DZ47" s="234" t="n">
        <f aca="false">SUM([1]OtherPosn!$O38:$P38)</f>
        <v>0</v>
      </c>
    </row>
    <row r="48" customFormat="false" ht="18.75" hidden="false" customHeight="false" outlineLevel="0" collapsed="false">
      <c r="A48" s="639" t="n">
        <f aca="false">[1]Cinergy!$D70</f>
        <v>38261</v>
      </c>
      <c r="B48" s="640" t="n">
        <f aca="false">[1]Cinergy!$O70</f>
        <v>-43419.30078125</v>
      </c>
      <c r="C48" s="641" t="n">
        <f aca="false">B48/(CE48*CD48)</f>
        <v>-12.3332563114037</v>
      </c>
      <c r="D48" s="641" t="n">
        <f aca="false">IF(YEAR(A48)=$T$20,$BY$48,0)+IF(YEAR(A48)=$T$21,$BY$49,0)+IF(YEAR(A48)=$T$22,$BY$50,0)</f>
        <v>0</v>
      </c>
      <c r="E48" s="640" t="n">
        <f aca="false">B48+(D48*CN48*CE48)</f>
        <v>-43419.30078125</v>
      </c>
      <c r="F48" s="642" t="n">
        <f aca="false">C48+D48</f>
        <v>-12.3332563114037</v>
      </c>
      <c r="G48" s="643" t="n">
        <f aca="false">[1]Cinergy!$E70</f>
        <v>29.9965648651123</v>
      </c>
      <c r="H48" s="643" t="n">
        <f aca="false">+[1]Cinergy!$F70</f>
        <v>-0.365001320838928</v>
      </c>
      <c r="I48" s="644" t="n">
        <f aca="false">G48+H48</f>
        <v>29.6315635442734</v>
      </c>
      <c r="J48" s="640" t="n">
        <f aca="false">H48*B48</f>
        <v>15848.102135059</v>
      </c>
      <c r="K48" s="189" t="n">
        <f aca="false">CG48+CH48+CI48</f>
        <v>0</v>
      </c>
      <c r="L48" s="645" t="n">
        <f aca="false">J48+K48</f>
        <v>15848.102135059</v>
      </c>
      <c r="M48" s="46"/>
      <c r="R48" s="503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646" t="s">
        <v>296</v>
      </c>
      <c r="AG48" s="615" t="n">
        <v>117</v>
      </c>
      <c r="AH48" s="615" t="n">
        <v>125</v>
      </c>
      <c r="AI48" s="46"/>
      <c r="AJ48" s="647" t="str">
        <f aca="false">V20</f>
        <v>Bal 2002</v>
      </c>
      <c r="AK48" s="513"/>
      <c r="AL48" s="514"/>
      <c r="AM48" s="513"/>
      <c r="AN48" s="514"/>
      <c r="AO48" s="513"/>
      <c r="AP48" s="514"/>
      <c r="AQ48" s="513"/>
      <c r="AR48" s="514"/>
      <c r="AS48" s="515"/>
      <c r="AT48" s="516"/>
      <c r="AU48" s="520"/>
      <c r="AV48" s="517"/>
      <c r="AW48" s="520"/>
      <c r="AX48" s="517"/>
      <c r="AY48" s="520"/>
      <c r="AZ48" s="517"/>
      <c r="BA48" s="520"/>
      <c r="BB48" s="517"/>
      <c r="BC48" s="520"/>
      <c r="BD48" s="517"/>
      <c r="BE48" s="520"/>
      <c r="BF48" s="517"/>
      <c r="BG48" s="520"/>
      <c r="BH48" s="517"/>
      <c r="BI48" s="520"/>
      <c r="BJ48" s="517"/>
      <c r="BK48" s="520"/>
      <c r="BL48" s="517"/>
      <c r="BM48" s="520"/>
      <c r="BN48" s="517"/>
      <c r="BO48" s="520"/>
      <c r="BP48" s="517"/>
      <c r="BQ48" s="520"/>
      <c r="BR48" s="517"/>
      <c r="BS48" s="520"/>
      <c r="BT48" s="517"/>
      <c r="BU48" s="520"/>
      <c r="BV48" s="517"/>
      <c r="BW48" s="520"/>
      <c r="BX48" s="517"/>
      <c r="BY48" s="556" t="n">
        <f aca="false">AK48+AM48+AO48+AQ48+AS48+AU48+AW48+AY48+BA48+BC48+BE48+BG48+BI48+BK48+BM48+BO48+BQ48+BS48+BU48+BW48</f>
        <v>0</v>
      </c>
      <c r="BZ48" s="524" t="n">
        <f aca="false">IF(AND(BY48=0,CC48=0),0,(ABS(AK48)*AL48+ABS(AM48)*AN48+ABS(AO48)*AP48+ABS(AQ48)*AR48+ABS(AS48)*AT48+ABS(AU48)*AV48+ABS(AW48)*AX48+ABS(AY48)*AZ48+ABS(BA48)*BB48+ABS(BC48)*BD48+ABS(BE48)*BF48+ABS(BG48)*BH48+ABS(BI48)*BJ48+ABS(BK48)*BL48+ABS(BM48)*BN48+ABS(BO48)*BP48+ABS(BQ48)*BR48+ABS(BS48)*BT48+ABS(BU48)*BV48+ABS(BW48)*BX48)/CC48)</f>
        <v>0</v>
      </c>
      <c r="CA48" s="222"/>
      <c r="CB48" s="525" t="str">
        <f aca="false">AJ48</f>
        <v>Bal 2002</v>
      </c>
      <c r="CC48" s="222" t="n">
        <f aca="false">ABS(AK48)+ABS(AM48)+ABS(AO48)+ABS(AQ48)+ABS(AS48)+ABS(AU48)+ABS(AW48)+ABS(AY48)+ABS(BA48)+ABS(BC48)+ABS(BE48)+ABS(BG48)+ABS(BI48)+ABS(BK48)+ABS(BM48)+ABS(BO48)+ABS(BQ48)+ABS(BS48)+ABS(BU48)+ABS(BW48)</f>
        <v>0</v>
      </c>
      <c r="CD48" s="648" t="n">
        <f aca="false" t="array" ref="CD48:CD48">16*SUM(IF(YEAR($DJ$12:$DJ$47)=$T20,$DK$12:$DK$47))</f>
        <v>4080</v>
      </c>
      <c r="CE48" s="222" t="n">
        <f aca="false">VLOOKUP(A48,Interest!$X$8:$AC$367,6)</f>
        <v>0.862869076657444</v>
      </c>
      <c r="CF48" s="527" t="n">
        <f aca="false">E48-B48</f>
        <v>0</v>
      </c>
      <c r="CG48" s="527" t="n">
        <f aca="false">IF(YEAR($A48)=$CG$10,(($I48-$AL$48)*$AK$48+($I48-$AN$48)*$AM$48+($I48-$AP$48)*$AO$48+($I48-$AR$48)*$AQ$48+($I48-$AT$48)*$AS$48+($I48-$AV$48)*$AU$48+($I48-$AX$48)*$AW$48+($I48-$AZ$48)*$AY$48+($I48-$BB$48)*$BA$48+($I48-$BD$48)*$BC$48+($I48-$BF$48)*$BE$48+($I48-$BH$48)*$BG$48+($I48-$BJ$48)*$BI$48+($I48-$BL$48)*$BK$48+($I48-$BN$48)*$BM$48+($I48-$BP$48)*$BO$48+($I48-$BR$48)*$BQ$48+($I48-$BT$48)*$BS$48+($I48-$BV$48)*$BU$48+($I48-$BX$48)*$BW$48)*$CN48*$CE48,0)</f>
        <v>0</v>
      </c>
      <c r="CH48" s="527" t="n">
        <f aca="false">IF(YEAR($A48)=$CH$10,(($I48-$AL$49)*$AK$49+($I48-$AN$49)*$AM$49+($I48-$AP$49)*$AO$49+($I48-$AR$49)*$AQ$49+($I48-$AT$49)*$AS$49+($I48-$AV$49)*$AU$49+($I48-$AX$49)*$AW$49+($I48-$AZ$49)*$AY$49+($I48-$BB$49)*$BA$49+($I48-$BD$49)*$BC$49+($I48-$BF$49)*$BE$49+($I48-$BH$49)*$BG$49+($I48-$BJ$49)*$BI$49+($I48-$BL$49)*$BK$49+($I48-$BN$49)*$BM$49+($I48-$BP$49)*$BO$49+($I48-$BR$49)*$BQ$49+($I48-$BT$49)*$BS$49+($I48-$BV$49)*$BU$49+($I48-$BX$49)*$BW$49)*$CN48*$CE48,0)</f>
        <v>0</v>
      </c>
      <c r="CI48" s="527" t="n">
        <f aca="false">IF(YEAR($A48)=$CI$10,(($I48-$AL$50)*$AK$50+($I48-$AN$50)*$AM$50+($I48-$AP$50)*$AO$50+($I48-$AR$50)*$AQ$50+($I48-$AT$50)*$AS$50+($I48-$AV$50)*$AU$50+($I48-$AX$50)*$AW$50+($I48-$AZ$50)*$AY$50+($I48-$BB$50)*$BA$50+($I48-$BD$50)*$BC$50+($I48-$BF$50)*$BE$50+($I48-$BH$50)*$BG$50+($I48-$BJ$50)*$BI$50+($I48-$BL$50)*$BK$50+($I48-$BN$50)*$BM$50+($I48-$BP$50)*$BO$50+($I48-$BR$50)*$BQ$50+($I48-$BT$50)*$BS$50+($I48-$BV$50)*$BU$50+($I48-$BX$50)*$BW$50)*$CN48*$CE48,0)</f>
        <v>0</v>
      </c>
      <c r="CJ48" s="439" t="n">
        <f aca="false">CC48*CD48</f>
        <v>0</v>
      </c>
      <c r="CL48" s="532"/>
      <c r="CM48" s="530" t="n">
        <f aca="false">+CF48*CL48/10000</f>
        <v>0</v>
      </c>
      <c r="DJ48" s="532" t="n">
        <f aca="false">[1]Cinergy!$D70</f>
        <v>38261</v>
      </c>
      <c r="DK48" s="440" t="n">
        <f aca="false">VLOOKUP(DJ48,DL48:DM289,2)</f>
        <v>21</v>
      </c>
      <c r="DL48" s="533" t="n">
        <v>36831</v>
      </c>
      <c r="DM48" s="459" t="n">
        <v>21</v>
      </c>
      <c r="DP48" s="534" t="n">
        <f aca="false">[1]Cinergy!$D39</f>
        <v>37316</v>
      </c>
      <c r="DQ48" s="234" t="n">
        <f aca="false">[1]OPPD_NPPD!$O39+[1]NSP!$O39</f>
        <v>0</v>
      </c>
      <c r="DR48" s="234" t="n">
        <f aca="false">[1]COMED!$O39</f>
        <v>-55894.4921875</v>
      </c>
      <c r="DS48" s="234" t="n">
        <f aca="false">DQ48+DR48</f>
        <v>-55894.4921875</v>
      </c>
      <c r="DT48" s="234" t="n">
        <f aca="false">SUM([1]OPPD_NPPD!$P39:$R39)+SUM([1]NSP!$P39:$R39)</f>
        <v>0</v>
      </c>
      <c r="DU48" s="234" t="n">
        <f aca="false">SUM([1]COMED!$P39:$R39)</f>
        <v>19962.3193359375</v>
      </c>
      <c r="DV48" s="234" t="n">
        <f aca="false">DT48+DU48</f>
        <v>19962.3193359375</v>
      </c>
      <c r="DW48" s="535"/>
      <c r="DX48" s="536" t="n">
        <f aca="false">[1]OtherPosn!$D39</f>
        <v>37196</v>
      </c>
      <c r="DY48" s="234" t="n">
        <f aca="false">[1]OtherPosn!$N39</f>
        <v>0</v>
      </c>
      <c r="DZ48" s="234" t="n">
        <f aca="false">SUM([1]OtherPosn!$O39:$P39)</f>
        <v>0</v>
      </c>
    </row>
    <row r="49" customFormat="false" ht="18.75" hidden="false" customHeight="false" outlineLevel="0" collapsed="false">
      <c r="A49" s="639" t="n">
        <f aca="false">[1]Cinergy!$D71</f>
        <v>38292</v>
      </c>
      <c r="B49" s="640" t="n">
        <f aca="false">[1]Cinergy!$O71</f>
        <v>-43211.83984375</v>
      </c>
      <c r="C49" s="641" t="n">
        <f aca="false">B49/(CE49*CD49)</f>
        <v>-12.333296142718</v>
      </c>
      <c r="D49" s="641" t="n">
        <f aca="false">IF(YEAR(A49)=$T$20,$BY$48,0)+IF(YEAR(A49)=$T$21,$BY$49,0)+IF(YEAR(A49)=$T$22,$BY$50,0)</f>
        <v>0</v>
      </c>
      <c r="E49" s="640" t="n">
        <f aca="false">B49+(D49*CN49*CE49)</f>
        <v>-43211.83984375</v>
      </c>
      <c r="F49" s="642" t="n">
        <f aca="false">C49+D49</f>
        <v>-12.333296142718</v>
      </c>
      <c r="G49" s="643" t="n">
        <f aca="false">[1]Cinergy!$E71</f>
        <v>30.0965633392334</v>
      </c>
      <c r="H49" s="643" t="n">
        <f aca="false">+[1]Cinergy!$F71</f>
        <v>-0.365001320838928</v>
      </c>
      <c r="I49" s="644" t="n">
        <f aca="false">G49+H49</f>
        <v>29.7315620183945</v>
      </c>
      <c r="J49" s="640" t="n">
        <f aca="false">H49*B49</f>
        <v>15772.378618849</v>
      </c>
      <c r="K49" s="189" t="n">
        <f aca="false">CG49+CH49+CI49</f>
        <v>0</v>
      </c>
      <c r="L49" s="645" t="n">
        <f aca="false">J49+K49</f>
        <v>15772.378618849</v>
      </c>
      <c r="M49" s="46"/>
      <c r="N49" s="46"/>
      <c r="O49" s="46"/>
      <c r="P49" s="46"/>
      <c r="Q49" s="46"/>
      <c r="R49" s="503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649" t="s">
        <v>297</v>
      </c>
      <c r="AG49" s="620" t="n">
        <v>8</v>
      </c>
      <c r="AH49" s="620" t="n">
        <v>12</v>
      </c>
      <c r="AI49" s="46"/>
      <c r="AJ49" s="650" t="n">
        <f aca="false">V21</f>
        <v>2003</v>
      </c>
      <c r="AK49" s="513"/>
      <c r="AL49" s="514"/>
      <c r="AM49" s="513"/>
      <c r="AN49" s="514"/>
      <c r="AO49" s="513"/>
      <c r="AP49" s="514"/>
      <c r="AQ49" s="513"/>
      <c r="AR49" s="514"/>
      <c r="AS49" s="515"/>
      <c r="AT49" s="516"/>
      <c r="AU49" s="520"/>
      <c r="AV49" s="517"/>
      <c r="AW49" s="520"/>
      <c r="AX49" s="517"/>
      <c r="AY49" s="520"/>
      <c r="AZ49" s="517"/>
      <c r="BA49" s="520"/>
      <c r="BB49" s="517"/>
      <c r="BC49" s="520"/>
      <c r="BD49" s="517"/>
      <c r="BE49" s="520"/>
      <c r="BF49" s="517"/>
      <c r="BG49" s="520"/>
      <c r="BH49" s="517"/>
      <c r="BI49" s="520"/>
      <c r="BJ49" s="517"/>
      <c r="BK49" s="520"/>
      <c r="BL49" s="517"/>
      <c r="BM49" s="520"/>
      <c r="BN49" s="517"/>
      <c r="BO49" s="520"/>
      <c r="BP49" s="517"/>
      <c r="BQ49" s="520"/>
      <c r="BR49" s="517"/>
      <c r="BS49" s="520"/>
      <c r="BT49" s="517"/>
      <c r="BU49" s="520"/>
      <c r="BV49" s="517"/>
      <c r="BW49" s="520"/>
      <c r="BX49" s="517"/>
      <c r="BY49" s="556" t="n">
        <f aca="false">AK49+AM49+AO49+AQ49+AS49+AU49+AW49+AY49+BA49+BC49+BE49+BG49+BI49+BK49+BM49+BO49+BQ49+BS49+BU49+BW49</f>
        <v>0</v>
      </c>
      <c r="BZ49" s="524" t="n">
        <f aca="false">IF(AND(BY49=0,CC49=0),0,(ABS(AK49)*AL49+ABS(AM49)*AN49+ABS(AO49)*AP49+ABS(AQ49)*AR49+ABS(AS49)*AT49+ABS(AU49)*AV49+ABS(AW49)*AX49+ABS(AY49)*AZ49+ABS(BA49)*BB49+ABS(BC49)*BD49+ABS(BE49)*BF49+ABS(BG49)*BH49+ABS(BI49)*BJ49+ABS(BK49)*BL49+ABS(BM49)*BN49+ABS(BO49)*BP49+ABS(BQ49)*BR49+ABS(BS49)*BT49+ABS(BU49)*BV49+ABS(BW49)*BX49)/CC49)</f>
        <v>0</v>
      </c>
      <c r="CA49" s="222"/>
      <c r="CB49" s="651" t="n">
        <f aca="false">AJ49</f>
        <v>2003</v>
      </c>
      <c r="CC49" s="222" t="n">
        <f aca="false">ABS(AK49)+ABS(AM49)+ABS(AO49)+ABS(AQ49)+ABS(AS49)+ABS(AU49)+ABS(AW49)+ABS(AY49)+ABS(BA49)+ABS(BC49)+ABS(BE49)+ABS(BG49)+ABS(BI49)+ABS(BK49)+ABS(BM49)+ABS(BO49)+ABS(BQ49)+ABS(BS49)+ABS(BU49)+ABS(BW49)</f>
        <v>0</v>
      </c>
      <c r="CD49" s="648" t="n">
        <f aca="false" t="array" ref="CD49:CD49">16*SUM(IF(YEAR($DJ$12:$DJ$47)=$T21,$DK$12:$DK$47))</f>
        <v>4080</v>
      </c>
      <c r="CE49" s="222" t="n">
        <f aca="false">VLOOKUP(A49,Interest!$X$8:$AC$367,6)</f>
        <v>0.858743444902904</v>
      </c>
      <c r="CF49" s="527" t="n">
        <f aca="false">E49-B49</f>
        <v>0</v>
      </c>
      <c r="CG49" s="527" t="n">
        <f aca="false">IF(YEAR($A49)=$CG$10,(($I49-$AL$48)*$AK$48+($I49-$AN$48)*$AM$48+($I49-$AP$48)*$AO$48+($I49-$AR$48)*$AQ$48+($I49-$AT$48)*$AS$48+($I49-$AV$48)*$AU$48+($I49-$AX$48)*$AW$48+($I49-$AZ$48)*$AY$48+($I49-$BB$48)*$BA$48+($I49-$BD$48)*$BC$48+($I49-$BF$48)*$BE$48+($I49-$BH$48)*$BG$48+($I49-$BJ$48)*$BI$48+($I49-$BL$48)*$BK$48+($I49-$BN$48)*$BM$48+($I49-$BP$48)*$BO$48+($I49-$BR$48)*$BQ$48+($I49-$BT$48)*$BS$48+($I49-$BV$48)*$BU$48+($I49-$BX$48)*$BW$48)*$CN49*$CE49,0)</f>
        <v>0</v>
      </c>
      <c r="CH49" s="527" t="n">
        <f aca="false">IF(YEAR($A49)=$CH$10,(($I49-$AL$49)*$AK$49+($I49-$AN$49)*$AM$49+($I49-$AP$49)*$AO$49+($I49-$AR$49)*$AQ$49+($I49-$AT$49)*$AS$49+($I49-$AV$49)*$AU$49+($I49-$AX$49)*$AW$49+($I49-$AZ$49)*$AY$49+($I49-$BB$49)*$BA$49+($I49-$BD$49)*$BC$49+($I49-$BF$49)*$BE$49+($I49-$BH$49)*$BG$49+($I49-$BJ$49)*$BI$49+($I49-$BL$49)*$BK$49+($I49-$BN$49)*$BM$49+($I49-$BP$49)*$BO$49+($I49-$BR$49)*$BQ$49+($I49-$BT$49)*$BS$49+($I49-$BV$49)*$BU$49+($I49-$BX$49)*$BW$49)*$CN49*$CE49,0)</f>
        <v>0</v>
      </c>
      <c r="CI49" s="527" t="n">
        <f aca="false">IF(YEAR($A49)=$CI$10,(($I49-$AL$50)*$AK$50+($I49-$AN$50)*$AM$50+($I49-$AP$50)*$AO$50+($I49-$AR$50)*$AQ$50+($I49-$AT$50)*$AS$50+($I49-$AV$50)*$AU$50+($I49-$AX$50)*$AW$50+($I49-$AZ$50)*$AY$50+($I49-$BB$50)*$BA$50+($I49-$BD$50)*$BC$50+($I49-$BF$50)*$BE$50+($I49-$BH$50)*$BG$50+($I49-$BJ$50)*$BI$50+($I49-$BL$50)*$BK$50+($I49-$BN$50)*$BM$50+($I49-$BP$50)*$BO$50+($I49-$BR$50)*$BQ$50+($I49-$BT$50)*$BS$50+($I49-$BV$50)*$BU$50+($I49-$BX$50)*$BW$50)*$CN49*$CE49,0)</f>
        <v>0</v>
      </c>
      <c r="CJ49" s="439" t="n">
        <f aca="false">CC49*CD49</f>
        <v>0</v>
      </c>
      <c r="CL49" s="532"/>
      <c r="CM49" s="530" t="n">
        <f aca="false">+CF49*CL49/10000</f>
        <v>0</v>
      </c>
      <c r="DJ49" s="532" t="n">
        <f aca="false">[1]Cinergy!$D71</f>
        <v>38292</v>
      </c>
      <c r="DK49" s="440" t="n">
        <f aca="false">VLOOKUP(DJ49,DL49:DM290,2)</f>
        <v>21</v>
      </c>
      <c r="DL49" s="533" t="n">
        <v>36861</v>
      </c>
      <c r="DM49" s="459" t="n">
        <v>20</v>
      </c>
      <c r="DP49" s="534" t="n">
        <f aca="false">[1]Cinergy!$D40</f>
        <v>37347</v>
      </c>
      <c r="DQ49" s="234" t="n">
        <f aca="false">[1]OPPD_NPPD!$O40+[1]NSP!$O40</f>
        <v>0</v>
      </c>
      <c r="DR49" s="234" t="n">
        <f aca="false">[1]COMED!$O40</f>
        <v>-58384.8203125</v>
      </c>
      <c r="DS49" s="234" t="n">
        <f aca="false">DQ49+DR49</f>
        <v>-58384.8203125</v>
      </c>
      <c r="DT49" s="234" t="n">
        <f aca="false">SUM([1]OPPD_NPPD!$P40:$R40)+SUM([1]NSP!$P40:$R40)</f>
        <v>0</v>
      </c>
      <c r="DU49" s="234" t="n">
        <f aca="false">SUM([1]COMED!$P40:$R40)</f>
        <v>17903.7670898438</v>
      </c>
      <c r="DV49" s="234" t="n">
        <f aca="false">DT49+DU49</f>
        <v>17903.7670898438</v>
      </c>
      <c r="DW49" s="535"/>
      <c r="DX49" s="536" t="n">
        <f aca="false">[1]OtherPosn!$D40</f>
        <v>37226</v>
      </c>
      <c r="DY49" s="234" t="n">
        <f aca="false">[1]OtherPosn!$N40</f>
        <v>0</v>
      </c>
      <c r="DZ49" s="234" t="n">
        <f aca="false">SUM([1]OtherPosn!$O40:$P40)</f>
        <v>0</v>
      </c>
    </row>
    <row r="50" customFormat="false" ht="18.75" hidden="false" customHeight="false" outlineLevel="0" collapsed="false">
      <c r="A50" s="639" t="n">
        <f aca="false">[1]Cinergy!$D72</f>
        <v>38322</v>
      </c>
      <c r="B50" s="640" t="n">
        <f aca="false">[1]Cinergy!$O72</f>
        <v>-47091.96484375</v>
      </c>
      <c r="C50" s="641" t="n">
        <f aca="false">B50/(CE50*CD50)</f>
        <v>-13.3502056321587</v>
      </c>
      <c r="D50" s="641" t="n">
        <f aca="false">IF(YEAR(A50)=$T$20,$BY$48,0)+IF(YEAR(A50)=$T$21,$BY$49,0)+IF(YEAR(A50)=$T$22,$BY$50,0)</f>
        <v>0</v>
      </c>
      <c r="E50" s="640" t="n">
        <f aca="false">B50+(D50*CN50*CE50)</f>
        <v>-47091.96484375</v>
      </c>
      <c r="F50" s="642" t="n">
        <f aca="false">C50+D50</f>
        <v>-13.3502056321587</v>
      </c>
      <c r="G50" s="643" t="n">
        <f aca="false">[1]Cinergy!$E72</f>
        <v>30.1965618133545</v>
      </c>
      <c r="H50" s="643" t="n">
        <f aca="false">+[1]Cinergy!$F72</f>
        <v>-0.365001320838928</v>
      </c>
      <c r="I50" s="644" t="n">
        <f aca="false">G50+H50</f>
        <v>29.8315604925156</v>
      </c>
      <c r="J50" s="640" t="n">
        <f aca="false">H50*B50</f>
        <v>17188.6293688691</v>
      </c>
      <c r="K50" s="189" t="n">
        <f aca="false">CG50+CH50+CI50</f>
        <v>0</v>
      </c>
      <c r="L50" s="645" t="n">
        <f aca="false">J50+K50</f>
        <v>17188.6293688691</v>
      </c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652" t="n">
        <f aca="false">V22</f>
        <v>2004</v>
      </c>
      <c r="AK50" s="653"/>
      <c r="AL50" s="654"/>
      <c r="AM50" s="653"/>
      <c r="AN50" s="654"/>
      <c r="AO50" s="653"/>
      <c r="AP50" s="654"/>
      <c r="AQ50" s="653"/>
      <c r="AR50" s="654"/>
      <c r="AS50" s="655"/>
      <c r="AT50" s="656"/>
      <c r="AU50" s="657"/>
      <c r="AV50" s="658"/>
      <c r="AW50" s="657"/>
      <c r="AX50" s="658"/>
      <c r="AY50" s="657"/>
      <c r="AZ50" s="658"/>
      <c r="BA50" s="657"/>
      <c r="BB50" s="658"/>
      <c r="BC50" s="657"/>
      <c r="BD50" s="658"/>
      <c r="BE50" s="657"/>
      <c r="BF50" s="658"/>
      <c r="BG50" s="657"/>
      <c r="BH50" s="658"/>
      <c r="BI50" s="657"/>
      <c r="BJ50" s="658"/>
      <c r="BK50" s="657"/>
      <c r="BL50" s="658"/>
      <c r="BM50" s="657"/>
      <c r="BN50" s="658"/>
      <c r="BO50" s="657"/>
      <c r="BP50" s="658"/>
      <c r="BQ50" s="657"/>
      <c r="BR50" s="658"/>
      <c r="BS50" s="657"/>
      <c r="BT50" s="658"/>
      <c r="BU50" s="657"/>
      <c r="BV50" s="658"/>
      <c r="BW50" s="657"/>
      <c r="BX50" s="658"/>
      <c r="BY50" s="659" t="n">
        <f aca="false">AK50+AM50+AO50+AQ50+AS50+AU50+AW50+AY50+BA50+BC50+BE50+BG50+BI50+BK50+BM50+BO50+BQ50+BS50+BU50+BW50</f>
        <v>0</v>
      </c>
      <c r="BZ50" s="660" t="n">
        <f aca="false">IF(AND(BY50=0,CC50=0),0,(ABS(AK50)*AL50+ABS(AM50)*AN50+ABS(AO50)*AP50+ABS(AQ50)*AR50+ABS(AS50)*AT50+ABS(AU50)*AV50+ABS(AW50)*AX50+ABS(AY50)*AZ50+ABS(BA50)*BB50+ABS(BC50)*BD50+ABS(BE50)*BF50+ABS(BG50)*BH50+ABS(BI50)*BJ50+ABS(BK50)*BL50+ABS(BM50)*BN50+ABS(BO50)*BP50+ABS(BQ50)*BR50+ABS(BS50)*BT50+ABS(BU50)*BV50+ABS(BW50)*BX50)/CC50)</f>
        <v>0</v>
      </c>
      <c r="CB50" s="651" t="n">
        <f aca="false">AJ50</f>
        <v>2004</v>
      </c>
      <c r="CC50" s="222" t="n">
        <f aca="false">ABS(AK50)+ABS(AM50)+ABS(AO50)+ABS(AQ50)+ABS(AS50)+ABS(AU50)+ABS(AW50)+ABS(AY50)+ABS(BA50)+ABS(BC50)+ABS(BE50)+ABS(BG50)+ABS(BI50)+ABS(BK50)+ABS(BM50)+ABS(BO50)+ABS(BQ50)+ABS(BS50)+ABS(BU50)+ABS(BW50)</f>
        <v>0</v>
      </c>
      <c r="CD50" s="648" t="n">
        <f aca="false" t="array" ref="CD50:CD50">16*SUM(IF(YEAR($DJ$12:$DJ$50)=$T22,$DK$12:$DK$50))</f>
        <v>4128</v>
      </c>
      <c r="CE50" s="222" t="n">
        <f aca="false">VLOOKUP(A50,Interest!$X$8:$AC$367,6)</f>
        <v>0.854513970363169</v>
      </c>
      <c r="CF50" s="527" t="n">
        <f aca="false">E50-B50</f>
        <v>0</v>
      </c>
      <c r="CG50" s="527" t="n">
        <f aca="false">IF(YEAR($A50)=$CG$10,(($I50-$AL$48)*$AK$48+($I50-$AN$48)*$AM$48+($I50-$AP$48)*$AO$48+($I50-$AR$48)*$AQ$48+($I50-$AT$48)*$AS$48+($I50-$AV$48)*$AU$48+($I50-$AX$48)*$AW$48+($I50-$AZ$48)*$AY$48+($I50-$BB$48)*$BA$48+($I50-$BD$48)*$BC$48+($I50-$BF$48)*$BE$48+($I50-$BH$48)*$BG$48+($I50-$BJ$48)*$BI$48+($I50-$BL$48)*$BK$48+($I50-$BN$48)*$BM$48+($I50-$BP$48)*$BO$48+($I50-$BR$48)*$BQ$48+($I50-$BT$48)*$BS$48+($I50-$BV$48)*$BU$48+($I50-$BX$48)*$BW$48)*$CN50*$CE50,0)</f>
        <v>0</v>
      </c>
      <c r="CH50" s="527" t="n">
        <f aca="false">IF(YEAR($A50)=$CH$10,(($I50-$AL$49)*$AK$49+($I50-$AN$49)*$AM$49+($I50-$AP$49)*$AO$49+($I50-$AR$49)*$AQ$49+($I50-$AT$49)*$AS$49+($I50-$AV$49)*$AU$49+($I50-$AX$49)*$AW$49+($I50-$AZ$49)*$AY$49+($I50-$BB$49)*$BA$49+($I50-$BD$49)*$BC$49+($I50-$BF$49)*$BE$49+($I50-$BH$49)*$BG$49+($I50-$BJ$49)*$BI$49+($I50-$BL$49)*$BK$49+($I50-$BN$49)*$BM$49+($I50-$BP$49)*$BO$49+($I50-$BR$49)*$BQ$49+($I50-$BT$49)*$BS$49+($I50-$BV$49)*$BU$49+($I50-$BX$49)*$BW$49)*$CN50*$CE50,0)</f>
        <v>0</v>
      </c>
      <c r="CI50" s="527" t="n">
        <f aca="false">IF(YEAR($A50)=$CI$10,(($I50-$AL$50)*$AK$50+($I50-$AN$50)*$AM$50+($I50-$AP$50)*$AO$50+($I50-$AR$50)*$AQ$50+($I50-$AT$50)*$AS$50+($I50-$AV$50)*$AU$50+($I50-$AX$50)*$AW$50+($I50-$AZ$50)*$AY$50+($I50-$BB$50)*$BA$50+($I50-$BD$50)*$BC$50+($I50-$BF$50)*$BE$50+($I50-$BH$50)*$BG$50+($I50-$BJ$50)*$BI$50+($I50-$BL$50)*$BK$50+($I50-$BN$50)*$BM$50+($I50-$BP$50)*$BO$50+($I50-$BR$50)*$BQ$50+($I50-$BT$50)*$BS$50+($I50-$BV$50)*$BU$50+($I50-$BX$50)*$BW$50)*$CN50*$CE50,0)</f>
        <v>0</v>
      </c>
      <c r="CJ50" s="661" t="n">
        <f aca="false">CC50*CD50</f>
        <v>0</v>
      </c>
      <c r="CL50" s="532"/>
      <c r="CM50" s="530" t="n">
        <f aca="false">+CF50*CL50/10000</f>
        <v>0</v>
      </c>
      <c r="DJ50" s="532" t="n">
        <f aca="false">[1]Cinergy!$D72</f>
        <v>38322</v>
      </c>
      <c r="DK50" s="440" t="n">
        <f aca="false">VLOOKUP(DJ50,$DL$50:$DM$291,2)</f>
        <v>23</v>
      </c>
      <c r="DL50" s="533" t="n">
        <v>36892</v>
      </c>
      <c r="DM50" s="459" t="n">
        <v>22</v>
      </c>
      <c r="DP50" s="534" t="n">
        <f aca="false">[1]Cinergy!$D41</f>
        <v>37377</v>
      </c>
      <c r="DQ50" s="234" t="n">
        <f aca="false">[1]OPPD_NPPD!$O41+[1]NSP!$O41</f>
        <v>0</v>
      </c>
      <c r="DR50" s="234" t="n">
        <f aca="false">[1]COMED!$O41</f>
        <v>-143801.96875</v>
      </c>
      <c r="DS50" s="234" t="n">
        <f aca="false">DQ50+DR50</f>
        <v>-143801.96875</v>
      </c>
      <c r="DT50" s="234" t="n">
        <f aca="false">SUM([1]OPPD_NPPD!$P41:$R41)+SUM([1]NSP!$P41:$R41)</f>
        <v>0</v>
      </c>
      <c r="DU50" s="234" t="n">
        <f aca="false">SUM([1]COMED!$P41:$R41)</f>
        <v>18675.5808105469</v>
      </c>
      <c r="DV50" s="234" t="n">
        <f aca="false">DT50+DU50</f>
        <v>18675.5808105469</v>
      </c>
      <c r="DW50" s="535"/>
      <c r="DX50" s="536" t="n">
        <f aca="false">[1]OtherPosn!$D41</f>
        <v>37257</v>
      </c>
      <c r="DY50" s="234" t="n">
        <f aca="false">[1]OtherPosn!$N41</f>
        <v>86602.2109375</v>
      </c>
      <c r="DZ50" s="234" t="n">
        <f aca="false">SUM([1]OtherPosn!$O41:$P41)</f>
        <v>0</v>
      </c>
    </row>
    <row r="51" customFormat="false" ht="31.5" hidden="false" customHeight="true" outlineLevel="0" collapsed="false">
      <c r="A51" s="662" t="s">
        <v>298</v>
      </c>
      <c r="B51" s="662"/>
      <c r="C51" s="662"/>
      <c r="D51" s="662"/>
      <c r="E51" s="662"/>
      <c r="F51" s="662"/>
      <c r="G51" s="662"/>
      <c r="H51" s="662"/>
      <c r="I51" s="662"/>
      <c r="J51" s="662"/>
      <c r="K51" s="662"/>
      <c r="L51" s="662"/>
      <c r="M51" s="662"/>
      <c r="N51" s="662"/>
      <c r="O51" s="662"/>
      <c r="P51" s="662"/>
      <c r="Q51" s="662"/>
      <c r="R51" s="662"/>
      <c r="S51" s="662"/>
      <c r="T51" s="662"/>
      <c r="U51" s="662"/>
      <c r="V51" s="662"/>
      <c r="W51" s="662"/>
      <c r="X51" s="662"/>
      <c r="Y51" s="662"/>
      <c r="Z51" s="662"/>
      <c r="AA51" s="662"/>
      <c r="AB51" s="662"/>
      <c r="AC51" s="662"/>
      <c r="AD51" s="662"/>
      <c r="AE51" s="662"/>
      <c r="AF51" s="662"/>
      <c r="AG51" s="662"/>
      <c r="AH51" s="662"/>
      <c r="AI51" s="662"/>
      <c r="AJ51" s="662"/>
      <c r="AK51" s="663"/>
      <c r="AL51" s="664"/>
      <c r="AM51" s="663"/>
      <c r="AN51" s="664"/>
      <c r="AO51" s="663"/>
      <c r="AP51" s="664"/>
      <c r="AQ51" s="663"/>
      <c r="AR51" s="664"/>
      <c r="AS51" s="663"/>
      <c r="AT51" s="662"/>
      <c r="AU51" s="662"/>
      <c r="AV51" s="662"/>
      <c r="AW51" s="662"/>
      <c r="AX51" s="662"/>
      <c r="AY51" s="662"/>
      <c r="AZ51" s="662"/>
      <c r="BA51" s="662"/>
      <c r="BB51" s="662"/>
      <c r="BC51" s="662"/>
      <c r="BD51" s="662"/>
      <c r="BE51" s="662"/>
      <c r="BF51" s="662"/>
      <c r="BG51" s="662"/>
      <c r="BH51" s="662"/>
      <c r="BI51" s="662"/>
      <c r="BJ51" s="662"/>
      <c r="BK51" s="662"/>
      <c r="BL51" s="662"/>
      <c r="BM51" s="662"/>
      <c r="BN51" s="662"/>
      <c r="BO51" s="662"/>
      <c r="BP51" s="662"/>
      <c r="BQ51" s="662"/>
      <c r="BR51" s="662"/>
      <c r="BS51" s="662"/>
      <c r="BT51" s="662"/>
      <c r="BU51" s="662"/>
      <c r="BV51" s="662"/>
      <c r="BW51" s="662"/>
      <c r="BX51" s="662"/>
      <c r="BY51" s="662"/>
      <c r="BZ51" s="662"/>
      <c r="CA51" s="662"/>
      <c r="CB51" s="662"/>
      <c r="CC51" s="662"/>
      <c r="CD51" s="662"/>
      <c r="CE51" s="662"/>
      <c r="CF51" s="662"/>
      <c r="CG51" s="662"/>
      <c r="CH51" s="662"/>
      <c r="CI51" s="665" t="s">
        <v>299</v>
      </c>
      <c r="CJ51" s="666" t="n">
        <f aca="false">SUM(CJ12:CJ50)</f>
        <v>2860800</v>
      </c>
      <c r="CK51" s="662"/>
      <c r="CL51" s="662"/>
      <c r="CM51" s="663"/>
      <c r="CN51" s="662"/>
      <c r="CO51" s="662"/>
      <c r="CP51" s="662"/>
      <c r="CQ51" s="662"/>
      <c r="CR51" s="662"/>
      <c r="CS51" s="662"/>
      <c r="CT51" s="662"/>
      <c r="CU51" s="662"/>
      <c r="CV51" s="662"/>
      <c r="CW51" s="662"/>
      <c r="CX51" s="662"/>
      <c r="CY51" s="662"/>
      <c r="CZ51" s="662"/>
      <c r="DA51" s="662"/>
      <c r="DB51" s="662"/>
      <c r="DC51" s="662"/>
      <c r="DD51" s="662"/>
      <c r="DE51" s="662"/>
      <c r="DF51" s="662"/>
      <c r="DG51" s="662"/>
      <c r="DH51" s="662"/>
      <c r="DI51" s="662"/>
      <c r="DJ51" s="532" t="n">
        <f aca="false">[1]Cinergy!$D73</f>
        <v>38353</v>
      </c>
      <c r="DK51" s="440" t="n">
        <f aca="false">VLOOKUP(DJ51,$DL$50:$DM$291,2)</f>
        <v>21</v>
      </c>
      <c r="DL51" s="533" t="n">
        <v>36923</v>
      </c>
      <c r="DM51" s="459" t="n">
        <v>20</v>
      </c>
      <c r="DN51" s="662"/>
      <c r="DO51" s="662"/>
      <c r="DP51" s="667" t="n">
        <f aca="false">[1]Cinergy!$D42</f>
        <v>37408</v>
      </c>
      <c r="DQ51" s="234" t="n">
        <f aca="false">[1]OPPD_NPPD!$O42+[1]NSP!$O42</f>
        <v>0</v>
      </c>
      <c r="DR51" s="234" t="n">
        <f aca="false">[1]COMED!$O42</f>
        <v>-62060.53515625</v>
      </c>
      <c r="DS51" s="234" t="n">
        <f aca="false">DQ51+DR51</f>
        <v>-62060.53515625</v>
      </c>
      <c r="DT51" s="234" t="n">
        <f aca="false">SUM([1]OPPD_NPPD!$P42:$R42)+SUM([1]NSP!$P42:$R42)</f>
        <v>0</v>
      </c>
      <c r="DU51" s="234" t="n">
        <f aca="false">SUM([1]COMED!$P42:$R42)</f>
        <v>19393.9174804688</v>
      </c>
      <c r="DV51" s="234" t="n">
        <f aca="false">DT51+DU51</f>
        <v>19393.9174804688</v>
      </c>
      <c r="DW51" s="668"/>
      <c r="DX51" s="536" t="n">
        <f aca="false">[1]OtherPosn!$D42</f>
        <v>37288</v>
      </c>
      <c r="DY51" s="234" t="n">
        <f aca="false">[1]OtherPosn!$N42</f>
        <v>78518.8046875</v>
      </c>
      <c r="DZ51" s="234" t="n">
        <f aca="false">SUM([1]OtherPosn!$O42:$P42)</f>
        <v>0</v>
      </c>
      <c r="EA51" s="662"/>
      <c r="EB51" s="662"/>
      <c r="EC51" s="662"/>
      <c r="ED51" s="662"/>
      <c r="EE51" s="662"/>
      <c r="EF51" s="662"/>
      <c r="EG51" s="662"/>
      <c r="EH51" s="662"/>
      <c r="EI51" s="662"/>
      <c r="EJ51" s="662"/>
      <c r="EK51" s="662"/>
      <c r="EL51" s="662"/>
      <c r="EM51" s="662"/>
      <c r="EN51" s="662"/>
      <c r="EO51" s="662"/>
      <c r="EP51" s="662"/>
      <c r="EQ51" s="662"/>
      <c r="ER51" s="662"/>
      <c r="ES51" s="662"/>
      <c r="ET51" s="662"/>
      <c r="EU51" s="662"/>
      <c r="EV51" s="662"/>
      <c r="EW51" s="662"/>
      <c r="EX51" s="662"/>
      <c r="EY51" s="662"/>
      <c r="EZ51" s="662"/>
      <c r="FA51" s="662"/>
      <c r="FB51" s="662"/>
      <c r="FC51" s="662"/>
      <c r="FD51" s="662"/>
      <c r="FE51" s="662"/>
      <c r="FF51" s="662"/>
      <c r="FG51" s="662"/>
      <c r="FH51" s="662"/>
      <c r="FI51" s="662"/>
      <c r="FJ51" s="662"/>
      <c r="FK51" s="662"/>
      <c r="FL51" s="662"/>
      <c r="FM51" s="662"/>
      <c r="FN51" s="662"/>
      <c r="FO51" s="662"/>
      <c r="FP51" s="662"/>
      <c r="FQ51" s="662"/>
      <c r="FR51" s="662"/>
      <c r="FS51" s="662"/>
      <c r="FT51" s="662"/>
      <c r="FU51" s="662"/>
      <c r="FV51" s="662"/>
      <c r="FW51" s="662"/>
      <c r="FX51" s="662"/>
      <c r="FY51" s="662"/>
      <c r="FZ51" s="662"/>
      <c r="GA51" s="662"/>
      <c r="GB51" s="662"/>
      <c r="GC51" s="662"/>
      <c r="GD51" s="662"/>
      <c r="GE51" s="662"/>
      <c r="GF51" s="662"/>
      <c r="GG51" s="662"/>
      <c r="GH51" s="662"/>
      <c r="GI51" s="662"/>
      <c r="GJ51" s="662"/>
      <c r="GK51" s="662"/>
      <c r="GL51" s="662"/>
      <c r="GM51" s="662"/>
      <c r="GN51" s="662"/>
      <c r="GO51" s="662"/>
      <c r="GP51" s="662"/>
      <c r="GQ51" s="662"/>
      <c r="GR51" s="662"/>
      <c r="GS51" s="662"/>
      <c r="GT51" s="662"/>
      <c r="GU51" s="662"/>
      <c r="GV51" s="662"/>
      <c r="GW51" s="662"/>
      <c r="GX51" s="662"/>
      <c r="GY51" s="662"/>
      <c r="GZ51" s="662"/>
      <c r="HA51" s="662"/>
      <c r="HB51" s="662"/>
      <c r="HC51" s="662"/>
      <c r="HD51" s="662"/>
      <c r="HE51" s="662"/>
      <c r="HF51" s="662"/>
      <c r="HG51" s="662"/>
      <c r="HH51" s="662"/>
      <c r="HI51" s="662"/>
      <c r="HJ51" s="662"/>
      <c r="HK51" s="662"/>
      <c r="HL51" s="662"/>
      <c r="HM51" s="662"/>
      <c r="HN51" s="662"/>
      <c r="HO51" s="662"/>
      <c r="HP51" s="662"/>
      <c r="HQ51" s="662"/>
      <c r="HR51" s="662"/>
      <c r="HS51" s="662"/>
      <c r="HT51" s="662"/>
      <c r="HU51" s="662"/>
      <c r="HV51" s="662"/>
      <c r="HW51" s="662"/>
      <c r="HX51" s="662"/>
      <c r="HY51" s="662"/>
      <c r="HZ51" s="662"/>
      <c r="IA51" s="662"/>
      <c r="IB51" s="662"/>
      <c r="IC51" s="662"/>
      <c r="ID51" s="662"/>
      <c r="IE51" s="662"/>
      <c r="IF51" s="662"/>
      <c r="IG51" s="662"/>
      <c r="IH51" s="662"/>
      <c r="II51" s="662"/>
      <c r="IJ51" s="662"/>
      <c r="IK51" s="662"/>
      <c r="IL51" s="662"/>
      <c r="IM51" s="662"/>
      <c r="IN51" s="662"/>
      <c r="IO51" s="662"/>
      <c r="IP51" s="662"/>
      <c r="IQ51" s="662"/>
      <c r="IR51" s="662"/>
      <c r="IS51" s="662"/>
      <c r="IT51" s="662"/>
      <c r="IU51" s="662"/>
      <c r="IV51" s="662"/>
      <c r="IW51" s="662"/>
    </row>
    <row r="52" customFormat="false" ht="21" hidden="false" customHeight="false" outlineLevel="0" collapsed="false">
      <c r="A52" s="49" t="s">
        <v>300</v>
      </c>
      <c r="B52" s="475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669"/>
      <c r="T52" s="46"/>
      <c r="U52" s="46"/>
      <c r="V52" s="473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K52" s="530"/>
      <c r="AL52" s="670"/>
      <c r="AM52" s="530"/>
      <c r="AN52" s="670"/>
      <c r="AO52" s="530"/>
      <c r="AP52" s="670"/>
      <c r="AQ52" s="530"/>
      <c r="AR52" s="670"/>
      <c r="AS52" s="530"/>
      <c r="CM52" s="530"/>
      <c r="DJ52" s="532" t="n">
        <f aca="false">[1]Cinergy!$D74</f>
        <v>38384</v>
      </c>
      <c r="DK52" s="440" t="n">
        <f aca="false">VLOOKUP(DJ52,$DL$50:$DM$291,2)</f>
        <v>20</v>
      </c>
      <c r="DL52" s="533" t="n">
        <v>36951</v>
      </c>
      <c r="DM52" s="459" t="n">
        <v>22</v>
      </c>
      <c r="DP52" s="534" t="n">
        <f aca="false">[1]Cinergy!$D43</f>
        <v>37438</v>
      </c>
      <c r="DQ52" s="234" t="n">
        <f aca="false">[1]OPPD_NPPD!$O43+[1]NSP!$O43</f>
        <v>-17011.126953125</v>
      </c>
      <c r="DR52" s="234" t="n">
        <f aca="false">[1]COMED!$O43</f>
        <v>-289189.15625</v>
      </c>
      <c r="DS52" s="234" t="n">
        <f aca="false">DQ52+DR52</f>
        <v>-306200.283203125</v>
      </c>
      <c r="DT52" s="234" t="n">
        <f aca="false">SUM([1]OPPD_NPPD!$P43:$R43)+SUM([1]NSP!$P43:$R43)</f>
        <v>0</v>
      </c>
      <c r="DU52" s="234" t="n">
        <f aca="false">SUM([1]COMED!$P43:$R43)</f>
        <v>18557.5935058594</v>
      </c>
      <c r="DV52" s="234" t="n">
        <f aca="false">DT52+DU52</f>
        <v>18557.5935058594</v>
      </c>
      <c r="DW52" s="535"/>
      <c r="DX52" s="536" t="n">
        <f aca="false">[1]OtherPosn!$D43</f>
        <v>37316</v>
      </c>
      <c r="DY52" s="234" t="n">
        <f aca="false">[1]OtherPosn!$N43</f>
        <v>0</v>
      </c>
      <c r="DZ52" s="234" t="n">
        <f aca="false">SUM([1]OtherPosn!$O43:$P43)</f>
        <v>0</v>
      </c>
    </row>
    <row r="53" customFormat="false" ht="22.5" hidden="false" customHeight="true" outlineLevel="0" collapsed="false">
      <c r="A53" s="46"/>
      <c r="B53" s="475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77" t="b">
        <f aca="false">TRUE()</f>
        <v>1</v>
      </c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K53" s="530"/>
      <c r="AL53" s="670"/>
      <c r="AM53" s="530"/>
      <c r="AN53" s="670"/>
      <c r="AO53" s="530"/>
      <c r="AP53" s="670"/>
      <c r="AQ53" s="530"/>
      <c r="AR53" s="670"/>
      <c r="AS53" s="530"/>
      <c r="CG53" s="442" t="s">
        <v>157</v>
      </c>
      <c r="CH53" s="442" t="s">
        <v>157</v>
      </c>
      <c r="CI53" s="442" t="s">
        <v>157</v>
      </c>
      <c r="CM53" s="530"/>
      <c r="DJ53" s="532" t="n">
        <f aca="false">[1]Cinergy!$D75</f>
        <v>38412</v>
      </c>
      <c r="DK53" s="440" t="n">
        <f aca="false">VLOOKUP(DJ53,$DL$50:$DM$291,2)</f>
        <v>23</v>
      </c>
      <c r="DL53" s="533" t="n">
        <v>36982</v>
      </c>
      <c r="DM53" s="459" t="n">
        <v>21</v>
      </c>
      <c r="DP53" s="534" t="n">
        <f aca="false">[1]Cinergy!$D44</f>
        <v>37469</v>
      </c>
      <c r="DQ53" s="234" t="n">
        <f aca="false">[1]OPPD_NPPD!$O44+[1]NSP!$O44</f>
        <v>-16954.423828125</v>
      </c>
      <c r="DR53" s="234" t="n">
        <f aca="false">[1]COMED!$O44</f>
        <v>-288225.1875</v>
      </c>
      <c r="DS53" s="234" t="n">
        <f aca="false">DQ53+DR53</f>
        <v>-305179.611328125</v>
      </c>
      <c r="DT53" s="234" t="n">
        <f aca="false">SUM([1]OPPD_NPPD!$P44:$R44)+SUM([1]NSP!$P44:$R44)</f>
        <v>0</v>
      </c>
      <c r="DU53" s="234" t="n">
        <f aca="false">SUM([1]COMED!$P44:$R44)</f>
        <v>18881.0615234375</v>
      </c>
      <c r="DV53" s="234" t="n">
        <f aca="false">DT53+DU53</f>
        <v>18881.0615234375</v>
      </c>
      <c r="DW53" s="535"/>
      <c r="DX53" s="536" t="n">
        <f aca="false">[1]OtherPosn!$D44</f>
        <v>37347</v>
      </c>
      <c r="DY53" s="234" t="n">
        <f aca="false">[1]OtherPosn!$N44</f>
        <v>0</v>
      </c>
      <c r="DZ53" s="234" t="n">
        <f aca="false">SUM([1]OtherPosn!$O44:$P44)</f>
        <v>0</v>
      </c>
    </row>
    <row r="54" customFormat="false" ht="13.5" hidden="false" customHeight="false" outlineLevel="0" collapsed="false">
      <c r="A54" s="68"/>
      <c r="B54" s="68" t="s">
        <v>301</v>
      </c>
      <c r="C54" s="68" t="s">
        <v>68</v>
      </c>
      <c r="D54" s="68" t="s">
        <v>69</v>
      </c>
      <c r="E54" s="68" t="s">
        <v>70</v>
      </c>
      <c r="F54" s="68" t="s">
        <v>70</v>
      </c>
      <c r="G54" s="68" t="s">
        <v>155</v>
      </c>
      <c r="H54" s="68" t="s">
        <v>69</v>
      </c>
      <c r="I54" s="68" t="s">
        <v>260</v>
      </c>
      <c r="J54" s="68" t="s">
        <v>72</v>
      </c>
      <c r="K54" s="478" t="s">
        <v>73</v>
      </c>
      <c r="L54" s="478"/>
      <c r="M54" s="46"/>
      <c r="N54" s="47"/>
      <c r="O54" s="47"/>
      <c r="P54" s="47"/>
      <c r="Q54" s="68" t="s">
        <v>261</v>
      </c>
      <c r="R54" s="68" t="s">
        <v>262</v>
      </c>
      <c r="S54" s="479" t="s">
        <v>263</v>
      </c>
      <c r="T54" s="46"/>
      <c r="U54" s="46"/>
      <c r="V54" s="290" t="s">
        <v>264</v>
      </c>
      <c r="W54" s="478" t="s">
        <v>265</v>
      </c>
      <c r="X54" s="478" t="s">
        <v>266</v>
      </c>
      <c r="Y54" s="480"/>
      <c r="Z54" s="480"/>
      <c r="AA54" s="480"/>
      <c r="AB54" s="480"/>
      <c r="AC54" s="480"/>
      <c r="AD54" s="480"/>
      <c r="AE54" s="480"/>
      <c r="AF54" s="480"/>
      <c r="AG54" s="480"/>
      <c r="AH54" s="480"/>
      <c r="AI54" s="480"/>
      <c r="AJ54" s="481"/>
      <c r="AK54" s="671" t="n">
        <v>1</v>
      </c>
      <c r="AL54" s="672"/>
      <c r="AM54" s="671" t="n">
        <v>2</v>
      </c>
      <c r="AN54" s="672"/>
      <c r="AO54" s="671" t="n">
        <v>3</v>
      </c>
      <c r="AP54" s="672"/>
      <c r="AQ54" s="671" t="n">
        <v>4</v>
      </c>
      <c r="AR54" s="672"/>
      <c r="AS54" s="673" t="n">
        <v>5</v>
      </c>
      <c r="AT54" s="673"/>
      <c r="AU54" s="68" t="n">
        <v>6</v>
      </c>
      <c r="AV54" s="68"/>
      <c r="AW54" s="68" t="n">
        <v>7</v>
      </c>
      <c r="AX54" s="68"/>
      <c r="AY54" s="68" t="n">
        <v>8</v>
      </c>
      <c r="AZ54" s="68"/>
      <c r="BA54" s="68" t="n">
        <v>9</v>
      </c>
      <c r="BB54" s="68"/>
      <c r="BC54" s="68" t="n">
        <v>10</v>
      </c>
      <c r="BD54" s="68"/>
      <c r="BE54" s="68" t="n">
        <v>11</v>
      </c>
      <c r="BF54" s="68"/>
      <c r="BG54" s="68" t="n">
        <v>12</v>
      </c>
      <c r="BH54" s="68"/>
      <c r="BI54" s="68" t="n">
        <v>13</v>
      </c>
      <c r="BJ54" s="68"/>
      <c r="BK54" s="68" t="n">
        <v>14</v>
      </c>
      <c r="BL54" s="68"/>
      <c r="BM54" s="68" t="n">
        <v>15</v>
      </c>
      <c r="BN54" s="68"/>
      <c r="BO54" s="68" t="n">
        <v>16</v>
      </c>
      <c r="BP54" s="68"/>
      <c r="BQ54" s="68" t="n">
        <v>17</v>
      </c>
      <c r="BR54" s="68"/>
      <c r="BS54" s="68" t="n">
        <v>18</v>
      </c>
      <c r="BT54" s="68"/>
      <c r="BU54" s="68" t="n">
        <v>19</v>
      </c>
      <c r="BV54" s="68"/>
      <c r="BW54" s="68" t="n">
        <v>20</v>
      </c>
      <c r="BX54" s="68"/>
      <c r="BY54" s="482" t="s">
        <v>10</v>
      </c>
      <c r="BZ54" s="483" t="s">
        <v>267</v>
      </c>
      <c r="CA54" s="442"/>
      <c r="CB54" s="442"/>
      <c r="CC54" s="442" t="s">
        <v>268</v>
      </c>
      <c r="CD54" s="442" t="s">
        <v>269</v>
      </c>
      <c r="CE54" s="442" t="s">
        <v>270</v>
      </c>
      <c r="CF54" s="442" t="s">
        <v>271</v>
      </c>
      <c r="CG54" s="484" t="n">
        <f aca="false">T64</f>
        <v>2002</v>
      </c>
      <c r="CH54" s="484" t="n">
        <f aca="false">T65</f>
        <v>2003</v>
      </c>
      <c r="CI54" s="484" t="n">
        <f aca="false">T66</f>
        <v>2004</v>
      </c>
      <c r="CJ54" s="442" t="s">
        <v>272</v>
      </c>
      <c r="CM54" s="530"/>
      <c r="DJ54" s="532" t="n">
        <f aca="false">[1]Cinergy!$D76</f>
        <v>38443</v>
      </c>
      <c r="DK54" s="440" t="n">
        <f aca="false">VLOOKUP(DJ54,$DL$50:$DM$291,2)</f>
        <v>21</v>
      </c>
      <c r="DL54" s="533" t="n">
        <v>37012</v>
      </c>
      <c r="DM54" s="459" t="n">
        <v>22</v>
      </c>
      <c r="DP54" s="534" t="n">
        <f aca="false">[1]Cinergy!$D45</f>
        <v>37500</v>
      </c>
      <c r="DQ54" s="234" t="n">
        <f aca="false">[1]OPPD_NPPD!$O45+[1]NSP!$O45</f>
        <v>0</v>
      </c>
      <c r="DR54" s="234" t="n">
        <f aca="false">[1]COMED!$O45</f>
        <v>92168.7890625</v>
      </c>
      <c r="DS54" s="234" t="n">
        <f aca="false">DQ54+DR54</f>
        <v>92168.7890625</v>
      </c>
      <c r="DT54" s="234" t="n">
        <f aca="false">SUM([1]OPPD_NPPD!$P45:$R45)+SUM([1]NSP!$P45:$R45)</f>
        <v>0</v>
      </c>
      <c r="DU54" s="234" t="n">
        <f aca="false">SUM([1]COMED!$P45:$R45)</f>
        <v>18817.794921875</v>
      </c>
      <c r="DV54" s="234" t="n">
        <f aca="false">DT54+DU54</f>
        <v>18817.794921875</v>
      </c>
      <c r="DW54" s="535"/>
      <c r="DX54" s="536" t="n">
        <f aca="false">[1]OtherPosn!$D45</f>
        <v>37377</v>
      </c>
      <c r="DY54" s="234" t="n">
        <f aca="false">[1]OtherPosn!$N45</f>
        <v>0</v>
      </c>
      <c r="DZ54" s="234" t="n">
        <f aca="false">SUM([1]OtherPosn!$O45:$P45)</f>
        <v>0</v>
      </c>
      <c r="ET54" s="473" t="e">
        <f aca="false">SUM(ET56:ET79)/SUM(ES56:ES79)</f>
        <v>#DIV/0!</v>
      </c>
      <c r="EU54" s="473" t="e">
        <f aca="false">SUM(EU56:EU79)/SUM(ES56:ES79)</f>
        <v>#DIV/0!</v>
      </c>
    </row>
    <row r="55" customFormat="false" ht="13.5" hidden="false" customHeight="false" outlineLevel="0" collapsed="false">
      <c r="A55" s="82" t="s">
        <v>79</v>
      </c>
      <c r="B55" s="82" t="s">
        <v>302</v>
      </c>
      <c r="C55" s="82" t="s">
        <v>81</v>
      </c>
      <c r="D55" s="82" t="s">
        <v>82</v>
      </c>
      <c r="E55" s="82" t="s">
        <v>80</v>
      </c>
      <c r="F55" s="82" t="s">
        <v>81</v>
      </c>
      <c r="G55" s="82" t="s">
        <v>275</v>
      </c>
      <c r="H55" s="82" t="s">
        <v>6</v>
      </c>
      <c r="I55" s="82" t="s">
        <v>275</v>
      </c>
      <c r="J55" s="82" t="s">
        <v>85</v>
      </c>
      <c r="K55" s="486" t="s">
        <v>86</v>
      </c>
      <c r="L55" s="486" t="s">
        <v>87</v>
      </c>
      <c r="M55" s="46"/>
      <c r="N55" s="487" t="s">
        <v>79</v>
      </c>
      <c r="O55" s="487" t="s">
        <v>12</v>
      </c>
      <c r="P55" s="487" t="s">
        <v>276</v>
      </c>
      <c r="Q55" s="82" t="s">
        <v>262</v>
      </c>
      <c r="R55" s="82" t="s">
        <v>303</v>
      </c>
      <c r="S55" s="674"/>
      <c r="T55" s="489"/>
      <c r="U55" s="489"/>
      <c r="V55" s="490" t="s">
        <v>277</v>
      </c>
      <c r="W55" s="486" t="s">
        <v>275</v>
      </c>
      <c r="X55" s="486" t="s">
        <v>275</v>
      </c>
      <c r="Y55" s="491" t="str">
        <f aca="false">V56</f>
        <v>Q4 2001</v>
      </c>
      <c r="Z55" s="491" t="str">
        <f aca="false">V57</f>
        <v>Q1 2002</v>
      </c>
      <c r="AA55" s="491" t="str">
        <f aca="false">V58</f>
        <v>Q2 2002</v>
      </c>
      <c r="AB55" s="491" t="str">
        <f aca="false">V59</f>
        <v>Q3 2002</v>
      </c>
      <c r="AC55" s="491" t="str">
        <f aca="false">V60</f>
        <v>Q4 2002</v>
      </c>
      <c r="AD55" s="491" t="str">
        <f aca="false">V61</f>
        <v>Q1 2003</v>
      </c>
      <c r="AE55" s="491" t="str">
        <f aca="false">V62</f>
        <v>Q2 2003</v>
      </c>
      <c r="AF55" s="491" t="str">
        <f aca="false">V63</f>
        <v>Q3 2003</v>
      </c>
      <c r="AG55" s="492" t="str">
        <f aca="false">V64</f>
        <v>Bal 2002</v>
      </c>
      <c r="AH55" s="492" t="n">
        <f aca="false">V65</f>
        <v>2003</v>
      </c>
      <c r="AI55" s="492" t="n">
        <f aca="false">V66</f>
        <v>2004</v>
      </c>
      <c r="AJ55" s="82" t="s">
        <v>79</v>
      </c>
      <c r="AK55" s="675" t="s">
        <v>278</v>
      </c>
      <c r="AL55" s="676" t="s">
        <v>275</v>
      </c>
      <c r="AM55" s="675" t="s">
        <v>278</v>
      </c>
      <c r="AN55" s="676" t="s">
        <v>275</v>
      </c>
      <c r="AO55" s="675" t="s">
        <v>278</v>
      </c>
      <c r="AP55" s="676" t="s">
        <v>275</v>
      </c>
      <c r="AQ55" s="675" t="s">
        <v>278</v>
      </c>
      <c r="AR55" s="676" t="s">
        <v>275</v>
      </c>
      <c r="AS55" s="675" t="s">
        <v>278</v>
      </c>
      <c r="AT55" s="486" t="s">
        <v>275</v>
      </c>
      <c r="AU55" s="493" t="s">
        <v>278</v>
      </c>
      <c r="AV55" s="486" t="s">
        <v>275</v>
      </c>
      <c r="AW55" s="493" t="s">
        <v>278</v>
      </c>
      <c r="AX55" s="486" t="s">
        <v>275</v>
      </c>
      <c r="AY55" s="493" t="s">
        <v>278</v>
      </c>
      <c r="AZ55" s="486" t="s">
        <v>275</v>
      </c>
      <c r="BA55" s="493" t="s">
        <v>278</v>
      </c>
      <c r="BB55" s="486" t="s">
        <v>275</v>
      </c>
      <c r="BC55" s="493" t="s">
        <v>278</v>
      </c>
      <c r="BD55" s="486" t="s">
        <v>275</v>
      </c>
      <c r="BE55" s="493" t="s">
        <v>278</v>
      </c>
      <c r="BF55" s="486" t="s">
        <v>275</v>
      </c>
      <c r="BG55" s="493" t="s">
        <v>278</v>
      </c>
      <c r="BH55" s="486" t="s">
        <v>275</v>
      </c>
      <c r="BI55" s="493" t="s">
        <v>278</v>
      </c>
      <c r="BJ55" s="486" t="s">
        <v>275</v>
      </c>
      <c r="BK55" s="493" t="s">
        <v>278</v>
      </c>
      <c r="BL55" s="486" t="s">
        <v>275</v>
      </c>
      <c r="BM55" s="493" t="s">
        <v>278</v>
      </c>
      <c r="BN55" s="486" t="s">
        <v>275</v>
      </c>
      <c r="BO55" s="493" t="s">
        <v>278</v>
      </c>
      <c r="BP55" s="486" t="s">
        <v>275</v>
      </c>
      <c r="BQ55" s="493" t="s">
        <v>278</v>
      </c>
      <c r="BR55" s="486" t="s">
        <v>275</v>
      </c>
      <c r="BS55" s="493" t="s">
        <v>278</v>
      </c>
      <c r="BT55" s="486" t="s">
        <v>275</v>
      </c>
      <c r="BU55" s="493" t="s">
        <v>278</v>
      </c>
      <c r="BV55" s="486" t="s">
        <v>275</v>
      </c>
      <c r="BW55" s="493" t="s">
        <v>278</v>
      </c>
      <c r="BX55" s="486" t="s">
        <v>275</v>
      </c>
      <c r="BY55" s="494" t="s">
        <v>278</v>
      </c>
      <c r="BZ55" s="495" t="s">
        <v>275</v>
      </c>
      <c r="CA55" s="442"/>
      <c r="CB55" s="442"/>
      <c r="CC55" s="442" t="s">
        <v>279</v>
      </c>
      <c r="CD55" s="442" t="s">
        <v>280</v>
      </c>
      <c r="CE55" s="442"/>
      <c r="CF55" s="442" t="s">
        <v>80</v>
      </c>
      <c r="CG55" s="450" t="s">
        <v>281</v>
      </c>
      <c r="CH55" s="450" t="s">
        <v>281</v>
      </c>
      <c r="CI55" s="450" t="s">
        <v>281</v>
      </c>
      <c r="CJ55" s="442" t="s">
        <v>282</v>
      </c>
      <c r="CM55" s="530"/>
      <c r="DJ55" s="532" t="n">
        <f aca="false">[1]Cinergy!$D77</f>
        <v>38473</v>
      </c>
      <c r="DK55" s="440" t="n">
        <f aca="false">VLOOKUP(DJ55,$DL$50:$DM$291,2)</f>
        <v>21</v>
      </c>
      <c r="DL55" s="533" t="n">
        <v>37043</v>
      </c>
      <c r="DM55" s="459" t="n">
        <v>21</v>
      </c>
      <c r="DP55" s="534" t="n">
        <f aca="false">[1]Cinergy!$D46</f>
        <v>37530</v>
      </c>
      <c r="DQ55" s="234" t="n">
        <f aca="false">[1]OPPD_NPPD!$O46+[1]NSP!$O46</f>
        <v>0</v>
      </c>
      <c r="DR55" s="234" t="n">
        <f aca="false">[1]COMED!$O46</f>
        <v>-176028.328125</v>
      </c>
      <c r="DS55" s="234" t="n">
        <f aca="false">DQ55+DR55</f>
        <v>-176028.328125</v>
      </c>
      <c r="DT55" s="234" t="n">
        <f aca="false">SUM([1]OPPD_NPPD!$P46:$R46)+SUM([1]NSP!$P46:$R46)</f>
        <v>0</v>
      </c>
      <c r="DU55" s="234" t="n">
        <f aca="false">SUM([1]COMED!$P46:$R46)</f>
        <v>18033.3369140625</v>
      </c>
      <c r="DV55" s="234" t="n">
        <f aca="false">DT55+DU55</f>
        <v>18033.3369140625</v>
      </c>
      <c r="DW55" s="535"/>
      <c r="DX55" s="536" t="n">
        <f aca="false">[1]OtherPosn!$D46</f>
        <v>37408</v>
      </c>
      <c r="DY55" s="234" t="n">
        <f aca="false">[1]OtherPosn!$N46</f>
        <v>0</v>
      </c>
      <c r="DZ55" s="234" t="n">
        <f aca="false">SUM([1]OtherPosn!$O46:$P46)</f>
        <v>0</v>
      </c>
      <c r="EP55" s="0" t="s">
        <v>285</v>
      </c>
      <c r="EQ55" s="439" t="s">
        <v>12</v>
      </c>
      <c r="ER55" s="439" t="s">
        <v>13</v>
      </c>
    </row>
    <row r="56" customFormat="false" ht="18.75" hidden="false" customHeight="false" outlineLevel="0" collapsed="false">
      <c r="A56" s="95" t="n">
        <f aca="false">[1]COMED!$D34</f>
        <v>37195</v>
      </c>
      <c r="B56" s="122" t="n">
        <f aca="false" t="array" ref="B56:B56">SUM(IF(MONTH([1]COMED!$D$3:$D$40)&amp;YEAR([1]COMED!$D$3:$D$40)=MONTH($A56)&amp;YEAR($A56),[1]COMED!$O$3:$O$40))</f>
        <v>138815.188476563</v>
      </c>
      <c r="C56" s="163" t="n">
        <f aca="false">B56/(CE56*CD56)</f>
        <v>380.044772792992</v>
      </c>
      <c r="D56" s="496" t="n">
        <f aca="false">BY56+IF(YEAR(A56)=$T$20,$BY$92,0)+IF(YEAR(A56)=$T$21,$BY$93,0)+IF(YEAR(A56)=$T$22,$BY$94,0)</f>
        <v>-100</v>
      </c>
      <c r="E56" s="163" t="n">
        <f aca="false">B56+(D56*CD56*CE56)</f>
        <v>102289.179328642</v>
      </c>
      <c r="F56" s="497" t="n">
        <f aca="false">C56+D56</f>
        <v>280.044772792992</v>
      </c>
      <c r="G56" s="498" t="n">
        <f aca="false">[1]COMED!$E34</f>
        <v>24.5499992370605</v>
      </c>
      <c r="H56" s="498" t="n">
        <f aca="false">IF($R$53,R56,Q56)</f>
        <v>-0.099999237060544</v>
      </c>
      <c r="I56" s="499" t="n">
        <f aca="false">G56+H56</f>
        <v>24.45</v>
      </c>
      <c r="J56" s="122" t="n">
        <f aca="false" t="array" ref="J56:J56">SUM(IF(MONTH([1]COMED!$D$3:$D$40)&amp;YEAR([1]COMED!$D$3:$D$40)=MONTH($A56)&amp;YEAR($A56),[1]COMED!$F$3:$F$40*[1]COMED!$O$3:$O$40))</f>
        <v>-10863.7145279125</v>
      </c>
      <c r="K56" s="123" t="n">
        <f aca="false">(((I56-AL56)*AK56+(I56-AN56)*AM56+(I56-AP56)*AO56+(I56-AR56)*AQ56+(I56-AT56)*AS56+(I56-AV56)*AU56+(I56-AX56)*AW56+(I56-AZ56)*AY56+(I56-BB56)*BA56+(I56-BD56)*BC56+(I56-BF56)*BE56+(I56-BH56)*BG56+(I56-BJ56)*BI56+(I56-BL56)*BK56+(I56-BN56)*BM56+(I56-BP56)*BO56+(I56-BR56)*BQ56+(I56-BT56)*BS56+(I56-BV56)*BU56+(I56-BX56)*BW56)*CD56*CE56)+CG56+CH56+CI56</f>
        <v>1826.30045739593</v>
      </c>
      <c r="L56" s="123" t="n">
        <f aca="false">J56+K56</f>
        <v>-9037.41407051658</v>
      </c>
      <c r="M56" s="46"/>
      <c r="N56" s="500" t="n">
        <f aca="false">A56</f>
        <v>37195</v>
      </c>
      <c r="O56" s="501" t="n">
        <v>79</v>
      </c>
      <c r="P56" s="501" t="n">
        <v>79</v>
      </c>
      <c r="Q56" s="502" t="n">
        <f aca="false">AVERAGE(O56:P56)-G56</f>
        <v>54.4500007629395</v>
      </c>
      <c r="R56" s="677" t="n">
        <f aca="false">TradeSum!R12</f>
        <v>-0.099999237060544</v>
      </c>
      <c r="S56" s="678" t="n">
        <f aca="false">I56</f>
        <v>24.45</v>
      </c>
      <c r="T56" s="505" t="n">
        <f aca="false">IF(MONTH($B$2)&gt;=10,YEAR($B$2)+1,YEAR($B$2))</f>
        <v>2001</v>
      </c>
      <c r="U56" s="506" t="n">
        <f aca="false">IF(INT((MONTH($B$2)-1)/3)+2=5,1,INT((MONTH($B$2)-1)/3)+2)</f>
        <v>4</v>
      </c>
      <c r="V56" s="507" t="str">
        <f aca="false">"Q"&amp;U56&amp;" "&amp;T56</f>
        <v>Q4 2001</v>
      </c>
      <c r="W56" s="508" t="n">
        <f aca="false" t="array" ref="W56:W56">SUM(IF((INT((MONTH($A$56:$A$91)-1)/3)=U56-1)*(YEAR($A$56:$A$91)=T56),$I$56:$I$91*$DK$12:$DK$47))/SUM(IF((INT((MONTH($A$56:$A$91)-1)/3)=U56-1)*(YEAR($A$56:$A$91)=T56),$DK$12:$DK$47))</f>
        <v>25.3351555883884</v>
      </c>
      <c r="X56" s="544" t="n">
        <f aca="false" t="array" ref="X56:X56">AVERAGE(IF((INT((MONTH($A$56:$A$91)-1)/3)=U56-1)*(YEAR($A$56:$A$91)=T56),$I$56:$I$91))</f>
        <v>25.3833326975505</v>
      </c>
      <c r="Y56" s="510" t="n">
        <v>0</v>
      </c>
      <c r="Z56" s="511"/>
      <c r="AA56" s="511"/>
      <c r="AB56" s="511"/>
      <c r="AC56" s="511"/>
      <c r="AD56" s="511"/>
      <c r="AE56" s="511"/>
      <c r="AF56" s="511"/>
      <c r="AG56" s="511"/>
      <c r="AH56" s="511"/>
      <c r="AI56" s="511"/>
      <c r="AJ56" s="512" t="n">
        <f aca="false">A56</f>
        <v>37195</v>
      </c>
      <c r="AK56" s="513"/>
      <c r="AL56" s="514"/>
      <c r="AM56" s="513" t="n">
        <v>-100</v>
      </c>
      <c r="AN56" s="514" t="n">
        <v>24.5</v>
      </c>
      <c r="AO56" s="513"/>
      <c r="AP56" s="514"/>
      <c r="AQ56" s="513"/>
      <c r="AR56" s="514"/>
      <c r="AS56" s="515"/>
      <c r="AT56" s="516"/>
      <c r="AU56" s="513"/>
      <c r="AV56" s="517"/>
      <c r="AW56" s="518"/>
      <c r="AX56" s="519"/>
      <c r="AY56" s="513"/>
      <c r="AZ56" s="517"/>
      <c r="BA56" s="518"/>
      <c r="BB56" s="519"/>
      <c r="BC56" s="513"/>
      <c r="BD56" s="514"/>
      <c r="BE56" s="513"/>
      <c r="BF56" s="514"/>
      <c r="BG56" s="513"/>
      <c r="BH56" s="514"/>
      <c r="BI56" s="520"/>
      <c r="BJ56" s="517"/>
      <c r="BK56" s="520"/>
      <c r="BL56" s="517"/>
      <c r="BM56" s="520"/>
      <c r="BN56" s="517"/>
      <c r="BO56" s="520"/>
      <c r="BP56" s="517"/>
      <c r="BQ56" s="520"/>
      <c r="BR56" s="517"/>
      <c r="BS56" s="520"/>
      <c r="BT56" s="517"/>
      <c r="BU56" s="521"/>
      <c r="BV56" s="522"/>
      <c r="BW56" s="521"/>
      <c r="BX56" s="522"/>
      <c r="BY56" s="556" t="n">
        <f aca="false">AK56+AM56+AO56+AQ56+AS56+AU56+AW56+AY56+BA56+BC56+BE56+BG56+BI56+BK56+BM56+BO56+BQ56+BS56+BU56+BW56</f>
        <v>-100</v>
      </c>
      <c r="BZ56" s="524" t="n">
        <f aca="false">IF(AND(BY56=0,CC56=0),0,(ABS(AK56)*AL56+ABS(AM56)*AN56+ABS(AO56)*AP56+ABS(AQ56)*AR56+ABS(AS56)*AT56+ABS(AU56)*AV56+ABS(AW56)*AX56+ABS(AY56)*AZ56+ABS(BA56)*BB56+ABS(BC56)*BD56+ABS(BE56)*BF56+ABS(BG56)*BH56+ABS(BI56)*BJ56+ABS(BK56)*BL56+ABS(BM56)*BN56+ABS(BO56)*BP56+ABS(BQ56)*BR56+ABS(BS56)*BT56+ABS(BU56)*BV56+ABS(BW56)*BX56)/CC56)</f>
        <v>24.5</v>
      </c>
      <c r="CA56" s="222"/>
      <c r="CB56" s="525" t="n">
        <f aca="false">AJ56</f>
        <v>37195</v>
      </c>
      <c r="CC56" s="222" t="n">
        <f aca="false">ABS(AK56)+ABS(AM56)+ABS(AO56)+ABS(AQ56)+ABS(AS56)+ABS(AU56)+ABS(AW56)+ABS(AY56)+ABS(BA56)+ABS(BC56)+ABS(BE56)+ABS(BG56)+ABS(BI56)+ABS(BK56)+ABS(BM56)+ABS(BO56)+ABS(BQ56)+ABS(BS56)+ABS(BU56)+ABS(BW56)</f>
        <v>100</v>
      </c>
      <c r="CD56" s="526" t="n">
        <f aca="false">CD12</f>
        <v>368</v>
      </c>
      <c r="CE56" s="222" t="n">
        <f aca="false">CE12</f>
        <v>0.992554596410886</v>
      </c>
      <c r="CF56" s="527" t="n">
        <f aca="false">E56-B56</f>
        <v>-36526.0091479206</v>
      </c>
      <c r="CG56" s="527" t="n">
        <f aca="false">IF(YEAR($AJ56)=$CG$10,(($I56-$AL$92)*$AK$92+($I56-$AN$92)*$AM$92+($I56-$AP$92)*$AO$92+($I56-$AR$92)*$AQ$92+($I56-$AT$92)*$AS$92+($I56-$AV$92)*$AU$92+($I56-$AX$92)*$AW$92+($I56-$AZ$92)*$AY$92+($I56-$BB$92)*$BA$92+($I56-$BD$92)*$BC$92+($I56-$BF$92)*$BE$92+($I56-$BH$92)*$BG$92+($I56-$BJ$92)*$BI$92+($I56-$BL$92)*$BK$92+($I56-$BN$92)*$BM$92+($I56-$BP$92)*$BO$92+($I56-$BR$92)*$BQ$92+($I56-$BT$92)*$BS$92+($I56-$BV$92)*$BU$92+($I56-$BX$92)*$BW$92)*$CD56*$CE56,0)</f>
        <v>0</v>
      </c>
      <c r="CH56" s="527" t="n">
        <f aca="false">IF(YEAR($AJ56)=$CH$10,(($I56-$AL$93)*$AK$93+($I56-$AN$93)*$AM$93+($I56-$AP$93)*$AO$93+($I56-$AR$93)*$AQ$93+($I56-$AT$93)*$AS$93+($I56-$AV$93)*$AU$93+($I56-$AX$93)*$AW$93+($I56-$AZ$93)*$AY$93+($I56-$BB$93)*$BA$93+($I56-$BD$93)*$BC$93+($I56-$BF$93)*$BE$93+($I56-$BH$93)*$BG$93+($I56-$BJ$93)*$BI$93+($I56-$BL$93)*$BK$93+($I56-$BN$93)*$BM$93+($I56-$BP$93)*$BO$93+($I56-$BR$93)*$BQ$93+($I56-$BT$93)*$BS$93+($I56-$BV$93)*$BU$93+($I56-$BX$93)*$BW$93)*$CD56*$CE56,0)</f>
        <v>0</v>
      </c>
      <c r="CI56" s="527" t="n">
        <f aca="false">IF(YEAR($AJ56)=$CI$10,(($I56-$AL$94)*$AK$94+($I56-$AN$94)*$AM$94+($I56-$AP$94)*$AO$94+($I56-$AR$94)*$AQ$94+($I56-$AT$94)*$AS$94+($I56-$AV$94)*$AU$94+($I56-$AX$94)*$AW$94+($I56-$AZ$94)*$AY$94+($I56-$BB$94)*$BA$94+($I56-$BD$94)*$BC$94+($I56-$BF$94)*$BE$94+($I56-$BH$94)*$BG$94+($I56-$BJ$94)*$BI$94+($I56-$BL$94)*$BK$94+($I56-$BN$94)*$BM$94+($I56-$BP$94)*$BO$94+($I56-$BR$94)*$BQ$94+($I56-$BT$94)*$BS$94+($I56-$BV$94)*$BU$94+($I56-$BX$94)*$BW$94)*$CD56*$CE56,0)</f>
        <v>0</v>
      </c>
      <c r="CJ56" s="439" t="n">
        <f aca="false">CC56*CD56</f>
        <v>36800</v>
      </c>
      <c r="CM56" s="530" t="n">
        <f aca="false">+CL12*CF56/10000</f>
        <v>-31.26626383062</v>
      </c>
      <c r="DJ56" s="532" t="n">
        <f aca="false">[1]Cinergy!$D78</f>
        <v>38504</v>
      </c>
      <c r="DK56" s="440" t="n">
        <f aca="false">VLOOKUP(DJ56,$DL$50:$DM$291,2)</f>
        <v>22</v>
      </c>
      <c r="DL56" s="533" t="n">
        <v>37073</v>
      </c>
      <c r="DM56" s="459" t="n">
        <v>21</v>
      </c>
      <c r="DP56" s="534" t="n">
        <f aca="false">[1]Cinergy!$D47</f>
        <v>37561</v>
      </c>
      <c r="DQ56" s="234" t="n">
        <f aca="false">[1]OPPD_NPPD!$O47+[1]NSP!$O47</f>
        <v>0</v>
      </c>
      <c r="DR56" s="234" t="n">
        <f aca="false">[1]COMED!$O47</f>
        <v>-152526.265625</v>
      </c>
      <c r="DS56" s="234" t="n">
        <f aca="false">DQ56+DR56</f>
        <v>-152526.265625</v>
      </c>
      <c r="DT56" s="234" t="n">
        <f aca="false">SUM([1]OPPD_NPPD!$P47:$R47)+SUM([1]NSP!$P47:$R47)</f>
        <v>0</v>
      </c>
      <c r="DU56" s="234" t="n">
        <f aca="false">SUM([1]COMED!$P47:$R47)</f>
        <v>18684.4672851563</v>
      </c>
      <c r="DV56" s="234" t="n">
        <f aca="false">DT56+DU56</f>
        <v>18684.4672851563</v>
      </c>
      <c r="DW56" s="535"/>
      <c r="DX56" s="536" t="n">
        <f aca="false">[1]OtherPosn!$D47</f>
        <v>37438</v>
      </c>
      <c r="DY56" s="234" t="n">
        <f aca="false">[1]OtherPosn!$N47</f>
        <v>0</v>
      </c>
      <c r="DZ56" s="234" t="n">
        <f aca="false">SUM([1]OtherPosn!$O47:$P47)</f>
        <v>0</v>
      </c>
      <c r="EO56" s="532" t="n">
        <f aca="false">EO12</f>
        <v>37195</v>
      </c>
      <c r="EP56" s="234" t="n">
        <f aca="false">EP12</f>
        <v>23</v>
      </c>
      <c r="EQ56" s="473" t="e">
        <f aca="false">#REF!*$EP56</f>
        <v>#REF!</v>
      </c>
      <c r="ER56" s="473" t="e">
        <f aca="false">#REF!*$EP56</f>
        <v>#REF!</v>
      </c>
      <c r="ES56" s="439" t="n">
        <f aca="false">IF(YEAR($EO56)=1999,EP56,0)</f>
        <v>0</v>
      </c>
      <c r="ET56" s="439" t="n">
        <f aca="false">IF(YEAR($EO56)=1999,EQ56,0)</f>
        <v>0</v>
      </c>
      <c r="EU56" s="439" t="n">
        <f aca="false">IF(YEAR($EO56)=1999,ER56,0)</f>
        <v>0</v>
      </c>
    </row>
    <row r="57" customFormat="false" ht="18.75" hidden="false" customHeight="false" outlineLevel="0" collapsed="false">
      <c r="A57" s="537" t="n">
        <f aca="false">[1]COMED!$D35</f>
        <v>37196</v>
      </c>
      <c r="B57" s="180" t="n">
        <f aca="false">[1]COMED!$O35</f>
        <v>143019.8125</v>
      </c>
      <c r="C57" s="538" t="n">
        <f aca="false">B57/(CE57*CD57)</f>
        <v>430.086287876913</v>
      </c>
      <c r="D57" s="538" t="n">
        <f aca="false">BY57+IF(YEAR(A57)=$T$20,$BY$92,0)+IF(YEAR(A57)=$T$21,$BY$93,0)+IF(YEAR(A57)=$T$22,$BY$94,0)</f>
        <v>0</v>
      </c>
      <c r="E57" s="160" t="n">
        <f aca="false">B57+(D57*CD57*CE57)</f>
        <v>143019.8125</v>
      </c>
      <c r="F57" s="539" t="n">
        <f aca="false">C57+D57</f>
        <v>430.086287876913</v>
      </c>
      <c r="G57" s="540" t="n">
        <f aca="false">[1]COMED!$E35</f>
        <v>25.0499954223633</v>
      </c>
      <c r="H57" s="498" t="n">
        <f aca="false">IF($R$53,R57,Q57)</f>
        <v>0.0500003814697294</v>
      </c>
      <c r="I57" s="541" t="n">
        <f aca="false">G57+H57</f>
        <v>25.099995803833</v>
      </c>
      <c r="J57" s="160" t="n">
        <f aca="false">H57*B57</f>
        <v>7151.04518272917</v>
      </c>
      <c r="K57" s="114" t="n">
        <f aca="false">(((I57-AL57)*AK57+(I57-AN57)*AM57+(I57-AP57)*AO57+(I57-AR57)*AQ57+(I57-AT57)*AS57+(I57-AV57)*AU57+(I57-AX57)*AW57+(I57-AZ57)*AY57+(I57-BB57)*BA57+(I57-BD57)*BC57+(I57-BF57)*BE57+(I57-BH57)*BG57+(I57-BJ57)*BI57+(I57-BL57)*BK57+(I57-BN57)*BM57+(I57-BP57)*BO57+(I57-BR57)*BQ57+(I57-BT57)*BS57+(I57-BV57)*BU57+(I57-BX57)*BW57)*CD57*CE57)+CG57+CH57+CI57</f>
        <v>0</v>
      </c>
      <c r="L57" s="114" t="n">
        <f aca="false">J57+K57</f>
        <v>7151.04518272917</v>
      </c>
      <c r="M57" s="46"/>
      <c r="N57" s="500" t="n">
        <f aca="false">A57</f>
        <v>37196</v>
      </c>
      <c r="O57" s="501" t="n">
        <v>33.5</v>
      </c>
      <c r="P57" s="501" t="n">
        <v>33.5</v>
      </c>
      <c r="Q57" s="502" t="n">
        <f aca="false">AVERAGE(O57:P57)-G57-0.5</f>
        <v>7.95000457763672</v>
      </c>
      <c r="R57" s="677" t="n">
        <f aca="false">TradeSum!R13</f>
        <v>0.0500003814697294</v>
      </c>
      <c r="S57" s="678" t="n">
        <f aca="false">I57</f>
        <v>25.099995803833</v>
      </c>
      <c r="T57" s="505" t="n">
        <f aca="false">IF(U56=4,T56+1,T56)</f>
        <v>2002</v>
      </c>
      <c r="U57" s="506" t="n">
        <f aca="false">IF(U56=4,1,U56+1)</f>
        <v>1</v>
      </c>
      <c r="V57" s="543" t="str">
        <f aca="false">"Q"&amp;U57&amp;" "&amp;T57</f>
        <v>Q1 2002</v>
      </c>
      <c r="W57" s="508" t="n">
        <f aca="false" t="array" ref="W57:W57">SUM(IF((INT((MONTH($A$56:$A$91)-1)/3)=U57-1)*(YEAR($A$56:$A$91)=T57),$I$56:$I$91*$DK$12:$DK$47))/SUM(IF((INT((MONTH($A$56:$A$91)-1)/3)=U57-1)*(YEAR($A$56:$A$91)=T57),$DK$12:$DK$47))</f>
        <v>27.4058918782203</v>
      </c>
      <c r="X57" s="544" t="n">
        <f aca="false" t="array" ref="X57:X57">AVERAGE(IF((INT((MONTH($A$56:$A$91)-1)/3)=U57-1)*(YEAR($A$56:$A$91)=T57),$I$56:$I$91))</f>
        <v>27.4003680149274</v>
      </c>
      <c r="Y57" s="545" t="n">
        <f aca="false">W57-$W$12</f>
        <v>0.889485628220282</v>
      </c>
      <c r="Z57" s="546" t="n">
        <v>0</v>
      </c>
      <c r="AA57" s="511"/>
      <c r="AB57" s="511"/>
      <c r="AC57" s="511"/>
      <c r="AD57" s="511"/>
      <c r="AE57" s="511"/>
      <c r="AF57" s="511"/>
      <c r="AG57" s="511"/>
      <c r="AH57" s="511"/>
      <c r="AI57" s="511"/>
      <c r="AJ57" s="512" t="n">
        <f aca="false">A57</f>
        <v>37196</v>
      </c>
      <c r="AK57" s="513"/>
      <c r="AL57" s="514"/>
      <c r="AM57" s="513"/>
      <c r="AN57" s="514"/>
      <c r="AO57" s="513" t="n">
        <f aca="false">+AO56</f>
        <v>0</v>
      </c>
      <c r="AP57" s="514" t="n">
        <f aca="false">+AP56</f>
        <v>0</v>
      </c>
      <c r="AQ57" s="513" t="n">
        <f aca="false">+AQ56</f>
        <v>0</v>
      </c>
      <c r="AR57" s="514" t="n">
        <f aca="false">+AR56</f>
        <v>0</v>
      </c>
      <c r="AS57" s="515"/>
      <c r="AT57" s="516"/>
      <c r="AU57" s="513"/>
      <c r="AV57" s="514"/>
      <c r="AW57" s="513"/>
      <c r="AX57" s="517"/>
      <c r="AY57" s="513"/>
      <c r="AZ57" s="517"/>
      <c r="BA57" s="513"/>
      <c r="BB57" s="514"/>
      <c r="BC57" s="513"/>
      <c r="BD57" s="514"/>
      <c r="BE57" s="513"/>
      <c r="BF57" s="514"/>
      <c r="BG57" s="513"/>
      <c r="BH57" s="514"/>
      <c r="BI57" s="513"/>
      <c r="BJ57" s="517"/>
      <c r="BK57" s="520"/>
      <c r="BL57" s="517"/>
      <c r="BM57" s="520"/>
      <c r="BN57" s="517"/>
      <c r="BO57" s="520"/>
      <c r="BP57" s="517"/>
      <c r="BQ57" s="520"/>
      <c r="BR57" s="517"/>
      <c r="BS57" s="520"/>
      <c r="BT57" s="517"/>
      <c r="BU57" s="520"/>
      <c r="BV57" s="517"/>
      <c r="BW57" s="520"/>
      <c r="BX57" s="517"/>
      <c r="BY57" s="556" t="n">
        <f aca="false">AK57+AM57+AO57+AQ57+AS57+AU57+AW57+AY57+BA57+BC57+BE57+BG57+BI57+BK57+BM57+BO57+BQ57+BS57+BU57+BW57</f>
        <v>0</v>
      </c>
      <c r="BZ57" s="524" t="n">
        <f aca="false">IF(AND(BY57=0,CC57=0),0,(ABS(AK57)*AL57+ABS(AM57)*AN57+ABS(AO57)*AP57+ABS(AQ57)*AR57+ABS(AS57)*AT57+ABS(AU57)*AV57+ABS(AW57)*AX57+ABS(AY57)*AZ57+ABS(BA57)*BB57+ABS(BC57)*BD57+ABS(BE57)*BF57+ABS(BG57)*BH57+ABS(BI57)*BJ57+ABS(BK57)*BL57+ABS(BM57)*BN57+ABS(BO57)*BP57+ABS(BQ57)*BR57+ABS(BS57)*BT57+ABS(BU57)*BV57+ABS(BW57)*BX57)/CC57)</f>
        <v>0</v>
      </c>
      <c r="CA57" s="222"/>
      <c r="CB57" s="525" t="n">
        <f aca="false">AJ57</f>
        <v>37196</v>
      </c>
      <c r="CC57" s="222" t="n">
        <f aca="false">ABS(AK57)+ABS(AM57)+ABS(AO57)+ABS(AQ57)+ABS(AS57)+ABS(AU57)+ABS(AW57)+ABS(AY57)+ABS(BA57)+ABS(BC57)+ABS(BE57)+ABS(BG57)+ABS(BI57)+ABS(BK57)+ABS(BM57)+ABS(BO57)+ABS(BQ57)+ABS(BS57)+ABS(BU57)+ABS(BW57)</f>
        <v>0</v>
      </c>
      <c r="CD57" s="526" t="n">
        <f aca="false">CD13</f>
        <v>336</v>
      </c>
      <c r="CE57" s="222" t="n">
        <f aca="false">CE13</f>
        <v>0.989694895808596</v>
      </c>
      <c r="CF57" s="527" t="n">
        <f aca="false">E57-B57</f>
        <v>0</v>
      </c>
      <c r="CG57" s="527" t="n">
        <f aca="false">IF(YEAR($AJ57)=$CG$10,(($I57-$AL$92)*$AK$92+($I57-$AN$92)*$AM$92+($I57-$AP$92)*$AO$92+($I57-$AR$92)*$AQ$92+($I57-$AT$92)*$AS$92+($I57-$AV$92)*$AU$92+($I57-$AX$92)*$AW$92+($I57-$AZ$92)*$AY$92+($I57-$BB$92)*$BA$92+($I57-$BD$92)*$BC$92+($I57-$BF$92)*$BE$92+($I57-$BH$92)*$BG$92+($I57-$BJ$92)*$BI$92+($I57-$BL$92)*$BK$92+($I57-$BN$92)*$BM$92+($I57-$BP$92)*$BO$92+($I57-$BR$92)*$BQ$92+($I57-$BT$92)*$BS$92+($I57-$BV$92)*$BU$92+($I57-$BX$92)*$BW$92)*$CD57*$CE57,0)</f>
        <v>0</v>
      </c>
      <c r="CH57" s="527" t="n">
        <f aca="false">IF(YEAR($AJ57)=$CH$10,(($I57-$AL$93)*$AK$93+($I57-$AN$93)*$AM$93+($I57-$AP$93)*$AO$93+($I57-$AR$93)*$AQ$93+($I57-$AT$93)*$AS$93+($I57-$AV$93)*$AU$93+($I57-$AX$93)*$AW$93+($I57-$AZ$93)*$AY$93+($I57-$BB$93)*$BA$93+($I57-$BD$93)*$BC$93+($I57-$BF$93)*$BE$93+($I57-$BH$93)*$BG$93+($I57-$BJ$93)*$BI$93+($I57-$BL$93)*$BK$93+($I57-$BN$93)*$BM$93+($I57-$BP$93)*$BO$93+($I57-$BR$93)*$BQ$93+($I57-$BT$93)*$BS$93+($I57-$BV$93)*$BU$93+($I57-$BX$93)*$BW$93)*$CD57*$CE57,0)</f>
        <v>0</v>
      </c>
      <c r="CI57" s="527" t="n">
        <f aca="false">IF(YEAR($AJ57)=$CI$10,(($I57-$AL$94)*$AK$94+($I57-$AN$94)*$AM$94+($I57-$AP$94)*$AO$94+($I57-$AR$94)*$AQ$94+($I57-$AT$94)*$AS$94+($I57-$AV$94)*$AU$94+($I57-$AX$94)*$AW$94+($I57-$AZ$94)*$AY$94+($I57-$BB$94)*$BA$94+($I57-$BD$94)*$BC$94+($I57-$BF$94)*$BE$94+($I57-$BH$94)*$BG$94+($I57-$BJ$94)*$BI$94+($I57-$BL$94)*$BK$94+($I57-$BN$94)*$BM$94+($I57-$BP$94)*$BO$94+($I57-$BR$94)*$BQ$94+($I57-$BT$94)*$BS$94+($I57-$BV$94)*$BU$94+($I57-$BX$94)*$BW$94)*$CD57*$CE57,0)</f>
        <v>0</v>
      </c>
      <c r="CJ57" s="439" t="n">
        <f aca="false">CC57*CD57</f>
        <v>0</v>
      </c>
      <c r="CM57" s="530" t="n">
        <f aca="false">+CL13*CF57/10000</f>
        <v>0</v>
      </c>
      <c r="DJ57" s="532" t="n">
        <f aca="false">[1]Cinergy!$D79</f>
        <v>38534</v>
      </c>
      <c r="DK57" s="440" t="n">
        <f aca="false">VLOOKUP(DJ57,$DL$50:$DM$291,2)</f>
        <v>20</v>
      </c>
      <c r="DL57" s="533" t="n">
        <v>37104</v>
      </c>
      <c r="DM57" s="459" t="n">
        <v>23</v>
      </c>
      <c r="DP57" s="534" t="n">
        <f aca="false">[1]Cinergy!$D48</f>
        <v>37591</v>
      </c>
      <c r="DQ57" s="234" t="n">
        <f aca="false">[1]OPPD_NPPD!$O48+[1]NSP!$O48</f>
        <v>0</v>
      </c>
      <c r="DR57" s="234" t="n">
        <f aca="false">[1]COMED!$O48</f>
        <v>-159545.34375</v>
      </c>
      <c r="DS57" s="234" t="n">
        <f aca="false">DQ57+DR57</f>
        <v>-159545.34375</v>
      </c>
      <c r="DT57" s="234" t="n">
        <f aca="false">SUM([1]OPPD_NPPD!$P48:$R48)+SUM([1]NSP!$P48:$R48)</f>
        <v>0</v>
      </c>
      <c r="DU57" s="234" t="n">
        <f aca="false">SUM([1]COMED!$P48:$R48)</f>
        <v>18993.4929199219</v>
      </c>
      <c r="DV57" s="234" t="n">
        <f aca="false">DT57+DU57</f>
        <v>18993.4929199219</v>
      </c>
      <c r="DW57" s="535"/>
      <c r="DX57" s="536" t="n">
        <f aca="false">[1]OtherPosn!$D48</f>
        <v>37469</v>
      </c>
      <c r="DY57" s="234" t="n">
        <f aca="false">[1]OtherPosn!$N48</f>
        <v>0</v>
      </c>
      <c r="DZ57" s="234" t="n">
        <f aca="false">SUM([1]OtherPosn!$O48:$P48)</f>
        <v>0</v>
      </c>
      <c r="EO57" s="532" t="n">
        <f aca="false">EO13</f>
        <v>37196</v>
      </c>
      <c r="EP57" s="234" t="n">
        <f aca="false">EP13</f>
        <v>21</v>
      </c>
      <c r="EQ57" s="473" t="n">
        <f aca="false">O56*$EP57</f>
        <v>1659</v>
      </c>
      <c r="ER57" s="473" t="n">
        <f aca="false">P56*$EP57</f>
        <v>1659</v>
      </c>
      <c r="ES57" s="439" t="n">
        <f aca="false">IF(YEAR($EO57)=1999,EP57,0)</f>
        <v>0</v>
      </c>
      <c r="ET57" s="439" t="n">
        <f aca="false">IF(YEAR($EO57)=1999,EQ57,0)</f>
        <v>0</v>
      </c>
      <c r="EU57" s="439" t="n">
        <f aca="false">IF(YEAR($EO57)=1999,ER57,0)</f>
        <v>0</v>
      </c>
    </row>
    <row r="58" customFormat="false" ht="18.75" hidden="false" customHeight="false" outlineLevel="0" collapsed="false">
      <c r="A58" s="95" t="n">
        <f aca="false">[1]COMED!$D36</f>
        <v>37226</v>
      </c>
      <c r="B58" s="122" t="n">
        <f aca="false">[1]COMED!$O36</f>
        <v>166609.9375</v>
      </c>
      <c r="C58" s="163" t="n">
        <f aca="false">B58/(CE58*CD58)</f>
        <v>527.622894753478</v>
      </c>
      <c r="D58" s="496" t="n">
        <f aca="false">BY58+IF(YEAR(A58)=$T$20,$BY$92,0)+IF(YEAR(A58)=$T$21,$BY$93,0)+IF(YEAR(A58)=$T$22,$BY$94,0)</f>
        <v>0</v>
      </c>
      <c r="E58" s="163" t="n">
        <f aca="false">B58+(D58*CD58*CE58)</f>
        <v>166609.9375</v>
      </c>
      <c r="F58" s="497" t="n">
        <f aca="false">C58+D58</f>
        <v>527.622894753478</v>
      </c>
      <c r="G58" s="498" t="n">
        <f aca="false">[1]COMED!$E36</f>
        <v>26.7500019073486</v>
      </c>
      <c r="H58" s="498" t="n">
        <f aca="false">IF($R$53,R58,Q58)</f>
        <v>-0.149999618530273</v>
      </c>
      <c r="I58" s="499" t="n">
        <f aca="false">G58+H58</f>
        <v>26.6000022888184</v>
      </c>
      <c r="J58" s="122" t="n">
        <f aca="false">H58*B58</f>
        <v>-24991.4270683527</v>
      </c>
      <c r="K58" s="123" t="n">
        <f aca="false">(((I58-AL58)*AK58+(I58-AN58)*AM58+(I58-AP58)*AO58+(I58-AR58)*AQ58+(I58-AT58)*AS58+(I58-AV58)*AU58+(I58-AX58)*AW58+(I58-AZ58)*AY58+(I58-BB58)*BA58+(I58-BD58)*BC58+(I58-BF58)*BE58+(I58-BH58)*BG58+(I58-BJ58)*BI58+(I58-BL58)*BK58+(I58-BN58)*BM58+(I58-BP58)*BO58+(I58-BR58)*BQ58+(I58-BT58)*BS58+(I58-BV58)*BU58+(I58-BX58)*BW58)*CD58*CE58)+CG58+CH58+CI58</f>
        <v>0</v>
      </c>
      <c r="L58" s="123" t="n">
        <f aca="false">J58+K58</f>
        <v>-24991.4270683527</v>
      </c>
      <c r="M58" s="46"/>
      <c r="N58" s="500" t="n">
        <f aca="false">A58</f>
        <v>37226</v>
      </c>
      <c r="O58" s="501" t="n">
        <v>25.25</v>
      </c>
      <c r="P58" s="501" t="n">
        <v>25.25</v>
      </c>
      <c r="Q58" s="502" t="n">
        <f aca="false">AVERAGE(O58:P58)-G58-0.5</f>
        <v>-2.00000190734863</v>
      </c>
      <c r="R58" s="677" t="n">
        <f aca="false">TradeSum!R14</f>
        <v>-0.149999618530273</v>
      </c>
      <c r="S58" s="679" t="n">
        <f aca="false">I58</f>
        <v>26.6000022888184</v>
      </c>
      <c r="T58" s="505" t="n">
        <f aca="false">IF(U57=4,T57+1,T57)</f>
        <v>2002</v>
      </c>
      <c r="U58" s="506" t="n">
        <f aca="false">IF(U57=4,1,U57+1)</f>
        <v>2</v>
      </c>
      <c r="V58" s="547" t="str">
        <f aca="false">"Q"&amp;U58&amp;" "&amp;T58</f>
        <v>Q2 2002</v>
      </c>
      <c r="W58" s="508" t="n">
        <f aca="false" t="array" ref="W58:W58">SUM(IF((INT((MONTH($A$56:$A$91)-1)/3)=U58-1)*(YEAR($A$56:$A$91)=T58),$I$56:$I$91*$DK$12:$DK$47))/SUM(IF((INT((MONTH($A$56:$A$91)-1)/3)=U58-1)*(YEAR($A$56:$A$91)=T58),$DK$12:$DK$47))</f>
        <v>32.255231374918</v>
      </c>
      <c r="X58" s="544" t="n">
        <f aca="false" t="array" ref="X58:X58">AVERAGE(IF((INT((MONTH($A$56:$A$91)-1)/3)=U58-1)*(YEAR($A$56:$A$91)=T58),$I$56:$I$91))</f>
        <v>32.4899213332539</v>
      </c>
      <c r="Y58" s="548" t="n">
        <f aca="false">W58-$W$12</f>
        <v>5.73882512491802</v>
      </c>
      <c r="Z58" s="548" t="n">
        <f aca="false">W58-$W$13</f>
        <v>3.58197569107825</v>
      </c>
      <c r="AA58" s="510" t="n">
        <v>0</v>
      </c>
      <c r="AB58" s="511"/>
      <c r="AC58" s="511"/>
      <c r="AD58" s="511"/>
      <c r="AE58" s="511"/>
      <c r="AF58" s="511"/>
      <c r="AG58" s="511"/>
      <c r="AH58" s="511"/>
      <c r="AI58" s="511"/>
      <c r="AJ58" s="512" t="n">
        <f aca="false">A58</f>
        <v>37226</v>
      </c>
      <c r="AK58" s="513"/>
      <c r="AL58" s="514"/>
      <c r="AM58" s="513"/>
      <c r="AN58" s="514"/>
      <c r="AO58" s="513" t="n">
        <f aca="false">+AO57</f>
        <v>0</v>
      </c>
      <c r="AP58" s="514" t="n">
        <f aca="false">+AP57</f>
        <v>0</v>
      </c>
      <c r="AQ58" s="513" t="n">
        <f aca="false">+AQ57</f>
        <v>0</v>
      </c>
      <c r="AR58" s="514" t="n">
        <f aca="false">+AR57</f>
        <v>0</v>
      </c>
      <c r="AS58" s="515"/>
      <c r="AT58" s="516"/>
      <c r="AU58" s="513"/>
      <c r="AV58" s="514"/>
      <c r="AW58" s="513"/>
      <c r="AX58" s="517"/>
      <c r="AY58" s="513"/>
      <c r="AZ58" s="517"/>
      <c r="BA58" s="513"/>
      <c r="BB58" s="514"/>
      <c r="BC58" s="513"/>
      <c r="BD58" s="514"/>
      <c r="BE58" s="513"/>
      <c r="BF58" s="514"/>
      <c r="BG58" s="513"/>
      <c r="BH58" s="514"/>
      <c r="BI58" s="520"/>
      <c r="BJ58" s="517"/>
      <c r="BK58" s="520"/>
      <c r="BL58" s="517"/>
      <c r="BM58" s="520"/>
      <c r="BN58" s="517"/>
      <c r="BO58" s="520"/>
      <c r="BP58" s="517"/>
      <c r="BQ58" s="520"/>
      <c r="BR58" s="517"/>
      <c r="BS58" s="520"/>
      <c r="BT58" s="517"/>
      <c r="BU58" s="520"/>
      <c r="BV58" s="517"/>
      <c r="BW58" s="520"/>
      <c r="BX58" s="517"/>
      <c r="BY58" s="556" t="n">
        <f aca="false">AK58+AM58+AO58+AQ58+AS58+AU58+AW58+AY58+BA58+BC58+BE58+BG58+BI58+BK58+BM58+BO58+BQ58+BS58+BU58+BW58</f>
        <v>0</v>
      </c>
      <c r="BZ58" s="524" t="n">
        <f aca="false">IF(AND(BY58=0,CC58=0),0,(ABS(AK58)*AL58+ABS(AM58)*AN58+ABS(AO58)*AP58+ABS(AQ58)*AR58+ABS(AS58)*AT58+ABS(AU58)*AV58+ABS(AW58)*AX58+ABS(AY58)*AZ58+ABS(BA58)*BB58+ABS(BC58)*BD58+ABS(BE58)*BF58+ABS(BG58)*BH58+ABS(BI58)*BJ58+ABS(BK58)*BL58+ABS(BM58)*BN58+ABS(BO58)*BP58+ABS(BQ58)*BR58+ABS(BS58)*BT58+ABS(BU58)*BV58+ABS(BW58)*BX58)/CC58)</f>
        <v>0</v>
      </c>
      <c r="CA58" s="222"/>
      <c r="CB58" s="525" t="n">
        <f aca="false">AJ58</f>
        <v>37226</v>
      </c>
      <c r="CC58" s="222" t="n">
        <f aca="false">ABS(AK58)+ABS(AM58)+ABS(AO58)+ABS(AQ58)+ABS(AS58)+ABS(AU58)+ABS(AW58)+ABS(AY58)+ABS(BA58)+ABS(BC58)+ABS(BE58)+ABS(BG58)+ABS(BI58)+ABS(BK58)+ABS(BM58)+ABS(BO58)+ABS(BQ58)+ABS(BS58)+ABS(BU58)+ABS(BW58)</f>
        <v>0</v>
      </c>
      <c r="CD58" s="526" t="n">
        <f aca="false">CD14</f>
        <v>320</v>
      </c>
      <c r="CE58" s="222" t="n">
        <f aca="false">CE14</f>
        <v>0.986795796514416</v>
      </c>
      <c r="CF58" s="527" t="n">
        <f aca="false">E58-B58</f>
        <v>0</v>
      </c>
      <c r="CG58" s="527" t="n">
        <f aca="false">IF(YEAR($AJ58)=$CG$10,(($I58-$AL$92)*$AK$92+($I58-$AN$92)*$AM$92+($I58-$AP$92)*$AO$92+($I58-$AR$92)*$AQ$92+($I58-$AT$92)*$AS$92+($I58-$AV$92)*$AU$92+($I58-$AX$92)*$AW$92+($I58-$AZ$92)*$AY$92+($I58-$BB$92)*$BA$92+($I58-$BD$92)*$BC$92+($I58-$BF$92)*$BE$92+($I58-$BH$92)*$BG$92+($I58-$BJ$92)*$BI$92+($I58-$BL$92)*$BK$92+($I58-$BN$92)*$BM$92+($I58-$BP$92)*$BO$92+($I58-$BR$92)*$BQ$92+($I58-$BT$92)*$BS$92+($I58-$BV$92)*$BU$92+($I58-$BX$92)*$BW$92)*$CD58*$CE58,0)</f>
        <v>0</v>
      </c>
      <c r="CH58" s="527" t="n">
        <f aca="false">IF(YEAR($AJ58)=$CH$10,(($I58-$AL$93)*$AK$93+($I58-$AN$93)*$AM$93+($I58-$AP$93)*$AO$93+($I58-$AR$93)*$AQ$93+($I58-$AT$93)*$AS$93+($I58-$AV$93)*$AU$93+($I58-$AX$93)*$AW$93+($I58-$AZ$93)*$AY$93+($I58-$BB$93)*$BA$93+($I58-$BD$93)*$BC$93+($I58-$BF$93)*$BE$93+($I58-$BH$93)*$BG$93+($I58-$BJ$93)*$BI$93+($I58-$BL$93)*$BK$93+($I58-$BN$93)*$BM$93+($I58-$BP$93)*$BO$93+($I58-$BR$93)*$BQ$93+($I58-$BT$93)*$BS$93+($I58-$BV$93)*$BU$93+($I58-$BX$93)*$BW$93)*$CD58*$CE58,0)</f>
        <v>0</v>
      </c>
      <c r="CI58" s="527" t="n">
        <f aca="false">IF(YEAR($AJ58)=$CI$10,(($I58-$AL$94)*$AK$94+($I58-$AN$94)*$AM$94+($I58-$AP$94)*$AO$94+($I58-$AR$94)*$AQ$94+($I58-$AT$94)*$AS$94+($I58-$AV$94)*$AU$94+($I58-$AX$94)*$AW$94+($I58-$AZ$94)*$AY$94+($I58-$BB$94)*$BA$94+($I58-$BD$94)*$BC$94+($I58-$BF$94)*$BE$94+($I58-$BH$94)*$BG$94+($I58-$BJ$94)*$BI$94+($I58-$BL$94)*$BK$94+($I58-$BN$94)*$BM$94+($I58-$BP$94)*$BO$94+($I58-$BR$94)*$BQ$94+($I58-$BT$94)*$BS$94+($I58-$BV$94)*$BU$94+($I58-$BX$94)*$BW$94)*$CD58*$CE58,0)</f>
        <v>0</v>
      </c>
      <c r="CJ58" s="439" t="n">
        <f aca="false">CC58*CD58</f>
        <v>0</v>
      </c>
      <c r="CM58" s="530" t="n">
        <f aca="false">+CL14*CF58/10000</f>
        <v>0</v>
      </c>
      <c r="DJ58" s="532" t="n">
        <f aca="false">[1]Cinergy!$D80</f>
        <v>38565</v>
      </c>
      <c r="DK58" s="440" t="n">
        <f aca="false">VLOOKUP(DJ58,$DL$50:$DM$291,2)</f>
        <v>23</v>
      </c>
      <c r="DL58" s="533" t="n">
        <v>37135</v>
      </c>
      <c r="DM58" s="459" t="n">
        <v>19</v>
      </c>
      <c r="DP58" s="534" t="n">
        <f aca="false">[1]Cinergy!$D49</f>
        <v>37622</v>
      </c>
      <c r="DQ58" s="234" t="n">
        <f aca="false">[1]OPPD_NPPD!$O49+[1]NSP!$O49</f>
        <v>0</v>
      </c>
      <c r="DR58" s="234" t="n">
        <f aca="false">[1]COMED!$O49</f>
        <v>-249736.484375</v>
      </c>
      <c r="DS58" s="234" t="n">
        <f aca="false">DQ58+DR58</f>
        <v>-249736.484375</v>
      </c>
      <c r="DT58" s="234" t="n">
        <f aca="false">SUM([1]OPPD_NPPD!$P49:$R49)+SUM([1]NSP!$P49:$R49)</f>
        <v>0</v>
      </c>
      <c r="DU58" s="234" t="n">
        <f aca="false">SUM([1]COMED!$P49:$R49)</f>
        <v>-378.388610839844</v>
      </c>
      <c r="DV58" s="234" t="n">
        <f aca="false">DT58+DU58</f>
        <v>-378.388610839844</v>
      </c>
      <c r="DW58" s="535"/>
      <c r="DX58" s="536" t="n">
        <f aca="false">[1]OtherPosn!$D49</f>
        <v>37500</v>
      </c>
      <c r="DY58" s="234" t="n">
        <f aca="false">[1]OtherPosn!$N49</f>
        <v>0</v>
      </c>
      <c r="DZ58" s="234" t="n">
        <f aca="false">SUM([1]OtherPosn!$O49:$P49)</f>
        <v>0</v>
      </c>
      <c r="EO58" s="532" t="n">
        <f aca="false">EO14</f>
        <v>37226</v>
      </c>
      <c r="EP58" s="234" t="n">
        <f aca="false">EP14</f>
        <v>20</v>
      </c>
      <c r="EQ58" s="473" t="n">
        <f aca="false">O57*$EP58</f>
        <v>670</v>
      </c>
      <c r="ER58" s="473" t="n">
        <f aca="false">P57*$EP58</f>
        <v>670</v>
      </c>
      <c r="ES58" s="439" t="n">
        <f aca="false">IF(YEAR($EO58)=1999,EP58,0)</f>
        <v>0</v>
      </c>
      <c r="ET58" s="439" t="n">
        <f aca="false">IF(YEAR($EO58)=1999,EQ58,0)</f>
        <v>0</v>
      </c>
      <c r="EU58" s="439" t="n">
        <f aca="false">IF(YEAR($EO58)=1999,ER58,0)</f>
        <v>0</v>
      </c>
    </row>
    <row r="59" customFormat="false" ht="18.75" hidden="false" customHeight="false" outlineLevel="0" collapsed="false">
      <c r="A59" s="537" t="n">
        <f aca="false">[1]COMED!$D37</f>
        <v>37257</v>
      </c>
      <c r="B59" s="180" t="n">
        <f aca="false">[1]COMED!$O37</f>
        <v>-422618.8125</v>
      </c>
      <c r="C59" s="538" t="n">
        <f aca="false">B59/(CE59*CD59)</f>
        <v>-1220.04822607687</v>
      </c>
      <c r="D59" s="538" t="n">
        <f aca="false">BY59+IF(YEAR(A59)=$T$20,$BY$92,0)+IF(YEAR(A59)=$T$21,$BY$93,0)+IF(YEAR(A59)=$T$22,$BY$94,0)</f>
        <v>0</v>
      </c>
      <c r="E59" s="160" t="n">
        <f aca="false">B59+(D59*CD59*CE59)</f>
        <v>-422618.8125</v>
      </c>
      <c r="F59" s="539" t="n">
        <f aca="false">C59+D59</f>
        <v>-1220.04822607687</v>
      </c>
      <c r="G59" s="540" t="n">
        <f aca="false">[1]COMED!$E37</f>
        <v>28.3146686553955</v>
      </c>
      <c r="H59" s="498" t="n">
        <f aca="false">IF($R$53,R59,Q59)</f>
        <v>-0.250000181652251</v>
      </c>
      <c r="I59" s="541" t="n">
        <f aca="false">G59+H59</f>
        <v>28.0646684737433</v>
      </c>
      <c r="J59" s="160" t="n">
        <f aca="false">H59*B59</f>
        <v>105654.779894658</v>
      </c>
      <c r="K59" s="114" t="n">
        <f aca="false">(((I59-AL59)*AK59+(I59-AN59)*AM59+(I59-AP59)*AO59+(I59-AR59)*AQ59+(I59-AT59)*AS59+(I59-AV59)*AU59+(I59-AX59)*AW59+(I59-AZ59)*AY59+(I59-BB59)*BA59+(I59-BD59)*BC59+(I59-BF59)*BE59+(I59-BH59)*BG59+(I59-BJ59)*BI59+(I59-BL59)*BK59+(I59-BN59)*BM59+(I59-BP59)*BO59+(I59-BR59)*BQ59+(I59-BT59)*BS59+(I59-BV59)*BU59+(I59-BX59)*BW59)*CD59*CE59)+CG59+CH59+CI59</f>
        <v>0</v>
      </c>
      <c r="L59" s="114" t="n">
        <f aca="false">J59+K59</f>
        <v>105654.779894658</v>
      </c>
      <c r="M59" s="46"/>
      <c r="N59" s="500" t="n">
        <f aca="false">A59</f>
        <v>37257</v>
      </c>
      <c r="O59" s="501" t="n">
        <v>25.25</v>
      </c>
      <c r="P59" s="501" t="n">
        <v>25.25</v>
      </c>
      <c r="Q59" s="502" t="n">
        <f aca="false">AVERAGE(O59:P59)-G59</f>
        <v>-3.06466865539551</v>
      </c>
      <c r="R59" s="677" t="n">
        <f aca="false">TradeSum!R15</f>
        <v>-0.250000181652251</v>
      </c>
      <c r="S59" s="679" t="n">
        <f aca="false">I59</f>
        <v>28.0646684737433</v>
      </c>
      <c r="T59" s="505" t="n">
        <f aca="false">IF(U58=4,T58+1,T58)</f>
        <v>2002</v>
      </c>
      <c r="U59" s="506" t="n">
        <f aca="false">IF(U58=4,1,U58+1)</f>
        <v>3</v>
      </c>
      <c r="V59" s="543" t="str">
        <f aca="false">"Q"&amp;U59&amp;" "&amp;T59</f>
        <v>Q3 2002</v>
      </c>
      <c r="W59" s="508" t="n">
        <f aca="false" t="array" ref="W59:W59">SUM(IF((INT((MONTH($A$56:$A$91)-1)/3)=U59-1)*(YEAR($A$56:$A$91)=T59),$I$56:$I$91*$DK$12:$DK$47))/SUM(IF((INT((MONTH($A$56:$A$91)-1)/3)=U59-1)*(YEAR($A$56:$A$91)=T59),$DK$12:$DK$47))</f>
        <v>45.3828107118607</v>
      </c>
      <c r="X59" s="544" t="n">
        <f aca="false" t="array" ref="X59:X59">AVERAGE(IF((INT((MONTH($A$56:$A$91)-1)/3)=U59-1)*(YEAR($A$56:$A$91)=T59),$I$56:$I$91))</f>
        <v>44.8333314259847</v>
      </c>
      <c r="Y59" s="545" t="n">
        <f aca="false">W59-$W$12</f>
        <v>18.8664044618607</v>
      </c>
      <c r="Z59" s="545" t="n">
        <f aca="false">W59-$W$13</f>
        <v>16.7095550280209</v>
      </c>
      <c r="AA59" s="545" t="n">
        <f aca="false">W59-$W$14</f>
        <v>12.2135155256404</v>
      </c>
      <c r="AB59" s="546" t="n">
        <v>0</v>
      </c>
      <c r="AC59" s="511"/>
      <c r="AD59" s="511"/>
      <c r="AE59" s="511"/>
      <c r="AF59" s="511"/>
      <c r="AG59" s="511"/>
      <c r="AH59" s="511"/>
      <c r="AI59" s="511"/>
      <c r="AJ59" s="512" t="n">
        <f aca="false">A59</f>
        <v>37257</v>
      </c>
      <c r="AK59" s="513"/>
      <c r="AL59" s="514"/>
      <c r="AM59" s="513"/>
      <c r="AN59" s="514"/>
      <c r="AO59" s="513"/>
      <c r="AP59" s="514"/>
      <c r="AQ59" s="513"/>
      <c r="AR59" s="514"/>
      <c r="AS59" s="515"/>
      <c r="AT59" s="516"/>
      <c r="AU59" s="550"/>
      <c r="AV59" s="551"/>
      <c r="AW59" s="550"/>
      <c r="AX59" s="551"/>
      <c r="AY59" s="513"/>
      <c r="AZ59" s="517"/>
      <c r="BA59" s="513"/>
      <c r="BB59" s="514"/>
      <c r="BC59" s="513"/>
      <c r="BD59" s="514"/>
      <c r="BE59" s="513"/>
      <c r="BF59" s="514"/>
      <c r="BG59" s="513"/>
      <c r="BH59" s="514"/>
      <c r="BI59" s="520"/>
      <c r="BJ59" s="517"/>
      <c r="BK59" s="520"/>
      <c r="BL59" s="517"/>
      <c r="BM59" s="520"/>
      <c r="BN59" s="517"/>
      <c r="BO59" s="520"/>
      <c r="BP59" s="517"/>
      <c r="BQ59" s="520"/>
      <c r="BR59" s="517"/>
      <c r="BS59" s="520"/>
      <c r="BT59" s="517"/>
      <c r="BU59" s="520"/>
      <c r="BV59" s="517"/>
      <c r="BW59" s="520"/>
      <c r="BX59" s="517"/>
      <c r="BY59" s="556" t="n">
        <f aca="false">AK59+AM59+AO59+AQ59+AS59+AU59+AW59+AY59+BA59+BC59+BE59+BG59+BI59+BK59+BM59+BO59+BQ59+BS59+BU59+BW59</f>
        <v>0</v>
      </c>
      <c r="BZ59" s="524" t="n">
        <f aca="false">IF(AND(BY59=0,CC59=0),0,(ABS(AK59)*AL59+ABS(AM59)*AN59+ABS(AO59)*AP59+ABS(AQ59)*AR59+ABS(AS59)*AT59+ABS(AU59)*AV59+ABS(AW59)*AX59+ABS(AY59)*AZ59+ABS(BA59)*BB59+ABS(BC59)*BD59+ABS(BE59)*BF59+ABS(BG59)*BH59+ABS(BI59)*BJ59+ABS(BK59)*BL59+ABS(BM59)*BN59+ABS(BO59)*BP59+ABS(BQ59)*BR59+ABS(BS59)*BT59+ABS(BU59)*BV59+ABS(BW59)*BX59)/CC59)</f>
        <v>0</v>
      </c>
      <c r="CA59" s="222"/>
      <c r="CB59" s="525" t="n">
        <f aca="false">AJ59</f>
        <v>37257</v>
      </c>
      <c r="CC59" s="222" t="n">
        <f aca="false">ABS(AK59)+ABS(AM59)+ABS(AO59)+ABS(AQ59)+ABS(AS59)+ABS(AU59)+ABS(AW59)+ABS(AY59)+ABS(BA59)+ABS(BC59)+ABS(BE59)+ABS(BG59)+ABS(BI59)+ABS(BK59)+ABS(BM59)+ABS(BO59)+ABS(BQ59)+ABS(BS59)+ABS(BU59)+ABS(BW59)</f>
        <v>0</v>
      </c>
      <c r="CD59" s="526" t="n">
        <f aca="false">CD15</f>
        <v>352</v>
      </c>
      <c r="CE59" s="222" t="n">
        <f aca="false">CE15</f>
        <v>0.984077187080641</v>
      </c>
      <c r="CF59" s="527" t="n">
        <f aca="false">E59-B59</f>
        <v>0</v>
      </c>
      <c r="CG59" s="527" t="n">
        <f aca="false">IF(YEAR($AJ59)=$CG$10,(($I59-$AL$92)*$AK$92+($I59-$AN$92)*$AM$92+($I59-$AP$92)*$AO$92+($I59-$AR$92)*$AQ$92+($I59-$AT$92)*$AS$92+($I59-$AV$92)*$AU$92+($I59-$AX$92)*$AW$92+($I59-$AZ$92)*$AY$92+($I59-$BB$92)*$BA$92+($I59-$BD$92)*$BC$92+($I59-$BF$92)*$BE$92+($I59-$BH$92)*$BG$92+($I59-$BJ$92)*$BI$92+($I59-$BL$92)*$BK$92+($I59-$BN$92)*$BM$92+($I59-$BP$92)*$BO$92+($I59-$BR$92)*$BQ$92+($I59-$BT$92)*$BS$92+($I59-$BV$92)*$BU$92+($I59-$BX$92)*$BW$92)*$CD59*$CE59,0)</f>
        <v>0</v>
      </c>
      <c r="CH59" s="527" t="n">
        <f aca="false">IF(YEAR($AJ59)=$CH$10,(($I59-$AL$93)*$AK$93+($I59-$AN$93)*$AM$93+($I59-$AP$93)*$AO$93+($I59-$AR$93)*$AQ$93+($I59-$AT$93)*$AS$93+($I59-$AV$93)*$AU$93+($I59-$AX$93)*$AW$93+($I59-$AZ$93)*$AY$93+($I59-$BB$93)*$BA$93+($I59-$BD$93)*$BC$93+($I59-$BF$93)*$BE$93+($I59-$BH$93)*$BG$93+($I59-$BJ$93)*$BI$93+($I59-$BL$93)*$BK$93+($I59-$BN$93)*$BM$93+($I59-$BP$93)*$BO$93+($I59-$BR$93)*$BQ$93+($I59-$BT$93)*$BS$93+($I59-$BV$93)*$BU$93+($I59-$BX$93)*$BW$93)*$CD59*$CE59,0)</f>
        <v>0</v>
      </c>
      <c r="CI59" s="527" t="n">
        <f aca="false">IF(YEAR($AJ59)=$CI$10,(($I59-$AL$94)*$AK$94+($I59-$AN$94)*$AM$94+($I59-$AP$94)*$AO$94+($I59-$AR$94)*$AQ$94+($I59-$AT$94)*$AS$94+($I59-$AV$94)*$AU$94+($I59-$AX$94)*$AW$94+($I59-$AZ$94)*$AY$94+($I59-$BB$94)*$BA$94+($I59-$BD$94)*$BC$94+($I59-$BF$94)*$BE$94+($I59-$BH$94)*$BG$94+($I59-$BJ$94)*$BI$94+($I59-$BL$94)*$BK$94+($I59-$BN$94)*$BM$94+($I59-$BP$94)*$BO$94+($I59-$BR$94)*$BQ$94+($I59-$BT$94)*$BS$94+($I59-$BV$94)*$BU$94+($I59-$BX$94)*$BW$94)*$CD59*$CE59,0)</f>
        <v>0</v>
      </c>
      <c r="CJ59" s="439" t="n">
        <f aca="false">CC59*CD59</f>
        <v>0</v>
      </c>
      <c r="CM59" s="530" t="n">
        <f aca="false">+CL15*CF59/10000</f>
        <v>0</v>
      </c>
      <c r="DJ59" s="532" t="n">
        <f aca="false">[1]Cinergy!$D81</f>
        <v>38596</v>
      </c>
      <c r="DK59" s="440" t="n">
        <f aca="false">VLOOKUP(DJ59,$DL$50:$DM$291,2)</f>
        <v>21</v>
      </c>
      <c r="DL59" s="533" t="n">
        <v>37165</v>
      </c>
      <c r="DM59" s="459" t="n">
        <v>23</v>
      </c>
      <c r="DP59" s="534" t="n">
        <f aca="false">[1]Cinergy!$D50</f>
        <v>37653</v>
      </c>
      <c r="DQ59" s="234" t="n">
        <f aca="false">[1]OPPD_NPPD!$O50+[1]NSP!$O50</f>
        <v>0</v>
      </c>
      <c r="DR59" s="234" t="n">
        <f aca="false">[1]COMED!$O50</f>
        <v>-226219.296875</v>
      </c>
      <c r="DS59" s="234" t="n">
        <f aca="false">DQ59+DR59</f>
        <v>-226219.296875</v>
      </c>
      <c r="DT59" s="234" t="n">
        <f aca="false">SUM([1]OPPD_NPPD!$P50:$R50)+SUM([1]NSP!$P50:$R50)</f>
        <v>0</v>
      </c>
      <c r="DU59" s="234" t="n">
        <f aca="false">SUM([1]COMED!$P50:$R50)</f>
        <v>0</v>
      </c>
      <c r="DV59" s="234" t="n">
        <f aca="false">DT59+DU59</f>
        <v>0</v>
      </c>
      <c r="DW59" s="535"/>
      <c r="DX59" s="536" t="n">
        <f aca="false">[1]OtherPosn!$D50</f>
        <v>37530</v>
      </c>
      <c r="DY59" s="234" t="n">
        <f aca="false">[1]OtherPosn!$N50</f>
        <v>0</v>
      </c>
      <c r="DZ59" s="234" t="n">
        <f aca="false">SUM([1]OtherPosn!$O50:$P50)</f>
        <v>0</v>
      </c>
      <c r="EO59" s="532" t="n">
        <f aca="false">EO15</f>
        <v>37257</v>
      </c>
      <c r="EP59" s="234" t="n">
        <f aca="false">EP15</f>
        <v>22</v>
      </c>
      <c r="EQ59" s="473" t="n">
        <f aca="false">O58*$EP59</f>
        <v>555.5</v>
      </c>
      <c r="ER59" s="473" t="n">
        <f aca="false">P58*$EP59</f>
        <v>555.5</v>
      </c>
      <c r="ES59" s="439" t="n">
        <f aca="false">IF(YEAR($EO59)=1999,EP59,0)</f>
        <v>0</v>
      </c>
      <c r="ET59" s="439" t="n">
        <f aca="false">IF(YEAR($EO59)=1999,EQ59,0)</f>
        <v>0</v>
      </c>
      <c r="EU59" s="439" t="n">
        <f aca="false">IF(YEAR($EO59)=1999,ER59,0)</f>
        <v>0</v>
      </c>
    </row>
    <row r="60" customFormat="false" ht="18.75" hidden="false" customHeight="false" outlineLevel="0" collapsed="false">
      <c r="A60" s="95" t="n">
        <f aca="false">[1]COMED!$D38</f>
        <v>37288</v>
      </c>
      <c r="B60" s="122" t="n">
        <f aca="false">[1]COMED!$O38</f>
        <v>-383171.78125</v>
      </c>
      <c r="C60" s="163" t="n">
        <f aca="false">B60/(CE60*CD60)</f>
        <v>-1220.03058736007</v>
      </c>
      <c r="D60" s="496" t="n">
        <f aca="false">BY60+IF(YEAR(A60)=$T$20,$BY$92,0)+IF(YEAR(A60)=$T$21,$BY$93,0)+IF(YEAR(A60)=$T$22,$BY$94,0)</f>
        <v>0</v>
      </c>
      <c r="E60" s="163" t="n">
        <f aca="false">B60+(D60*CD60*CE60)</f>
        <v>-383171.78125</v>
      </c>
      <c r="F60" s="497" t="n">
        <f aca="false">C60+D60</f>
        <v>-1220.03058736007</v>
      </c>
      <c r="G60" s="498" t="n">
        <f aca="false">[1]COMED!$E38</f>
        <v>27.9666652679443</v>
      </c>
      <c r="H60" s="498" t="n">
        <f aca="false">IF($R$53,R60,Q60)</f>
        <v>-0.250000181652251</v>
      </c>
      <c r="I60" s="499" t="n">
        <f aca="false">G60+H60</f>
        <v>27.7166650862921</v>
      </c>
      <c r="J60" s="122" t="n">
        <f aca="false">H60*B60</f>
        <v>95793.0149165164</v>
      </c>
      <c r="K60" s="123" t="n">
        <f aca="false">(((I60-AL60)*AK60+(I60-AN60)*AM60+(I60-AP60)*AO60+(I60-AR60)*AQ60+(I60-AT60)*AS60+(I60-AV60)*AU60+(I60-AX60)*AW60+(I60-AZ60)*AY60+(I60-BB60)*BA60+(I60-BD60)*BC60+(I60-BF60)*BE60+(I60-BH60)*BG60+(I60-BJ60)*BI60+(I60-BL60)*BK60+(I60-BN60)*BM60+(I60-BP60)*BO60+(I60-BR60)*BQ60+(I60-BT60)*BS60+(I60-BV60)*BU60+(I60-BX60)*BW60)*CD60*CE60)+CG60+CH60+CI60</f>
        <v>0</v>
      </c>
      <c r="L60" s="123" t="n">
        <f aca="false">J60+K60</f>
        <v>95793.0149165164</v>
      </c>
      <c r="M60" s="46"/>
      <c r="N60" s="500" t="n">
        <f aca="false">A60</f>
        <v>37288</v>
      </c>
      <c r="O60" s="501" t="n">
        <v>25.25</v>
      </c>
      <c r="P60" s="501" t="n">
        <v>25.25</v>
      </c>
      <c r="Q60" s="502" t="n">
        <f aca="false">AVERAGE(O60:P60)-G60</f>
        <v>-2.71666526794434</v>
      </c>
      <c r="R60" s="677" t="n">
        <f aca="false">TradeSum!R16</f>
        <v>-0.250000181652251</v>
      </c>
      <c r="S60" s="679" t="n">
        <f aca="false">I60</f>
        <v>27.7166650862921</v>
      </c>
      <c r="T60" s="505" t="n">
        <f aca="false">IF(U59=4,T59+1,T59)</f>
        <v>2002</v>
      </c>
      <c r="U60" s="506" t="n">
        <f aca="false">IF(U59=4,1,U59+1)</f>
        <v>4</v>
      </c>
      <c r="V60" s="547" t="str">
        <f aca="false">"Q"&amp;U60&amp;" "&amp;T60</f>
        <v>Q4 2002</v>
      </c>
      <c r="W60" s="508" t="n">
        <f aca="false" t="array" ref="W60:W60">SUM(IF((INT((MONTH($A$56:$A$91)-1)/3)=U60-1)*(YEAR($A$56:$A$91)=T60),$I$56:$I$91*$DK$12:$DK$47))/SUM(IF((INT((MONTH($A$56:$A$91)-1)/3)=U60-1)*(YEAR($A$56:$A$91)=T60),$DK$12:$DK$47))</f>
        <v>28.4499976634979</v>
      </c>
      <c r="X60" s="544" t="n">
        <f aca="false" t="array" ref="X60:X60">AVERAGE(IF((INT((MONTH($A$56:$A$91)-1)/3)=U60-1)*(YEAR($A$56:$A$91)=T60),$I$56:$I$91))</f>
        <v>28.4562476376692</v>
      </c>
      <c r="Y60" s="548" t="n">
        <f aca="false">W60-$W$12</f>
        <v>1.93359141349792</v>
      </c>
      <c r="Z60" s="548" t="n">
        <f aca="false">W60-$W$13</f>
        <v>-0.223258020341856</v>
      </c>
      <c r="AA60" s="548" t="n">
        <f aca="false">W60-$W$14</f>
        <v>-4.71929752272229</v>
      </c>
      <c r="AB60" s="548" t="n">
        <f aca="false">W60-$W$15</f>
        <v>-18.1046898365021</v>
      </c>
      <c r="AC60" s="510" t="n">
        <v>0</v>
      </c>
      <c r="AD60" s="511"/>
      <c r="AE60" s="511"/>
      <c r="AF60" s="511"/>
      <c r="AG60" s="511"/>
      <c r="AH60" s="511"/>
      <c r="AI60" s="511"/>
      <c r="AJ60" s="512" t="n">
        <f aca="false">A60</f>
        <v>37288</v>
      </c>
      <c r="AK60" s="513" t="n">
        <f aca="false">+AK59</f>
        <v>0</v>
      </c>
      <c r="AL60" s="514" t="n">
        <f aca="false">+AL59</f>
        <v>0</v>
      </c>
      <c r="AM60" s="513" t="n">
        <f aca="false">+AM59</f>
        <v>0</v>
      </c>
      <c r="AN60" s="514" t="n">
        <f aca="false">+AN59</f>
        <v>0</v>
      </c>
      <c r="AO60" s="513" t="n">
        <f aca="false">+AO59</f>
        <v>0</v>
      </c>
      <c r="AP60" s="514" t="n">
        <f aca="false">+AP59</f>
        <v>0</v>
      </c>
      <c r="AQ60" s="513" t="n">
        <f aca="false">+AQ59</f>
        <v>0</v>
      </c>
      <c r="AR60" s="514" t="n">
        <f aca="false">+AR59</f>
        <v>0</v>
      </c>
      <c r="AS60" s="515"/>
      <c r="AT60" s="516"/>
      <c r="AU60" s="550" t="n">
        <f aca="false">+AU59</f>
        <v>0</v>
      </c>
      <c r="AV60" s="551" t="n">
        <f aca="false">+AV59</f>
        <v>0</v>
      </c>
      <c r="AW60" s="550" t="n">
        <f aca="false">+AW59</f>
        <v>0</v>
      </c>
      <c r="AX60" s="551" t="n">
        <f aca="false">+AX59</f>
        <v>0</v>
      </c>
      <c r="AY60" s="513"/>
      <c r="AZ60" s="514"/>
      <c r="BA60" s="513"/>
      <c r="BB60" s="514"/>
      <c r="BC60" s="513"/>
      <c r="BD60" s="514"/>
      <c r="BE60" s="513"/>
      <c r="BF60" s="514"/>
      <c r="BG60" s="513"/>
      <c r="BH60" s="514"/>
      <c r="BI60" s="520"/>
      <c r="BJ60" s="517"/>
      <c r="BK60" s="520"/>
      <c r="BL60" s="517"/>
      <c r="BM60" s="520"/>
      <c r="BN60" s="517"/>
      <c r="BO60" s="520"/>
      <c r="BP60" s="517"/>
      <c r="BQ60" s="520"/>
      <c r="BR60" s="517"/>
      <c r="BS60" s="520"/>
      <c r="BT60" s="517"/>
      <c r="BU60" s="520"/>
      <c r="BV60" s="517"/>
      <c r="BW60" s="520"/>
      <c r="BX60" s="517"/>
      <c r="BY60" s="556" t="n">
        <f aca="false">AK60+AM60+AO60+AQ60+AS60+AU60+AW60+AY60+BA60+BC60+BE60+BG60+BI60+BK60+BM60+BO60+BQ60+BS60+BU60+BW60</f>
        <v>0</v>
      </c>
      <c r="BZ60" s="524" t="n">
        <f aca="false">IF(AND(BY60=0,CC60=0),0,(ABS(AK60)*AL60+ABS(AM60)*AN60+ABS(AO60)*AP60+ABS(AQ60)*AR60+ABS(AS60)*AT60+ABS(AU60)*AV60+ABS(AW60)*AX60+ABS(AY60)*AZ60+ABS(BA60)*BB60+ABS(BC60)*BD60+ABS(BE60)*BF60+ABS(BG60)*BH60+ABS(BI60)*BJ60+ABS(BK60)*BL60+ABS(BM60)*BN60+ABS(BO60)*BP60+ABS(BQ60)*BR60+ABS(BS60)*BT60+ABS(BU60)*BV60+ABS(BW60)*BX60)/CC60)</f>
        <v>0</v>
      </c>
      <c r="CA60" s="222"/>
      <c r="CB60" s="525" t="n">
        <f aca="false">AJ60</f>
        <v>37288</v>
      </c>
      <c r="CC60" s="222" t="n">
        <f aca="false">ABS(AK60)+ABS(AM60)+ABS(AO60)+ABS(AQ60)+ABS(AS60)+ABS(AU60)+ABS(AW60)+ABS(AY60)+ABS(BA60)+ABS(BC60)+ABS(BE60)+ABS(BG60)+ABS(BI60)+ABS(BK60)+ABS(BM60)+ABS(BO60)+ABS(BQ60)+ABS(BS60)+ABS(BU60)+ABS(BW60)</f>
        <v>0</v>
      </c>
      <c r="CD60" s="526" t="n">
        <f aca="false">CD16</f>
        <v>320</v>
      </c>
      <c r="CE60" s="222" t="n">
        <f aca="false">CE16</f>
        <v>0.981460488623682</v>
      </c>
      <c r="CF60" s="527" t="n">
        <f aca="false">E60-B60</f>
        <v>0</v>
      </c>
      <c r="CG60" s="527" t="n">
        <f aca="false">IF(YEAR($AJ60)=$CG$10,(($I60-$AL$92)*$AK$92+($I60-$AN$92)*$AM$92+($I60-$AP$92)*$AO$92+($I60-$AR$92)*$AQ$92+($I60-$AT$92)*$AS$92+($I60-$AV$92)*$AU$92+($I60-$AX$92)*$AW$92+($I60-$AZ$92)*$AY$92+($I60-$BB$92)*$BA$92+($I60-$BD$92)*$BC$92+($I60-$BF$92)*$BE$92+($I60-$BH$92)*$BG$92+($I60-$BJ$92)*$BI$92+($I60-$BL$92)*$BK$92+($I60-$BN$92)*$BM$92+($I60-$BP$92)*$BO$92+($I60-$BR$92)*$BQ$92+($I60-$BT$92)*$BS$92+($I60-$BV$92)*$BU$92+($I60-$BX$92)*$BW$92)*$CD60*$CE60,0)</f>
        <v>0</v>
      </c>
      <c r="CH60" s="527" t="n">
        <f aca="false">IF(YEAR($AJ60)=$CH$10,(($I60-$AL$93)*$AK$93+($I60-$AN$93)*$AM$93+($I60-$AP$93)*$AO$93+($I60-$AR$93)*$AQ$93+($I60-$AT$93)*$AS$93+($I60-$AV$93)*$AU$93+($I60-$AX$93)*$AW$93+($I60-$AZ$93)*$AY$93+($I60-$BB$93)*$BA$93+($I60-$BD$93)*$BC$93+($I60-$BF$93)*$BE$93+($I60-$BH$93)*$BG$93+($I60-$BJ$93)*$BI$93+($I60-$BL$93)*$BK$93+($I60-$BN$93)*$BM$93+($I60-$BP$93)*$BO$93+($I60-$BR$93)*$BQ$93+($I60-$BT$93)*$BS$93+($I60-$BV$93)*$BU$93+($I60-$BX$93)*$BW$93)*$CD60*$CE60,0)</f>
        <v>0</v>
      </c>
      <c r="CI60" s="527" t="n">
        <f aca="false">IF(YEAR($AJ60)=$CI$10,(($I60-$AL$94)*$AK$94+($I60-$AN$94)*$AM$94+($I60-$AP$94)*$AO$94+($I60-$AR$94)*$AQ$94+($I60-$AT$94)*$AS$94+($I60-$AV$94)*$AU$94+($I60-$AX$94)*$AW$94+($I60-$AZ$94)*$AY$94+($I60-$BB$94)*$BA$94+($I60-$BD$94)*$BC$94+($I60-$BF$94)*$BE$94+($I60-$BH$94)*$BG$94+($I60-$BJ$94)*$BI$94+($I60-$BL$94)*$BK$94+($I60-$BN$94)*$BM$94+($I60-$BP$94)*$BO$94+($I60-$BR$94)*$BQ$94+($I60-$BT$94)*$BS$94+($I60-$BV$94)*$BU$94+($I60-$BX$94)*$BW$94)*$CD60*$CE60,0)</f>
        <v>0</v>
      </c>
      <c r="CJ60" s="439" t="n">
        <f aca="false">CC60*CD60</f>
        <v>0</v>
      </c>
      <c r="CM60" s="530" t="n">
        <f aca="false">+CL16*CF60/10000</f>
        <v>0</v>
      </c>
      <c r="DJ60" s="532" t="n">
        <f aca="false">[1]Cinergy!$D82</f>
        <v>38626</v>
      </c>
      <c r="DK60" s="440" t="n">
        <f aca="false">VLOOKUP(DJ60,$DL$50:$DM$291,2)</f>
        <v>21</v>
      </c>
      <c r="DL60" s="533" t="n">
        <v>37196</v>
      </c>
      <c r="DM60" s="459" t="n">
        <v>21</v>
      </c>
      <c r="DP60" s="534" t="n">
        <f aca="false">[1]Cinergy!$D51</f>
        <v>37681</v>
      </c>
      <c r="DQ60" s="234" t="n">
        <f aca="false">[1]OPPD_NPPD!$O51+[1]NSP!$O51</f>
        <v>0</v>
      </c>
      <c r="DR60" s="234" t="n">
        <f aca="false">[1]COMED!$O51</f>
        <v>-189259.765625</v>
      </c>
      <c r="DS60" s="234" t="n">
        <f aca="false">DQ60+DR60</f>
        <v>-189259.765625</v>
      </c>
      <c r="DT60" s="234" t="n">
        <f aca="false">SUM([1]OPPD_NPPD!$P51:$R51)+SUM([1]NSP!$P51:$R51)</f>
        <v>0</v>
      </c>
      <c r="DU60" s="234" t="n">
        <f aca="false">SUM([1]COMED!$P51:$R51)</f>
        <v>0</v>
      </c>
      <c r="DV60" s="234" t="n">
        <f aca="false">DT60+DU60</f>
        <v>0</v>
      </c>
      <c r="DW60" s="535"/>
      <c r="DX60" s="536" t="n">
        <f aca="false">[1]OtherPosn!$D51</f>
        <v>37561</v>
      </c>
      <c r="DY60" s="234" t="n">
        <f aca="false">[1]OtherPosn!$N51</f>
        <v>0</v>
      </c>
      <c r="DZ60" s="234" t="n">
        <f aca="false">SUM([1]OtherPosn!$O51:$P51)</f>
        <v>0</v>
      </c>
      <c r="EO60" s="532" t="n">
        <f aca="false">EO16</f>
        <v>37288</v>
      </c>
      <c r="EP60" s="234" t="n">
        <f aca="false">EP16</f>
        <v>20</v>
      </c>
      <c r="EQ60" s="473" t="n">
        <f aca="false">O59*$EP60</f>
        <v>505</v>
      </c>
      <c r="ER60" s="473" t="n">
        <f aca="false">P59*$EP60</f>
        <v>505</v>
      </c>
      <c r="ES60" s="439" t="n">
        <f aca="false">IF(YEAR($EO60)=1999,EP60,0)</f>
        <v>0</v>
      </c>
      <c r="ET60" s="439" t="n">
        <f aca="false">IF(YEAR($EO60)=1999,EQ60,0)</f>
        <v>0</v>
      </c>
      <c r="EU60" s="439" t="n">
        <f aca="false">IF(YEAR($EO60)=1999,ER60,0)</f>
        <v>0</v>
      </c>
    </row>
    <row r="61" customFormat="false" ht="21" hidden="false" customHeight="true" outlineLevel="0" collapsed="false">
      <c r="A61" s="537" t="n">
        <f aca="false">[1]COMED!$D39</f>
        <v>37316</v>
      </c>
      <c r="B61" s="180" t="n">
        <f aca="false">[1]COMED!$O39</f>
        <v>-55894.4921875</v>
      </c>
      <c r="C61" s="538" t="n">
        <f aca="false">B61/(CE61*CD61)</f>
        <v>-169.994914301451</v>
      </c>
      <c r="D61" s="538" t="n">
        <f aca="false">BY61+IF(YEAR(A61)=$T$20,$BY$92,0)+IF(YEAR(A61)=$T$21,$BY$93,0)+IF(YEAR(A61)=$T$22,$BY$94,0)</f>
        <v>0</v>
      </c>
      <c r="E61" s="160" t="n">
        <f aca="false">B61+(D61*CD61*CE61)</f>
        <v>-55894.4921875</v>
      </c>
      <c r="F61" s="539" t="n">
        <f aca="false">C61+D61</f>
        <v>-169.994914301451</v>
      </c>
      <c r="G61" s="540" t="n">
        <f aca="false">[1]COMED!$E39</f>
        <v>26.669771194458</v>
      </c>
      <c r="H61" s="498" t="n">
        <f aca="false">IF($R$53,R61,Q61)</f>
        <v>-0.25000070971112</v>
      </c>
      <c r="I61" s="541" t="n">
        <f aca="false">G61+H61</f>
        <v>26.4197704847469</v>
      </c>
      <c r="J61" s="160" t="n">
        <f aca="false">H61*B61</f>
        <v>13973.6627158177</v>
      </c>
      <c r="K61" s="114" t="n">
        <f aca="false">(((I61-AL61)*AK61+(I61-AN61)*AM61+(I61-AP61)*AO61+(I61-AR61)*AQ61+(I61-AT61)*AS61+(I61-AV61)*AU61+(I61-AX61)*AW61+(I61-AZ61)*AY61+(I61-BB61)*BA61+(I61-BD61)*BC61+(I61-BF61)*BE61+(I61-BH61)*BG61+(I61-BJ61)*BI61+(I61-BL61)*BK61+(I61-BN61)*BM61+(I61-BP61)*BO61+(I61-BR61)*BQ61+(I61-BT61)*BS61+(I61-BV61)*BU61+(I61-BX61)*BW61)*CD61*CE61)+CG61+CH61+CI61</f>
        <v>0</v>
      </c>
      <c r="L61" s="114" t="n">
        <f aca="false">J61+K61</f>
        <v>13973.6627158177</v>
      </c>
      <c r="M61" s="46"/>
      <c r="N61" s="500" t="n">
        <f aca="false">A61</f>
        <v>37316</v>
      </c>
      <c r="O61" s="501" t="n">
        <v>30.5</v>
      </c>
      <c r="P61" s="501" t="n">
        <v>30.5</v>
      </c>
      <c r="Q61" s="502" t="n">
        <f aca="false">AVERAGE(O61:P61)-G61</f>
        <v>3.83022880554199</v>
      </c>
      <c r="R61" s="677" t="n">
        <f aca="false">TradeSum!R17</f>
        <v>-0.25000070971112</v>
      </c>
      <c r="S61" s="679" t="n">
        <f aca="false">I61</f>
        <v>26.4197704847469</v>
      </c>
      <c r="T61" s="505" t="n">
        <f aca="false">IF(U60=4,T60+1,T60)</f>
        <v>2003</v>
      </c>
      <c r="U61" s="506" t="n">
        <f aca="false">IF(U60=4,1,U60+1)</f>
        <v>1</v>
      </c>
      <c r="V61" s="543" t="str">
        <f aca="false">"Q"&amp;U61&amp;" "&amp;T61</f>
        <v>Q1 2003</v>
      </c>
      <c r="W61" s="508" t="n">
        <f aca="false" t="array" ref="W61:W61">SUM(IF((INT((MONTH($A$56:$A$91)-1)/3)=U61-1)*(YEAR($A$56:$A$91)=T61),$I$56:$I$91*$DK$12:$DK$47))/SUM(IF((INT((MONTH($A$56:$A$91)-1)/3)=U61-1)*(YEAR($A$56:$A$91)=T61),$DK$12:$DK$47))</f>
        <v>28.6318569521307</v>
      </c>
      <c r="X61" s="544" t="n">
        <f aca="false" t="array" ref="X61:X61">AVERAGE(IF((INT((MONTH($A$56:$A$91)-1)/3)=U61-1)*(YEAR($A$56:$A$91)=T61),$I$56:$I$91))</f>
        <v>28.6223646532173</v>
      </c>
      <c r="Y61" s="545" t="n">
        <f aca="false">W61-$W$12</f>
        <v>2.11545070213073</v>
      </c>
      <c r="Z61" s="545" t="n">
        <f aca="false">W61-$W$13</f>
        <v>-0.0413987317090516</v>
      </c>
      <c r="AA61" s="545" t="n">
        <f aca="false">W61-$W$14</f>
        <v>-4.53743823408948</v>
      </c>
      <c r="AB61" s="545" t="n">
        <f aca="false">W61-$W$15</f>
        <v>-17.9228305478693</v>
      </c>
      <c r="AC61" s="545" t="n">
        <f aca="false">W61-$W$16</f>
        <v>-0.368143047869271</v>
      </c>
      <c r="AD61" s="546" t="n">
        <v>0</v>
      </c>
      <c r="AE61" s="511"/>
      <c r="AF61" s="511"/>
      <c r="AG61" s="511"/>
      <c r="AH61" s="511"/>
      <c r="AI61" s="511"/>
      <c r="AJ61" s="512" t="n">
        <f aca="false">A61</f>
        <v>37316</v>
      </c>
      <c r="AK61" s="513"/>
      <c r="AL61" s="514"/>
      <c r="AM61" s="513"/>
      <c r="AN61" s="514"/>
      <c r="AO61" s="513"/>
      <c r="AP61" s="514"/>
      <c r="AQ61" s="513"/>
      <c r="AR61" s="514"/>
      <c r="AS61" s="515"/>
      <c r="AT61" s="516"/>
      <c r="AU61" s="550" t="n">
        <f aca="false">+AU60</f>
        <v>0</v>
      </c>
      <c r="AV61" s="551" t="n">
        <f aca="false">+AV60</f>
        <v>0</v>
      </c>
      <c r="AW61" s="550" t="n">
        <f aca="false">+AW60</f>
        <v>0</v>
      </c>
      <c r="AX61" s="551" t="n">
        <f aca="false">+AX60</f>
        <v>0</v>
      </c>
      <c r="AY61" s="550"/>
      <c r="AZ61" s="551"/>
      <c r="BA61" s="550"/>
      <c r="BB61" s="551"/>
      <c r="BC61" s="513"/>
      <c r="BD61" s="514"/>
      <c r="BE61" s="513"/>
      <c r="BF61" s="514"/>
      <c r="BG61" s="513"/>
      <c r="BH61" s="514"/>
      <c r="BI61" s="513"/>
      <c r="BJ61" s="517"/>
      <c r="BK61" s="520"/>
      <c r="BL61" s="517"/>
      <c r="BM61" s="520"/>
      <c r="BN61" s="517"/>
      <c r="BO61" s="520"/>
      <c r="BP61" s="517"/>
      <c r="BQ61" s="520"/>
      <c r="BR61" s="517"/>
      <c r="BS61" s="520"/>
      <c r="BT61" s="517"/>
      <c r="BU61" s="520"/>
      <c r="BV61" s="517"/>
      <c r="BW61" s="520"/>
      <c r="BX61" s="517"/>
      <c r="BY61" s="556" t="n">
        <f aca="false">AK61+AM61+AO61+AQ61+AS61+AU61+AW61+AY61+BA61+BC61+BE61+BG61+BI61+BK61+BM61+BO61+BQ61+BS61+BU61+BW61</f>
        <v>0</v>
      </c>
      <c r="BZ61" s="524" t="n">
        <f aca="false">IF(AND(BY61=0,CC61=0),0,(ABS(AK61)*AL61+ABS(AM61)*AN61+ABS(AO61)*AP61+ABS(AQ61)*AR61+ABS(AS61)*AT61+ABS(AU61)*AV61+ABS(AW61)*AX61+ABS(AY61)*AZ61+ABS(BA61)*BB61+ABS(BC61)*BD61+ABS(BE61)*BF61+ABS(BG61)*BH61+ABS(BI61)*BJ61+ABS(BK61)*BL61+ABS(BM61)*BN61+ABS(BO61)*BP61+ABS(BQ61)*BR61+ABS(BS61)*BT61+ABS(BU61)*BV61+ABS(BW61)*BX61)/CC61)</f>
        <v>0</v>
      </c>
      <c r="CA61" s="222"/>
      <c r="CB61" s="525" t="n">
        <f aca="false">AJ61</f>
        <v>37316</v>
      </c>
      <c r="CC61" s="222" t="n">
        <f aca="false">ABS(AK61)+ABS(AM61)+ABS(AO61)+ABS(AQ61)+ABS(AS61)+ABS(AU61)+ABS(AW61)+ABS(AY61)+ABS(BA61)+ABS(BC61)+ABS(BE61)+ABS(BG61)+ABS(BI61)+ABS(BK61)+ABS(BM61)+ABS(BO61)+ABS(BQ61)+ABS(BS61)+ABS(BU61)+ABS(BW61)</f>
        <v>0</v>
      </c>
      <c r="CD61" s="526" t="n">
        <f aca="false">CD17</f>
        <v>336</v>
      </c>
      <c r="CE61" s="222" t="n">
        <f aca="false">CE17</f>
        <v>0.978574306199235</v>
      </c>
      <c r="CF61" s="527" t="n">
        <f aca="false">E61-B61</f>
        <v>0</v>
      </c>
      <c r="CG61" s="527" t="n">
        <f aca="false">IF(YEAR($AJ61)=$CG$10,(($I61-$AL$92)*$AK$92+($I61-$AN$92)*$AM$92+($I61-$AP$92)*$AO$92+($I61-$AR$92)*$AQ$92+($I61-$AT$92)*$AS$92+($I61-$AV$92)*$AU$92+($I61-$AX$92)*$AW$92+($I61-$AZ$92)*$AY$92+($I61-$BB$92)*$BA$92+($I61-$BD$92)*$BC$92+($I61-$BF$92)*$BE$92+($I61-$BH$92)*$BG$92+($I61-$BJ$92)*$BI$92+($I61-$BL$92)*$BK$92+($I61-$BN$92)*$BM$92+($I61-$BP$92)*$BO$92+($I61-$BR$92)*$BQ$92+($I61-$BT$92)*$BS$92+($I61-$BV$92)*$BU$92+($I61-$BX$92)*$BW$92)*$CD61*$CE61,0)</f>
        <v>0</v>
      </c>
      <c r="CH61" s="527" t="n">
        <f aca="false">IF(YEAR($AJ61)=$CH$10,(($I61-$AL$93)*$AK$93+($I61-$AN$93)*$AM$93+($I61-$AP$93)*$AO$93+($I61-$AR$93)*$AQ$93+($I61-$AT$93)*$AS$93+($I61-$AV$93)*$AU$93+($I61-$AX$93)*$AW$93+($I61-$AZ$93)*$AY$93+($I61-$BB$93)*$BA$93+($I61-$BD$93)*$BC$93+($I61-$BF$93)*$BE$93+($I61-$BH$93)*$BG$93+($I61-$BJ$93)*$BI$93+($I61-$BL$93)*$BK$93+($I61-$BN$93)*$BM$93+($I61-$BP$93)*$BO$93+($I61-$BR$93)*$BQ$93+($I61-$BT$93)*$BS$93+($I61-$BV$93)*$BU$93+($I61-$BX$93)*$BW$93)*$CD61*$CE61,0)</f>
        <v>0</v>
      </c>
      <c r="CI61" s="527" t="n">
        <f aca="false">IF(YEAR($AJ61)=$CI$10,(($I61-$AL$94)*$AK$94+($I61-$AN$94)*$AM$94+($I61-$AP$94)*$AO$94+($I61-$AR$94)*$AQ$94+($I61-$AT$94)*$AS$94+($I61-$AV$94)*$AU$94+($I61-$AX$94)*$AW$94+($I61-$AZ$94)*$AY$94+($I61-$BB$94)*$BA$94+($I61-$BD$94)*$BC$94+($I61-$BF$94)*$BE$94+($I61-$BH$94)*$BG$94+($I61-$BJ$94)*$BI$94+($I61-$BL$94)*$BK$94+($I61-$BN$94)*$BM$94+($I61-$BP$94)*$BO$94+($I61-$BR$94)*$BQ$94+($I61-$BT$94)*$BS$94+($I61-$BV$94)*$BU$94+($I61-$BX$94)*$BW$94)*$CD61*$CE61,0)</f>
        <v>0</v>
      </c>
      <c r="CJ61" s="439" t="n">
        <f aca="false">CC61*CD61</f>
        <v>0</v>
      </c>
      <c r="CM61" s="530" t="n">
        <f aca="false">+CL17*CF61/10000</f>
        <v>0</v>
      </c>
      <c r="DJ61" s="532" t="n">
        <f aca="false">[1]Cinergy!$D83</f>
        <v>38657</v>
      </c>
      <c r="DK61" s="440" t="n">
        <f aca="false">VLOOKUP(DJ61,$DL$50:$DM$291,2)</f>
        <v>21</v>
      </c>
      <c r="DL61" s="533" t="n">
        <v>37226</v>
      </c>
      <c r="DM61" s="459" t="n">
        <v>20</v>
      </c>
      <c r="DP61" s="534" t="n">
        <f aca="false">[1]Cinergy!$D52</f>
        <v>37712</v>
      </c>
      <c r="DQ61" s="234" t="n">
        <f aca="false">[1]OPPD_NPPD!$O52+[1]NSP!$O52</f>
        <v>0</v>
      </c>
      <c r="DR61" s="234" t="n">
        <f aca="false">[1]COMED!$O52</f>
        <v>-197487.5625</v>
      </c>
      <c r="DS61" s="234" t="n">
        <f aca="false">DQ61+DR61</f>
        <v>-197487.5625</v>
      </c>
      <c r="DT61" s="234" t="n">
        <f aca="false">SUM([1]OPPD_NPPD!$P52:$R52)+SUM([1]NSP!$P52:$R52)</f>
        <v>0</v>
      </c>
      <c r="DU61" s="234" t="n">
        <f aca="false">SUM([1]COMED!$P52:$R52)</f>
        <v>0</v>
      </c>
      <c r="DV61" s="234" t="n">
        <f aca="false">DT61+DU61</f>
        <v>0</v>
      </c>
      <c r="DW61" s="535"/>
      <c r="DX61" s="536" t="n">
        <f aca="false">[1]OtherPosn!$D52</f>
        <v>37591</v>
      </c>
      <c r="DY61" s="234" t="n">
        <f aca="false">[1]OtherPosn!$N52</f>
        <v>0</v>
      </c>
      <c r="DZ61" s="234" t="n">
        <f aca="false">SUM([1]OtherPosn!$O52:$P52)</f>
        <v>0</v>
      </c>
      <c r="EO61" s="532" t="n">
        <f aca="false">EO17</f>
        <v>37316</v>
      </c>
      <c r="EP61" s="234" t="n">
        <f aca="false">EP17</f>
        <v>21</v>
      </c>
      <c r="EQ61" s="473" t="n">
        <f aca="false">O60*$EP61</f>
        <v>530.25</v>
      </c>
      <c r="ER61" s="473" t="n">
        <f aca="false">P60*$EP61</f>
        <v>530.25</v>
      </c>
      <c r="ES61" s="439" t="n">
        <f aca="false">IF(YEAR($EO61)=1999,EP61,0)</f>
        <v>0</v>
      </c>
      <c r="ET61" s="439" t="n">
        <f aca="false">IF(YEAR($EO61)=1999,EQ61,0)</f>
        <v>0</v>
      </c>
      <c r="EU61" s="439" t="n">
        <f aca="false">IF(YEAR($EO61)=1999,ER61,0)</f>
        <v>0</v>
      </c>
    </row>
    <row r="62" customFormat="false" ht="18.75" hidden="false" customHeight="false" outlineLevel="0" collapsed="false">
      <c r="A62" s="95" t="n">
        <f aca="false">[1]COMED!$D40</f>
        <v>37347</v>
      </c>
      <c r="B62" s="122" t="n">
        <f aca="false">[1]COMED!$O40</f>
        <v>-58384.8203125</v>
      </c>
      <c r="C62" s="163" t="n">
        <f aca="false">B62/(CE62*CD62)</f>
        <v>-169.985861096843</v>
      </c>
      <c r="D62" s="496" t="n">
        <f aca="false">BY62+IF(YEAR(A62)=$T$20,$BY$92,0)+IF(YEAR(A62)=$T$21,$BY$93,0)+IF(YEAR(A62)=$T$22,$BY$94,0)</f>
        <v>0</v>
      </c>
      <c r="E62" s="163" t="n">
        <f aca="false">B62+(D62*CD62*CE62)</f>
        <v>-58384.8203125</v>
      </c>
      <c r="F62" s="497" t="n">
        <f aca="false">C62+D62</f>
        <v>-169.985861096843</v>
      </c>
      <c r="G62" s="498" t="n">
        <f aca="false">[1]COMED!$E40</f>
        <v>27.1197681427002</v>
      </c>
      <c r="H62" s="498" t="n">
        <f aca="false">IF($R$53,R62,Q62)</f>
        <v>-0.25000070971112</v>
      </c>
      <c r="I62" s="499" t="n">
        <f aca="false">G62+H62</f>
        <v>26.8697674329891</v>
      </c>
      <c r="J62" s="122" t="n">
        <f aca="false">H62*B62</f>
        <v>14596.2465144812</v>
      </c>
      <c r="K62" s="123" t="n">
        <f aca="false">(((I62-AL62)*AK62+(I62-AN62)*AM62+(I62-AP62)*AO62+(I62-AR62)*AQ62+(I62-AT62)*AS62+(I62-AV62)*AU62+(I62-AX62)*AW62+(I62-AZ62)*AY62+(I62-BB62)*BA62+(I62-BD62)*BC62+(I62-BF62)*BE62+(I62-BH62)*BG62+(I62-BJ62)*BI62+(I62-BL62)*BK62+(I62-BN62)*BM62+(I62-BP62)*BO62+(I62-BR62)*BQ62+(I62-BT62)*BS62+(I62-BV62)*BU62+(I62-BX62)*BW62)*CD62*CE62)+CG62+CH62+CI62</f>
        <v>0</v>
      </c>
      <c r="L62" s="123" t="n">
        <f aca="false">J62+K62</f>
        <v>14596.2465144812</v>
      </c>
      <c r="M62" s="46"/>
      <c r="N62" s="500" t="n">
        <f aca="false">A62</f>
        <v>37347</v>
      </c>
      <c r="O62" s="501" t="n">
        <v>28.5</v>
      </c>
      <c r="P62" s="501" t="n">
        <v>28.5</v>
      </c>
      <c r="Q62" s="502" t="n">
        <f aca="false">AVERAGE(O62:P62)-G62</f>
        <v>1.3802318572998</v>
      </c>
      <c r="R62" s="677" t="n">
        <f aca="false">TradeSum!R18</f>
        <v>-0.25000070971112</v>
      </c>
      <c r="S62" s="679" t="n">
        <f aca="false">I62</f>
        <v>26.8697674329891</v>
      </c>
      <c r="T62" s="505" t="n">
        <f aca="false">IF(U61=4,T61+1,T61)</f>
        <v>2003</v>
      </c>
      <c r="U62" s="506" t="n">
        <f aca="false">IF(U61=4,1,U61+1)</f>
        <v>2</v>
      </c>
      <c r="V62" s="547" t="str">
        <f aca="false">"Q"&amp;U62&amp;" "&amp;T62</f>
        <v>Q2 2003</v>
      </c>
      <c r="W62" s="508" t="n">
        <f aca="false" t="array" ref="W62:W62">SUM(IF((INT((MONTH($A$56:$A$91)-1)/3)=U62-1)*(YEAR($A$56:$A$91)=T62),$I$56:$I$91*$DK$12:$DK$47))/SUM(IF((INT((MONTH($A$56:$A$91)-1)/3)=U62-1)*(YEAR($A$56:$A$91)=T62),$DK$12:$DK$47))</f>
        <v>32.0730298424876</v>
      </c>
      <c r="X62" s="544" t="n">
        <f aca="false" t="array" ref="X62:X62">AVERAGE(IF((INT((MONTH($A$56:$A$91)-1)/3)=U62-1)*(YEAR($A$56:$A$91)=T62),$I$56:$I$91))</f>
        <v>32.140892516735</v>
      </c>
      <c r="Y62" s="548" t="n">
        <f aca="false">W62-$W$12</f>
        <v>5.5566235924876</v>
      </c>
      <c r="Z62" s="548" t="n">
        <f aca="false">W62-$W$13</f>
        <v>3.39977415864782</v>
      </c>
      <c r="AA62" s="548" t="n">
        <f aca="false">W62-$W$14</f>
        <v>-1.09626534373261</v>
      </c>
      <c r="AB62" s="548" t="n">
        <f aca="false">W62-$W$15</f>
        <v>-14.4816576575124</v>
      </c>
      <c r="AC62" s="548" t="n">
        <f aca="false">W62-$W$16</f>
        <v>3.0730298424876</v>
      </c>
      <c r="AD62" s="548" t="n">
        <f aca="false">W62-$W$17</f>
        <v>2.60713719859604</v>
      </c>
      <c r="AE62" s="510" t="n">
        <v>0</v>
      </c>
      <c r="AF62" s="511"/>
      <c r="AG62" s="511"/>
      <c r="AH62" s="511"/>
      <c r="AI62" s="511"/>
      <c r="AJ62" s="512" t="n">
        <f aca="false">A62</f>
        <v>37347</v>
      </c>
      <c r="AK62" s="513" t="n">
        <f aca="false">+AK61</f>
        <v>0</v>
      </c>
      <c r="AL62" s="514" t="n">
        <f aca="false">+AL61</f>
        <v>0</v>
      </c>
      <c r="AM62" s="513" t="n">
        <f aca="false">+AM61</f>
        <v>0</v>
      </c>
      <c r="AN62" s="514" t="n">
        <f aca="false">+AN61</f>
        <v>0</v>
      </c>
      <c r="AO62" s="513" t="n">
        <f aca="false">+AO61</f>
        <v>0</v>
      </c>
      <c r="AP62" s="514" t="n">
        <f aca="false">+AP61</f>
        <v>0</v>
      </c>
      <c r="AQ62" s="513" t="n">
        <f aca="false">+AQ61</f>
        <v>0</v>
      </c>
      <c r="AR62" s="514" t="n">
        <f aca="false">+AR61</f>
        <v>0</v>
      </c>
      <c r="AS62" s="515"/>
      <c r="AT62" s="516"/>
      <c r="AU62" s="550" t="n">
        <f aca="false">+AU61</f>
        <v>0</v>
      </c>
      <c r="AV62" s="551" t="n">
        <f aca="false">+AV61</f>
        <v>0</v>
      </c>
      <c r="AW62" s="550" t="n">
        <f aca="false">+AW61</f>
        <v>0</v>
      </c>
      <c r="AX62" s="551" t="n">
        <f aca="false">+AX61</f>
        <v>0</v>
      </c>
      <c r="AY62" s="550"/>
      <c r="AZ62" s="551"/>
      <c r="BA62" s="550"/>
      <c r="BB62" s="551"/>
      <c r="BC62" s="513"/>
      <c r="BD62" s="514"/>
      <c r="BE62" s="513"/>
      <c r="BF62" s="514"/>
      <c r="BG62" s="513"/>
      <c r="BH62" s="514"/>
      <c r="BI62" s="513"/>
      <c r="BJ62" s="517"/>
      <c r="BK62" s="520"/>
      <c r="BL62" s="517"/>
      <c r="BM62" s="520"/>
      <c r="BN62" s="517"/>
      <c r="BO62" s="520"/>
      <c r="BP62" s="517"/>
      <c r="BQ62" s="520"/>
      <c r="BR62" s="517"/>
      <c r="BS62" s="520"/>
      <c r="BT62" s="517"/>
      <c r="BU62" s="520"/>
      <c r="BV62" s="517"/>
      <c r="BW62" s="520"/>
      <c r="BX62" s="517"/>
      <c r="BY62" s="556" t="n">
        <f aca="false">AK62+AM62+AO62+AQ62+AS62+AU62+AW62+AY62+BA62+BC62+BE62+BG62+BI62+BK62+BM62+BO62+BQ62+BS62+BU62+BW62</f>
        <v>0</v>
      </c>
      <c r="BZ62" s="524" t="n">
        <f aca="false">IF(AND(BY62=0,CC62=0),0,(ABS(AK62)*AL62+ABS(AM62)*AN62+ABS(AO62)*AP62+ABS(AQ62)*AR62+ABS(AS62)*AT62+ABS(AU62)*AV62+ABS(AW62)*AX62+ABS(AY62)*AZ62+ABS(BA62)*BB62+ABS(BC62)*BD62+ABS(BE62)*BF62+ABS(BG62)*BH62+ABS(BI62)*BJ62+ABS(BK62)*BL62+ABS(BM62)*BN62+ABS(BO62)*BP62+ABS(BQ62)*BR62+ABS(BS62)*BT62+ABS(BU62)*BV62+ABS(BW62)*BX62)/CC62)</f>
        <v>0</v>
      </c>
      <c r="CA62" s="222"/>
      <c r="CB62" s="525" t="n">
        <f aca="false">AJ62</f>
        <v>37347</v>
      </c>
      <c r="CC62" s="222" t="n">
        <f aca="false">ABS(AK62)+ABS(AM62)+ABS(AO62)+ABS(AQ62)+ABS(AS62)+ABS(AU62)+ABS(AW62)+ABS(AY62)+ABS(BA62)+ABS(BC62)+ABS(BE62)+ABS(BG62)+ABS(BI62)+ABS(BK62)+ABS(BM62)+ABS(BO62)+ABS(BQ62)+ABS(BS62)+ABS(BU62)+ABS(BW62)</f>
        <v>0</v>
      </c>
      <c r="CD62" s="526" t="n">
        <f aca="false">CD18</f>
        <v>352</v>
      </c>
      <c r="CE62" s="222" t="n">
        <f aca="false">CE18</f>
        <v>0.975763311881444</v>
      </c>
      <c r="CF62" s="527" t="n">
        <f aca="false">E62-B62</f>
        <v>0</v>
      </c>
      <c r="CG62" s="527" t="n">
        <f aca="false">IF(YEAR($AJ62)=$CG$10,(($I62-$AL$92)*$AK$92+($I62-$AN$92)*$AM$92+($I62-$AP$92)*$AO$92+($I62-$AR$92)*$AQ$92+($I62-$AT$92)*$AS$92+($I62-$AV$92)*$AU$92+($I62-$AX$92)*$AW$92+($I62-$AZ$92)*$AY$92+($I62-$BB$92)*$BA$92+($I62-$BD$92)*$BC$92+($I62-$BF$92)*$BE$92+($I62-$BH$92)*$BG$92+($I62-$BJ$92)*$BI$92+($I62-$BL$92)*$BK$92+($I62-$BN$92)*$BM$92+($I62-$BP$92)*$BO$92+($I62-$BR$92)*$BQ$92+($I62-$BT$92)*$BS$92+($I62-$BV$92)*$BU$92+($I62-$BX$92)*$BW$92)*$CD62*$CE62,0)</f>
        <v>0</v>
      </c>
      <c r="CH62" s="527" t="n">
        <f aca="false">IF(YEAR($AJ62)=$CH$10,(($I62-$AL$93)*$AK$93+($I62-$AN$93)*$AM$93+($I62-$AP$93)*$AO$93+($I62-$AR$93)*$AQ$93+($I62-$AT$93)*$AS$93+($I62-$AV$93)*$AU$93+($I62-$AX$93)*$AW$93+($I62-$AZ$93)*$AY$93+($I62-$BB$93)*$BA$93+($I62-$BD$93)*$BC$93+($I62-$BF$93)*$BE$93+($I62-$BH$93)*$BG$93+($I62-$BJ$93)*$BI$93+($I62-$BL$93)*$BK$93+($I62-$BN$93)*$BM$93+($I62-$BP$93)*$BO$93+($I62-$BR$93)*$BQ$93+($I62-$BT$93)*$BS$93+($I62-$BV$93)*$BU$93+($I62-$BX$93)*$BW$93)*$CD62*$CE62,0)</f>
        <v>0</v>
      </c>
      <c r="CI62" s="527" t="n">
        <f aca="false">IF(YEAR($AJ62)=$CI$10,(($I62-$AL$94)*$AK$94+($I62-$AN$94)*$AM$94+($I62-$AP$94)*$AO$94+($I62-$AR$94)*$AQ$94+($I62-$AT$94)*$AS$94+($I62-$AV$94)*$AU$94+($I62-$AX$94)*$AW$94+($I62-$AZ$94)*$AY$94+($I62-$BB$94)*$BA$94+($I62-$BD$94)*$BC$94+($I62-$BF$94)*$BE$94+($I62-$BH$94)*$BG$94+($I62-$BJ$94)*$BI$94+($I62-$BL$94)*$BK$94+($I62-$BN$94)*$BM$94+($I62-$BP$94)*$BO$94+($I62-$BR$94)*$BQ$94+($I62-$BT$94)*$BS$94+($I62-$BV$94)*$BU$94+($I62-$BX$94)*$BW$94)*$CD62*$CE62,0)</f>
        <v>0</v>
      </c>
      <c r="CJ62" s="439" t="n">
        <f aca="false">CC62*CD62</f>
        <v>0</v>
      </c>
      <c r="CM62" s="530" t="n">
        <f aca="false">+CL18*CF62/10000</f>
        <v>0</v>
      </c>
      <c r="DJ62" s="532" t="n">
        <f aca="false">[1]Cinergy!$D84</f>
        <v>38687</v>
      </c>
      <c r="DK62" s="440" t="n">
        <f aca="false">VLOOKUP(DJ62,$DL$50:$DM$291,2)</f>
        <v>22</v>
      </c>
      <c r="DL62" s="533" t="n">
        <v>37257</v>
      </c>
      <c r="DM62" s="459" t="n">
        <v>22</v>
      </c>
      <c r="DP62" s="534" t="n">
        <f aca="false">[1]Cinergy!$D53</f>
        <v>37742</v>
      </c>
      <c r="DQ62" s="234" t="n">
        <f aca="false">[1]OPPD_NPPD!$O53+[1]NSP!$O53</f>
        <v>0</v>
      </c>
      <c r="DR62" s="234" t="n">
        <f aca="false">[1]COMED!$O53</f>
        <v>-187725.765625</v>
      </c>
      <c r="DS62" s="234" t="n">
        <f aca="false">DQ62+DR62</f>
        <v>-187725.765625</v>
      </c>
      <c r="DT62" s="234" t="n">
        <f aca="false">SUM([1]OPPD_NPPD!$P53:$R53)+SUM([1]NSP!$P53:$R53)</f>
        <v>0</v>
      </c>
      <c r="DU62" s="234" t="n">
        <f aca="false">SUM([1]COMED!$P53:$R53)</f>
        <v>-372.471771240234</v>
      </c>
      <c r="DV62" s="234" t="n">
        <f aca="false">DT62+DU62</f>
        <v>-372.471771240234</v>
      </c>
      <c r="DW62" s="535"/>
      <c r="DX62" s="536" t="n">
        <f aca="false">[1]OtherPosn!$D53</f>
        <v>37622</v>
      </c>
      <c r="DY62" s="234" t="n">
        <f aca="false">[1]OtherPosn!$N53</f>
        <v>-16649.09765625</v>
      </c>
      <c r="DZ62" s="234" t="n">
        <f aca="false">SUM([1]OtherPosn!$O53:$P53)</f>
        <v>0</v>
      </c>
      <c r="EO62" s="532" t="n">
        <f aca="false">EO18</f>
        <v>37347</v>
      </c>
      <c r="EP62" s="234" t="n">
        <f aca="false">EP18</f>
        <v>22</v>
      </c>
      <c r="EQ62" s="473" t="n">
        <f aca="false">O61*$EP62</f>
        <v>671</v>
      </c>
      <c r="ER62" s="473" t="n">
        <f aca="false">P61*$EP62</f>
        <v>671</v>
      </c>
      <c r="ES62" s="439" t="n">
        <f aca="false">IF(YEAR($EO62)=1999,EP62,0)</f>
        <v>0</v>
      </c>
      <c r="ET62" s="439" t="n">
        <f aca="false">IF(YEAR($EO62)=1999,EQ62,0)</f>
        <v>0</v>
      </c>
      <c r="EU62" s="439" t="n">
        <f aca="false">IF(YEAR($EO62)=1999,ER62,0)</f>
        <v>0</v>
      </c>
    </row>
    <row r="63" customFormat="false" ht="18.75" hidden="false" customHeight="false" outlineLevel="0" collapsed="false">
      <c r="A63" s="537" t="n">
        <f aca="false">[1]COMED!$D41</f>
        <v>37377</v>
      </c>
      <c r="B63" s="180" t="n">
        <f aca="false">[1]COMED!$O41</f>
        <v>-143801.96875</v>
      </c>
      <c r="C63" s="538" t="n">
        <f aca="false">B63/(CE63*CD63)</f>
        <v>-419.945370690383</v>
      </c>
      <c r="D63" s="538" t="n">
        <f aca="false">BY63+IF(YEAR(A63)=$T$20,$BY$92,0)+IF(YEAR(A63)=$T$21,$BY$93,0)+IF(YEAR(A63)=$T$22,$BY$94,0)</f>
        <v>0</v>
      </c>
      <c r="E63" s="160" t="n">
        <f aca="false">B63+(D63*CD63*CE63)</f>
        <v>-143801.96875</v>
      </c>
      <c r="F63" s="539" t="n">
        <f aca="false">C63+D63</f>
        <v>-419.945370690383</v>
      </c>
      <c r="G63" s="540" t="n">
        <f aca="false">[1]COMED!$E41</f>
        <v>30.5999965667725</v>
      </c>
      <c r="H63" s="498" t="n">
        <f aca="false">IF($R$53,R63,Q63)</f>
        <v>0</v>
      </c>
      <c r="I63" s="541" t="n">
        <f aca="false">G63+H63</f>
        <v>30.5999965667725</v>
      </c>
      <c r="J63" s="160" t="n">
        <f aca="false">H63*B63</f>
        <v>-0</v>
      </c>
      <c r="K63" s="114" t="n">
        <f aca="false">(((I63-AL63)*AK63+(I63-AN63)*AM63+(I63-AP63)*AO63+(I63-AR63)*AQ63+(I63-AT63)*AS63+(I63-AV63)*AU63+(I63-AX63)*AW63+(I63-AZ63)*AY63+(I63-BB63)*BA63+(I63-BD63)*BC63+(I63-BF63)*BE63+(I63-BH63)*BG63+(I63-BJ63)*BI63+(I63-BL63)*BK63+(I63-BN63)*BM63+(I63-BP63)*BO63+(I63-BR63)*BQ63+(I63-BT63)*BS63+(I63-BV63)*BU63+(I63-BX63)*BW63)*CD63*CE63)+CG63+CH63+CI63</f>
        <v>0</v>
      </c>
      <c r="L63" s="114" t="n">
        <f aca="false">J63+K63</f>
        <v>0</v>
      </c>
      <c r="M63" s="680"/>
      <c r="N63" s="500" t="n">
        <f aca="false">A63</f>
        <v>37377</v>
      </c>
      <c r="O63" s="501" t="n">
        <v>26</v>
      </c>
      <c r="P63" s="501" t="n">
        <v>26</v>
      </c>
      <c r="Q63" s="502" t="n">
        <f aca="false">AVERAGE(O63:P63)-G63</f>
        <v>-4.59999656677246</v>
      </c>
      <c r="R63" s="677" t="n">
        <f aca="false">TradeSum!R19</f>
        <v>0</v>
      </c>
      <c r="S63" s="679" t="n">
        <f aca="false">I63</f>
        <v>30.5999965667725</v>
      </c>
      <c r="T63" s="505" t="n">
        <f aca="false">IF(U62=4,T62+1,T62)</f>
        <v>2003</v>
      </c>
      <c r="U63" s="506" t="n">
        <f aca="false">IF(U62=4,1,U62+1)</f>
        <v>3</v>
      </c>
      <c r="V63" s="543" t="str">
        <f aca="false">"Q"&amp;U63&amp;" "&amp;T63</f>
        <v>Q3 2003</v>
      </c>
      <c r="W63" s="508" t="n">
        <f aca="false" t="array" ref="W63:W63">SUM(IF((INT((MONTH($A$56:$A$91)-1)/3)=U63-1)*(YEAR($A$56:$A$91)=T63),$I$56:$I$91*$DK$12:$DK$47))/SUM(IF((INT((MONTH($A$56:$A$91)-1)/3)=U63-1)*(YEAR($A$56:$A$91)=T63),$DK$12:$DK$47))</f>
        <v>41.7464829981327</v>
      </c>
      <c r="X63" s="544" t="n">
        <f aca="false" t="array" ref="X63:X63">AVERAGE(IF((INT((MONTH($A$56:$A$91)-1)/3)=U63-1)*(YEAR($A$56:$A$91)=T63),$I$56:$I$91))</f>
        <v>41.633331934611</v>
      </c>
      <c r="Y63" s="545" t="n">
        <f aca="false">W63-$W$12</f>
        <v>15.2300767481327</v>
      </c>
      <c r="Z63" s="545" t="n">
        <f aca="false">W63-$W$13</f>
        <v>13.0732273142929</v>
      </c>
      <c r="AA63" s="545" t="n">
        <f aca="false">W63-$W$14</f>
        <v>8.5771878119125</v>
      </c>
      <c r="AB63" s="545" t="n">
        <f aca="false">W63-$W$15</f>
        <v>-4.80820450186729</v>
      </c>
      <c r="AC63" s="545" t="n">
        <f aca="false">W63-$W$16</f>
        <v>12.7464829981327</v>
      </c>
      <c r="AD63" s="545" t="n">
        <f aca="false">W63-$W$17</f>
        <v>12.2805903542411</v>
      </c>
      <c r="AE63" s="545" t="n">
        <f aca="false">W63-$W$18</f>
        <v>8.82423669446347</v>
      </c>
      <c r="AF63" s="546" t="n">
        <v>0</v>
      </c>
      <c r="AG63" s="511"/>
      <c r="AH63" s="511"/>
      <c r="AI63" s="511"/>
      <c r="AJ63" s="512" t="n">
        <f aca="false">A63</f>
        <v>37377</v>
      </c>
      <c r="AK63" s="513"/>
      <c r="AL63" s="514"/>
      <c r="AM63" s="513"/>
      <c r="AN63" s="514"/>
      <c r="AO63" s="513"/>
      <c r="AP63" s="514"/>
      <c r="AQ63" s="513"/>
      <c r="AR63" s="514"/>
      <c r="AS63" s="515"/>
      <c r="AT63" s="516"/>
      <c r="AU63" s="550" t="n">
        <f aca="false">+AU62</f>
        <v>0</v>
      </c>
      <c r="AV63" s="551" t="n">
        <f aca="false">+AV62</f>
        <v>0</v>
      </c>
      <c r="AW63" s="550" t="n">
        <f aca="false">+AW62</f>
        <v>0</v>
      </c>
      <c r="AX63" s="551" t="n">
        <f aca="false">+AX62</f>
        <v>0</v>
      </c>
      <c r="AY63" s="550"/>
      <c r="AZ63" s="551"/>
      <c r="BA63" s="550"/>
      <c r="BB63" s="551"/>
      <c r="BC63" s="513"/>
      <c r="BD63" s="514"/>
      <c r="BE63" s="513"/>
      <c r="BF63" s="514"/>
      <c r="BG63" s="513"/>
      <c r="BH63" s="514"/>
      <c r="BI63" s="513"/>
      <c r="BJ63" s="517"/>
      <c r="BK63" s="520"/>
      <c r="BL63" s="517"/>
      <c r="BM63" s="520"/>
      <c r="BN63" s="517"/>
      <c r="BO63" s="520"/>
      <c r="BP63" s="517"/>
      <c r="BQ63" s="520"/>
      <c r="BR63" s="517"/>
      <c r="BS63" s="520"/>
      <c r="BT63" s="517"/>
      <c r="BU63" s="520"/>
      <c r="BV63" s="517"/>
      <c r="BW63" s="520"/>
      <c r="BX63" s="517"/>
      <c r="BY63" s="556" t="n">
        <f aca="false">AK63+AM63+AO63+AQ63+AS63+AU63+AW63+AY63+BA63+BC63+BE63+BG63+BI63+BK63+BM63+BO63+BQ63+BS63+BU63+BW63</f>
        <v>0</v>
      </c>
      <c r="BZ63" s="524" t="n">
        <f aca="false">IF(AND(BY63=0,CC63=0),0,(ABS(AK63)*AL63+ABS(AM63)*AN63+ABS(AO63)*AP63+ABS(AQ63)*AR63+ABS(AS63)*AT63+ABS(AU63)*AV63+ABS(AW63)*AX63+ABS(AY63)*AZ63+ABS(BA63)*BB63+ABS(BC63)*BD63+ABS(BE63)*BF63+ABS(BG63)*BH63+ABS(BI63)*BJ63+ABS(BK63)*BL63+ABS(BM63)*BN63+ABS(BO63)*BP63+ABS(BQ63)*BR63+ABS(BS63)*BT63+ABS(BU63)*BV63+ABS(BW63)*BX63)/CC63)</f>
        <v>0</v>
      </c>
      <c r="CA63" s="222"/>
      <c r="CB63" s="525" t="n">
        <f aca="false">AJ63</f>
        <v>37377</v>
      </c>
      <c r="CC63" s="222" t="n">
        <f aca="false">ABS(AK63)+ABS(AM63)+ABS(AO63)+ABS(AQ63)+ABS(AS63)+ABS(AU63)+ABS(AW63)+ABS(AY63)+ABS(BA63)+ABS(BC63)+ABS(BE63)+ABS(BG63)+ABS(BI63)+ABS(BK63)+ABS(BM63)+ABS(BO63)+ABS(BQ63)+ABS(BS63)+ABS(BU63)+ABS(BW63)</f>
        <v>0</v>
      </c>
      <c r="CD63" s="526" t="n">
        <f aca="false">CD19</f>
        <v>352</v>
      </c>
      <c r="CE63" s="222" t="n">
        <f aca="false">CE19</f>
        <v>0.972813010513454</v>
      </c>
      <c r="CF63" s="527" t="n">
        <f aca="false">E63-B63</f>
        <v>0</v>
      </c>
      <c r="CG63" s="527" t="n">
        <f aca="false">IF(YEAR($AJ63)=$CG$10,(($I63-$AL$92)*$AK$92+($I63-$AN$92)*$AM$92+($I63-$AP$92)*$AO$92+($I63-$AR$92)*$AQ$92+($I63-$AT$92)*$AS$92+($I63-$AV$92)*$AU$92+($I63-$AX$92)*$AW$92+($I63-$AZ$92)*$AY$92+($I63-$BB$92)*$BA$92+($I63-$BD$92)*$BC$92+($I63-$BF$92)*$BE$92+($I63-$BH$92)*$BG$92+($I63-$BJ$92)*$BI$92+($I63-$BL$92)*$BK$92+($I63-$BN$92)*$BM$92+($I63-$BP$92)*$BO$92+($I63-$BR$92)*$BQ$92+($I63-$BT$92)*$BS$92+($I63-$BV$92)*$BU$92+($I63-$BX$92)*$BW$92)*$CD63*$CE63,0)</f>
        <v>0</v>
      </c>
      <c r="CH63" s="527" t="n">
        <f aca="false">IF(YEAR($AJ63)=$CH$10,(($I63-$AL$93)*$AK$93+($I63-$AN$93)*$AM$93+($I63-$AP$93)*$AO$93+($I63-$AR$93)*$AQ$93+($I63-$AT$93)*$AS$93+($I63-$AV$93)*$AU$93+($I63-$AX$93)*$AW$93+($I63-$AZ$93)*$AY$93+($I63-$BB$93)*$BA$93+($I63-$BD$93)*$BC$93+($I63-$BF$93)*$BE$93+($I63-$BH$93)*$BG$93+($I63-$BJ$93)*$BI$93+($I63-$BL$93)*$BK$93+($I63-$BN$93)*$BM$93+($I63-$BP$93)*$BO$93+($I63-$BR$93)*$BQ$93+($I63-$BT$93)*$BS$93+($I63-$BV$93)*$BU$93+($I63-$BX$93)*$BW$93)*$CD63*$CE63,0)</f>
        <v>0</v>
      </c>
      <c r="CI63" s="527" t="n">
        <f aca="false">IF(YEAR($AJ63)=$CI$10,(($I63-$AL$94)*$AK$94+($I63-$AN$94)*$AM$94+($I63-$AP$94)*$AO$94+($I63-$AR$94)*$AQ$94+($I63-$AT$94)*$AS$94+($I63-$AV$94)*$AU$94+($I63-$AX$94)*$AW$94+($I63-$AZ$94)*$AY$94+($I63-$BB$94)*$BA$94+($I63-$BD$94)*$BC$94+($I63-$BF$94)*$BE$94+($I63-$BH$94)*$BG$94+($I63-$BJ$94)*$BI$94+($I63-$BL$94)*$BK$94+($I63-$BN$94)*$BM$94+($I63-$BP$94)*$BO$94+($I63-$BR$94)*$BQ$94+($I63-$BT$94)*$BS$94+($I63-$BV$94)*$BU$94+($I63-$BX$94)*$BW$94)*$CD63*$CE63,0)</f>
        <v>0</v>
      </c>
      <c r="CJ63" s="439" t="n">
        <f aca="false">CC63*CD63</f>
        <v>0</v>
      </c>
      <c r="CM63" s="530" t="n">
        <f aca="false">+CL19*CF63/10000</f>
        <v>0</v>
      </c>
      <c r="DJ63" s="532" t="n">
        <f aca="false">[1]Cinergy!$D85</f>
        <v>38718</v>
      </c>
      <c r="DK63" s="440" t="n">
        <f aca="false">VLOOKUP(DJ63,DL63:DM304,2)</f>
        <v>22</v>
      </c>
      <c r="DL63" s="533" t="n">
        <v>37288</v>
      </c>
      <c r="DM63" s="459" t="n">
        <v>20</v>
      </c>
      <c r="DP63" s="534" t="n">
        <f aca="false">[1]Cinergy!$D54</f>
        <v>37773</v>
      </c>
      <c r="DQ63" s="234" t="n">
        <f aca="false">[1]OPPD_NPPD!$O54+[1]NSP!$O54</f>
        <v>0</v>
      </c>
      <c r="DR63" s="234" t="n">
        <f aca="false">[1]COMED!$O54</f>
        <v>-186955.484375</v>
      </c>
      <c r="DS63" s="234" t="n">
        <f aca="false">DQ63+DR63</f>
        <v>-186955.484375</v>
      </c>
      <c r="DT63" s="234" t="n">
        <f aca="false">SUM([1]OPPD_NPPD!$P54:$R54)+SUM([1]NSP!$P54:$R54)</f>
        <v>0</v>
      </c>
      <c r="DU63" s="234" t="n">
        <f aca="false">SUM([1]COMED!$P54:$R54)</f>
        <v>0</v>
      </c>
      <c r="DV63" s="234" t="n">
        <f aca="false">DT63+DU63</f>
        <v>0</v>
      </c>
      <c r="DW63" s="535"/>
      <c r="DX63" s="536" t="n">
        <f aca="false">[1]OtherPosn!$D54</f>
        <v>37653</v>
      </c>
      <c r="DY63" s="234" t="n">
        <f aca="false">[1]OtherPosn!$N54</f>
        <v>-15081.2861328125</v>
      </c>
      <c r="DZ63" s="234" t="n">
        <f aca="false">SUM([1]OtherPosn!$O54:$P54)</f>
        <v>0</v>
      </c>
      <c r="EO63" s="532" t="n">
        <f aca="false">EO19</f>
        <v>37377</v>
      </c>
      <c r="EP63" s="234" t="n">
        <f aca="false">EP19</f>
        <v>22</v>
      </c>
      <c r="EQ63" s="473" t="n">
        <f aca="false">O62*$EP63</f>
        <v>627</v>
      </c>
      <c r="ER63" s="473" t="n">
        <f aca="false">P62*$EP63</f>
        <v>627</v>
      </c>
      <c r="ES63" s="439" t="n">
        <f aca="false">IF(YEAR($EO63)=1999,EP63,0)</f>
        <v>0</v>
      </c>
      <c r="ET63" s="439" t="n">
        <f aca="false">IF(YEAR($EO63)=1999,EQ63,0)</f>
        <v>0</v>
      </c>
      <c r="EU63" s="439" t="n">
        <f aca="false">IF(YEAR($EO63)=1999,ER63,0)</f>
        <v>0</v>
      </c>
    </row>
    <row r="64" customFormat="false" ht="18.75" hidden="false" customHeight="false" outlineLevel="0" collapsed="false">
      <c r="A64" s="95" t="n">
        <f aca="false">[1]COMED!$D42</f>
        <v>37408</v>
      </c>
      <c r="B64" s="122" t="n">
        <f aca="false">[1]COMED!$O42</f>
        <v>-62060.53515625</v>
      </c>
      <c r="C64" s="163" t="n">
        <f aca="false">B64/(CE64*CD64)</f>
        <v>-199.947397346989</v>
      </c>
      <c r="D64" s="496" t="n">
        <f aca="false">BY64+IF(YEAR(A64)=$T$20,$BY$92,0)+IF(YEAR(A64)=$T$21,$BY$93,0)+IF(YEAR(A64)=$T$22,$BY$94,0)</f>
        <v>0</v>
      </c>
      <c r="E64" s="163" t="n">
        <f aca="false">B64+(D64*CD64*CE64)</f>
        <v>-62060.53515625</v>
      </c>
      <c r="F64" s="497" t="n">
        <f aca="false">C64+D64</f>
        <v>-199.947397346989</v>
      </c>
      <c r="G64" s="498" t="n">
        <f aca="false">[1]COMED!$E42</f>
        <v>40.375</v>
      </c>
      <c r="H64" s="498" t="n">
        <f aca="false">IF($R$53,R64,Q64)</f>
        <v>-0.375</v>
      </c>
      <c r="I64" s="499" t="n">
        <f aca="false">G64+H64</f>
        <v>40</v>
      </c>
      <c r="J64" s="122" t="n">
        <f aca="false">H64*B64</f>
        <v>23272.7006835938</v>
      </c>
      <c r="K64" s="123" t="n">
        <f aca="false">(((I64-AL64)*AK64+(I64-AN64)*AM64+(I64-AP64)*AO64+(I64-AR64)*AQ64+(I64-AT64)*AS64+(I64-AV64)*AU64+(I64-AX64)*AW64+(I64-AZ64)*AY64+(I64-BB64)*BA64+(I64-BD64)*BC64+(I64-BF64)*BE64+(I64-BH64)*BG64+(I64-BJ64)*BI64+(I64-BL64)*BK64+(I64-BN64)*BM64+(I64-BP64)*BO64+(I64-BR64)*BQ64+(I64-BT64)*BS64+(I64-BV64)*BU64+(I64-BX64)*BW64)*CD64*CE64)+CG64+CH64+CI64</f>
        <v>0</v>
      </c>
      <c r="L64" s="123" t="n">
        <f aca="false">J64+K64</f>
        <v>23272.7006835938</v>
      </c>
      <c r="M64" s="46"/>
      <c r="N64" s="500" t="n">
        <f aca="false">A64</f>
        <v>37408</v>
      </c>
      <c r="O64" s="501" t="n">
        <v>26</v>
      </c>
      <c r="P64" s="501" t="n">
        <v>26</v>
      </c>
      <c r="Q64" s="502" t="n">
        <f aca="false">AVERAGE(O64:P64)-G64</f>
        <v>-14.375</v>
      </c>
      <c r="R64" s="677" t="n">
        <f aca="false">TradeSum!R20</f>
        <v>-0.375</v>
      </c>
      <c r="S64" s="679" t="n">
        <f aca="false">I64</f>
        <v>40</v>
      </c>
      <c r="T64" s="505" t="n">
        <f aca="false">IF(MONTH($B$2)&gt;8,YEAR($B$2)+1,YEAR($B$2))</f>
        <v>2002</v>
      </c>
      <c r="U64" s="506"/>
      <c r="V64" s="547" t="str">
        <f aca="false">"Bal "&amp;T64</f>
        <v>Bal 2002</v>
      </c>
      <c r="W64" s="508" t="n">
        <f aca="false" t="array" ref="W64:W64">SUM(IF((YEAR($A$56:$A$91)=T64),$I$56:$I$91*$DK$12:$DK$47))/SUM(IF((YEAR($A$56:$A$91)=T64),$DK$12:$DK$47))</f>
        <v>33.3968852248846</v>
      </c>
      <c r="X64" s="544" t="n">
        <f aca="false" t="array" ref="X64:X64">AVERAGE(IF((YEAR($A$56:$A$91)=T64),$I$56:$I$91))</f>
        <v>33.2949671029588</v>
      </c>
      <c r="Y64" s="548" t="n">
        <f aca="false">W64-$W$12</f>
        <v>6.88047897488463</v>
      </c>
      <c r="Z64" s="548" t="n">
        <f aca="false">W64-$W$13</f>
        <v>4.72362954104485</v>
      </c>
      <c r="AA64" s="548" t="n">
        <f aca="false">W64-$W$14</f>
        <v>0.227590038664424</v>
      </c>
      <c r="AB64" s="548" t="n">
        <f aca="false">W64-$W$15</f>
        <v>-13.1578022751154</v>
      </c>
      <c r="AC64" s="548" t="n">
        <f aca="false">W64-$W$16</f>
        <v>4.39688522488464</v>
      </c>
      <c r="AD64" s="548" t="n">
        <f aca="false">W64-$W$17</f>
        <v>3.93099258099307</v>
      </c>
      <c r="AE64" s="548" t="n">
        <f aca="false">W64-$W$18</f>
        <v>0.474638921215394</v>
      </c>
      <c r="AF64" s="548" t="n">
        <f aca="false">W64-$W$19</f>
        <v>-9.21444290011537</v>
      </c>
      <c r="AG64" s="510" t="n">
        <v>0</v>
      </c>
      <c r="AH64" s="554"/>
      <c r="AI64" s="511"/>
      <c r="AJ64" s="512" t="n">
        <f aca="false">A64</f>
        <v>37408</v>
      </c>
      <c r="AK64" s="513"/>
      <c r="AL64" s="514"/>
      <c r="AM64" s="513"/>
      <c r="AN64" s="514"/>
      <c r="AO64" s="513"/>
      <c r="AP64" s="514"/>
      <c r="AQ64" s="513"/>
      <c r="AR64" s="514"/>
      <c r="AS64" s="515"/>
      <c r="AT64" s="516"/>
      <c r="AU64" s="550" t="n">
        <f aca="false">+AU63</f>
        <v>0</v>
      </c>
      <c r="AV64" s="551" t="n">
        <f aca="false">+AV63</f>
        <v>0</v>
      </c>
      <c r="AW64" s="550" t="n">
        <f aca="false">+AW63</f>
        <v>0</v>
      </c>
      <c r="AX64" s="551" t="n">
        <f aca="false">+AX63</f>
        <v>0</v>
      </c>
      <c r="AY64" s="550"/>
      <c r="AZ64" s="551"/>
      <c r="BA64" s="550"/>
      <c r="BB64" s="551"/>
      <c r="BC64" s="513"/>
      <c r="BD64" s="514"/>
      <c r="BE64" s="513"/>
      <c r="BF64" s="514"/>
      <c r="BG64" s="513"/>
      <c r="BH64" s="514"/>
      <c r="BI64" s="520"/>
      <c r="BJ64" s="517"/>
      <c r="BK64" s="520"/>
      <c r="BL64" s="517"/>
      <c r="BM64" s="520"/>
      <c r="BN64" s="517"/>
      <c r="BO64" s="520"/>
      <c r="BP64" s="517"/>
      <c r="BQ64" s="520"/>
      <c r="BR64" s="517"/>
      <c r="BS64" s="520"/>
      <c r="BT64" s="517"/>
      <c r="BU64" s="520"/>
      <c r="BV64" s="517"/>
      <c r="BW64" s="520"/>
      <c r="BX64" s="517"/>
      <c r="BY64" s="556" t="n">
        <f aca="false">AK64+AM64+AO64+AQ64+AS64+AU64+AW64+AY64+BA64+BC64+BE64+BG64+BI64+BK64+BM64+BO64+BQ64+BS64+BU64+BW64</f>
        <v>0</v>
      </c>
      <c r="BZ64" s="524" t="n">
        <f aca="false">IF(AND(BY64=0,CC64=0),0,(ABS(AK64)*AL64+ABS(AM64)*AN64+ABS(AO64)*AP64+ABS(AQ64)*AR64+ABS(AS64)*AT64+ABS(AU64)*AV64+ABS(AW64)*AX64+ABS(AY64)*AZ64+ABS(BA64)*BB64+ABS(BC64)*BD64+ABS(BE64)*BF64+ABS(BG64)*BH64+ABS(BI64)*BJ64+ABS(BK64)*BL64+ABS(BM64)*BN64+ABS(BO64)*BP64+ABS(BQ64)*BR64+ABS(BS64)*BT64+ABS(BU64)*BV64+ABS(BW64)*BX64)/CC64)</f>
        <v>0</v>
      </c>
      <c r="CA64" s="222"/>
      <c r="CB64" s="525" t="n">
        <f aca="false">AJ64</f>
        <v>37408</v>
      </c>
      <c r="CC64" s="222" t="n">
        <f aca="false">ABS(AK64)+ABS(AM64)+ABS(AO64)+ABS(AQ64)+ABS(AS64)+ABS(AU64)+ABS(AW64)+ABS(AY64)+ABS(BA64)+ABS(BC64)+ABS(BE64)+ABS(BG64)+ABS(BI64)+ABS(BK64)+ABS(BM64)+ABS(BO64)+ABS(BQ64)+ABS(BS64)+ABS(BU64)+ABS(BW64)</f>
        <v>0</v>
      </c>
      <c r="CD64" s="526" t="n">
        <f aca="false">CD20</f>
        <v>320</v>
      </c>
      <c r="CE64" s="222" t="n">
        <f aca="false">CE20</f>
        <v>0.969950971788438</v>
      </c>
      <c r="CF64" s="527" t="n">
        <f aca="false">E64-B64</f>
        <v>0</v>
      </c>
      <c r="CG64" s="527" t="n">
        <f aca="false">IF(YEAR($AJ64)=$CG$10,(($I64-$AL$92)*$AK$92+($I64-$AN$92)*$AM$92+($I64-$AP$92)*$AO$92+($I64-$AR$92)*$AQ$92+($I64-$AT$92)*$AS$92+($I64-$AV$92)*$AU$92+($I64-$AX$92)*$AW$92+($I64-$AZ$92)*$AY$92+($I64-$BB$92)*$BA$92+($I64-$BD$92)*$BC$92+($I64-$BF$92)*$BE$92+($I64-$BH$92)*$BG$92+($I64-$BJ$92)*$BI$92+($I64-$BL$92)*$BK$92+($I64-$BN$92)*$BM$92+($I64-$BP$92)*$BO$92+($I64-$BR$92)*$BQ$92+($I64-$BT$92)*$BS$92+($I64-$BV$92)*$BU$92+($I64-$BX$92)*$BW$92)*$CD64*$CE64,0)</f>
        <v>0</v>
      </c>
      <c r="CH64" s="527" t="n">
        <f aca="false">IF(YEAR($AJ64)=$CH$10,(($I64-$AL$93)*$AK$93+($I64-$AN$93)*$AM$93+($I64-$AP$93)*$AO$93+($I64-$AR$93)*$AQ$93+($I64-$AT$93)*$AS$93+($I64-$AV$93)*$AU$93+($I64-$AX$93)*$AW$93+($I64-$AZ$93)*$AY$93+($I64-$BB$93)*$BA$93+($I64-$BD$93)*$BC$93+($I64-$BF$93)*$BE$93+($I64-$BH$93)*$BG$93+($I64-$BJ$93)*$BI$93+($I64-$BL$93)*$BK$93+($I64-$BN$93)*$BM$93+($I64-$BP$93)*$BO$93+($I64-$BR$93)*$BQ$93+($I64-$BT$93)*$BS$93+($I64-$BV$93)*$BU$93+($I64-$BX$93)*$BW$93)*$CD64*$CE64,0)</f>
        <v>0</v>
      </c>
      <c r="CI64" s="527" t="n">
        <f aca="false">IF(YEAR($AJ64)=$CI$10,(($I64-$AL$94)*$AK$94+($I64-$AN$94)*$AM$94+($I64-$AP$94)*$AO$94+($I64-$AR$94)*$AQ$94+($I64-$AT$94)*$AS$94+($I64-$AV$94)*$AU$94+($I64-$AX$94)*$AW$94+($I64-$AZ$94)*$AY$94+($I64-$BB$94)*$BA$94+($I64-$BD$94)*$BC$94+($I64-$BF$94)*$BE$94+($I64-$BH$94)*$BG$94+($I64-$BJ$94)*$BI$94+($I64-$BL$94)*$BK$94+($I64-$BN$94)*$BM$94+($I64-$BP$94)*$BO$94+($I64-$BR$94)*$BQ$94+($I64-$BT$94)*$BS$94+($I64-$BV$94)*$BU$94+($I64-$BX$94)*$BW$94)*$CD64*$CE64,0)</f>
        <v>0</v>
      </c>
      <c r="CJ64" s="439" t="n">
        <f aca="false">CC64*CD64</f>
        <v>0</v>
      </c>
      <c r="CM64" s="530" t="n">
        <f aca="false">+CL20*CF64/10000</f>
        <v>0</v>
      </c>
      <c r="DJ64" s="532" t="n">
        <f aca="false">[1]Cinergy!$D86</f>
        <v>38749</v>
      </c>
      <c r="DK64" s="440" t="n">
        <f aca="false">VLOOKUP(DJ64,DL64:DM305,2)</f>
        <v>20</v>
      </c>
      <c r="DL64" s="533" t="n">
        <v>37316</v>
      </c>
      <c r="DM64" s="459" t="n">
        <v>21</v>
      </c>
      <c r="DP64" s="534" t="n">
        <f aca="false">[1]Cinergy!$D55</f>
        <v>37803</v>
      </c>
      <c r="DQ64" s="234" t="n">
        <f aca="false">[1]OPPD_NPPD!$O55+[1]NSP!$O55</f>
        <v>0</v>
      </c>
      <c r="DR64" s="234" t="n">
        <f aca="false">[1]COMED!$O55</f>
        <v>-292519.34375</v>
      </c>
      <c r="DS64" s="234" t="n">
        <f aca="false">DQ64+DR64</f>
        <v>-292519.34375</v>
      </c>
      <c r="DT64" s="234" t="n">
        <f aca="false">SUM([1]OPPD_NPPD!$P55:$R55)+SUM([1]NSP!$P55:$R55)</f>
        <v>0</v>
      </c>
      <c r="DU64" s="234" t="n">
        <f aca="false">SUM([1]COMED!$P55:$R55)</f>
        <v>-369.342620849609</v>
      </c>
      <c r="DV64" s="234" t="n">
        <f aca="false">DT64+DU64</f>
        <v>-369.342620849609</v>
      </c>
      <c r="DW64" s="535"/>
      <c r="DX64" s="536" t="n">
        <f aca="false">[1]OtherPosn!$D55</f>
        <v>37681</v>
      </c>
      <c r="DY64" s="234" t="n">
        <f aca="false">[1]OtherPosn!$N55</f>
        <v>-15771.6474609375</v>
      </c>
      <c r="DZ64" s="234" t="n">
        <f aca="false">SUM([1]OtherPosn!$O55:$P55)</f>
        <v>0</v>
      </c>
      <c r="EO64" s="532" t="n">
        <f aca="false">EO20</f>
        <v>37408</v>
      </c>
      <c r="EP64" s="234" t="n">
        <f aca="false">EP20</f>
        <v>20</v>
      </c>
      <c r="EQ64" s="473" t="n">
        <f aca="false">O63*$EP64</f>
        <v>520</v>
      </c>
      <c r="ER64" s="473" t="n">
        <f aca="false">P63*$EP64</f>
        <v>520</v>
      </c>
      <c r="ES64" s="439" t="n">
        <f aca="false">IF(YEAR($EO64)=1999,EP64,0)</f>
        <v>0</v>
      </c>
      <c r="ET64" s="439" t="n">
        <f aca="false">IF(YEAR($EO64)=1999,EQ64,0)</f>
        <v>0</v>
      </c>
      <c r="EU64" s="439" t="n">
        <f aca="false">IF(YEAR($EO64)=1999,ER64,0)</f>
        <v>0</v>
      </c>
    </row>
    <row r="65" customFormat="false" ht="18.75" hidden="false" customHeight="false" outlineLevel="0" collapsed="false">
      <c r="A65" s="537" t="n">
        <f aca="false">[1]COMED!$D43</f>
        <v>37438</v>
      </c>
      <c r="B65" s="180" t="n">
        <f aca="false">[1]COMED!$O43</f>
        <v>-289189.15625</v>
      </c>
      <c r="C65" s="538" t="n">
        <f aca="false">B65/(CE65*CD65)</f>
        <v>-849.658508345421</v>
      </c>
      <c r="D65" s="538" t="n">
        <f aca="false">BY65+IF(YEAR(A65)=$T$20,$BY$92,0)+IF(YEAR(A65)=$T$21,$BY$93,0)+IF(YEAR(A65)=$T$22,$BY$94,0)</f>
        <v>0</v>
      </c>
      <c r="E65" s="160" t="n">
        <f aca="false">B65+(D65*CD65*CE65)</f>
        <v>-289189.15625</v>
      </c>
      <c r="F65" s="539" t="n">
        <f aca="false">C65+D65</f>
        <v>-849.658508345421</v>
      </c>
      <c r="G65" s="540" t="n">
        <f aca="false">[1]COMED!$E43</f>
        <v>54.125</v>
      </c>
      <c r="H65" s="498" t="n">
        <f aca="false">IF($R$53,R65,Q65)</f>
        <v>-0.5</v>
      </c>
      <c r="I65" s="541" t="n">
        <f aca="false">G65+H65</f>
        <v>53.625</v>
      </c>
      <c r="J65" s="160" t="n">
        <f aca="false">H65*B65</f>
        <v>144594.578125</v>
      </c>
      <c r="K65" s="114" t="n">
        <f aca="false">(((I65-AL65)*AK65+(I65-AN65)*AM65+(I65-AP65)*AO65+(I65-AR65)*AQ65+(I65-AT65)*AS65+(I65-AV65)*AU65+(I65-AX65)*AW65+(I65-AZ65)*AY65+(I65-BB65)*BA65+(I65-BD65)*BC65+(I65-BF65)*BE65+(I65-BH65)*BG65+(I65-BJ65)*BI65+(I65-BL65)*BK65+(I65-BN65)*BM65+(I65-BP65)*BO65+(I65-BR65)*BQ65+(I65-BT65)*BS65+(I65-BV65)*BU65+(I65-BX65)*BW65)*CD65*CE65)+CG65+CH65+CI65</f>
        <v>0</v>
      </c>
      <c r="L65" s="114" t="n">
        <f aca="false">J65+K65</f>
        <v>144594.578125</v>
      </c>
      <c r="M65" s="46"/>
      <c r="N65" s="500" t="n">
        <f aca="false">A65</f>
        <v>37438</v>
      </c>
      <c r="O65" s="501" t="n">
        <v>29.5</v>
      </c>
      <c r="P65" s="501" t="n">
        <v>29.5</v>
      </c>
      <c r="Q65" s="502" t="n">
        <f aca="false">AVERAGE(O65:P65)-G65</f>
        <v>-24.625</v>
      </c>
      <c r="R65" s="677" t="n">
        <f aca="false">TradeSum!R21</f>
        <v>-0.5</v>
      </c>
      <c r="S65" s="679" t="n">
        <f aca="false">I65</f>
        <v>53.625</v>
      </c>
      <c r="T65" s="505" t="n">
        <f aca="false">T64+1</f>
        <v>2003</v>
      </c>
      <c r="U65" s="506"/>
      <c r="V65" s="555" t="n">
        <f aca="false">T65</f>
        <v>2003</v>
      </c>
      <c r="W65" s="508" t="n">
        <f aca="false" t="array" ref="W65:W65">SUM(IF((YEAR($A$56:$A$91)=T65),$I$56:$I$91*$DK$12:$DK$47))/SUM(IF((YEAR($A$56:$A$91)=T65),$DK$12:$DK$47))</f>
        <v>32.7551995520498</v>
      </c>
      <c r="X65" s="544" t="n">
        <f aca="false" t="array" ref="X65:X65">AVERAGE(IF((YEAR($A$56:$A$91)=T65),$I$56:$I$91))</f>
        <v>32.7257881622092</v>
      </c>
      <c r="Y65" s="545" t="n">
        <f aca="false">W65-$W$12</f>
        <v>6.23879330204982</v>
      </c>
      <c r="Z65" s="545" t="n">
        <f aca="false">W65-$W$13</f>
        <v>4.08194386821004</v>
      </c>
      <c r="AA65" s="545" t="n">
        <f aca="false">W65-$W$14</f>
        <v>-0.414095634170387</v>
      </c>
      <c r="AB65" s="545" t="n">
        <f aca="false">W65-$W$15</f>
        <v>-13.7994879479502</v>
      </c>
      <c r="AC65" s="545" t="n">
        <f aca="false">W65-$W$16</f>
        <v>3.75519955204982</v>
      </c>
      <c r="AD65" s="545" t="n">
        <f aca="false">W65-$W$17</f>
        <v>3.28930690815826</v>
      </c>
      <c r="AE65" s="545" t="n">
        <f aca="false">W65-$W$18</f>
        <v>-0.167046751619417</v>
      </c>
      <c r="AF65" s="545" t="n">
        <f aca="false">W65-$W$19</f>
        <v>-9.85612857295018</v>
      </c>
      <c r="AG65" s="545" t="n">
        <f aca="false">W65-$W$20</f>
        <v>-1.61636907540116</v>
      </c>
      <c r="AH65" s="546" t="n">
        <v>0</v>
      </c>
      <c r="AI65" s="554"/>
      <c r="AJ65" s="512" t="n">
        <f aca="false">A65</f>
        <v>37438</v>
      </c>
      <c r="AK65" s="513"/>
      <c r="AL65" s="514"/>
      <c r="AM65" s="513"/>
      <c r="AN65" s="514"/>
      <c r="AO65" s="513"/>
      <c r="AP65" s="514"/>
      <c r="AQ65" s="513"/>
      <c r="AR65" s="514"/>
      <c r="AS65" s="515"/>
      <c r="AT65" s="516"/>
      <c r="AU65" s="550" t="n">
        <f aca="false">+AU64</f>
        <v>0</v>
      </c>
      <c r="AV65" s="551" t="n">
        <f aca="false">+AV64</f>
        <v>0</v>
      </c>
      <c r="AW65" s="550" t="n">
        <f aca="false">+AW64</f>
        <v>0</v>
      </c>
      <c r="AX65" s="551" t="n">
        <f aca="false">+AX64</f>
        <v>0</v>
      </c>
      <c r="AY65" s="550"/>
      <c r="AZ65" s="551"/>
      <c r="BA65" s="550"/>
      <c r="BB65" s="551"/>
      <c r="BC65" s="513"/>
      <c r="BD65" s="514"/>
      <c r="BE65" s="513"/>
      <c r="BF65" s="514"/>
      <c r="BG65" s="513"/>
      <c r="BH65" s="514"/>
      <c r="BI65" s="520"/>
      <c r="BJ65" s="517"/>
      <c r="BK65" s="520"/>
      <c r="BL65" s="517"/>
      <c r="BM65" s="520"/>
      <c r="BN65" s="517"/>
      <c r="BO65" s="520"/>
      <c r="BP65" s="517"/>
      <c r="BQ65" s="520"/>
      <c r="BR65" s="517"/>
      <c r="BS65" s="520"/>
      <c r="BT65" s="517"/>
      <c r="BU65" s="520"/>
      <c r="BV65" s="517"/>
      <c r="BW65" s="520"/>
      <c r="BX65" s="517"/>
      <c r="BY65" s="556" t="n">
        <f aca="false">AK65+AM65+AO65+AQ65+AS65+AU65+AW65+AY65+BA65+BC65+BE65+BG65+BI65+BK65+BM65+BO65+BQ65+BS65+BU65+BW65</f>
        <v>0</v>
      </c>
      <c r="BZ65" s="524" t="n">
        <f aca="false">IF(AND(BY65=0,CC65=0),0,(ABS(AK65)*AL65+ABS(AM65)*AN65+ABS(AO65)*AP65+ABS(AQ65)*AR65+ABS(AS65)*AT65+ABS(AU65)*AV65+ABS(AW65)*AX65+ABS(AY65)*AZ65+ABS(BA65)*BB65+ABS(BC65)*BD65+ABS(BE65)*BF65+ABS(BG65)*BH65+ABS(BI65)*BJ65+ABS(BK65)*BL65+ABS(BM65)*BN65+ABS(BO65)*BP65+ABS(BQ65)*BR65+ABS(BS65)*BT65+ABS(BU65)*BV65+ABS(BW65)*BX65)/CC65)</f>
        <v>0</v>
      </c>
      <c r="CA65" s="222"/>
      <c r="CB65" s="525" t="n">
        <f aca="false">AJ65</f>
        <v>37438</v>
      </c>
      <c r="CC65" s="222" t="n">
        <f aca="false">ABS(AK65)+ABS(AM65)+ABS(AO65)+ABS(AQ65)+ABS(AS65)+ABS(AU65)+ABS(AW65)+ABS(AY65)+ABS(BA65)+ABS(BC65)+ABS(BE65)+ABS(BG65)+ABS(BI65)+ABS(BK65)+ABS(BM65)+ABS(BO65)+ABS(BQ65)+ABS(BS65)+ABS(BU65)+ABS(BW65)</f>
        <v>0</v>
      </c>
      <c r="CD65" s="526" t="n">
        <f aca="false">CD21</f>
        <v>352</v>
      </c>
      <c r="CE65" s="222" t="n">
        <f aca="false">CE21</f>
        <v>0.966929766386753</v>
      </c>
      <c r="CF65" s="527" t="n">
        <f aca="false">E65-B65</f>
        <v>0</v>
      </c>
      <c r="CG65" s="527" t="n">
        <f aca="false">IF(YEAR($AJ65)=$CG$10,(($I65-$AL$92)*$AK$92+($I65-$AN$92)*$AM$92+($I65-$AP$92)*$AO$92+($I65-$AR$92)*$AQ$92+($I65-$AT$92)*$AS$92+($I65-$AV$92)*$AU$92+($I65-$AX$92)*$AW$92+($I65-$AZ$92)*$AY$92+($I65-$BB$92)*$BA$92+($I65-$BD$92)*$BC$92+($I65-$BF$92)*$BE$92+($I65-$BH$92)*$BG$92+($I65-$BJ$92)*$BI$92+($I65-$BL$92)*$BK$92+($I65-$BN$92)*$BM$92+($I65-$BP$92)*$BO$92+($I65-$BR$92)*$BQ$92+($I65-$BT$92)*$BS$92+($I65-$BV$92)*$BU$92+($I65-$BX$92)*$BW$92)*$CD65*$CE65,0)</f>
        <v>0</v>
      </c>
      <c r="CH65" s="527" t="n">
        <f aca="false">IF(YEAR($AJ65)=$CH$10,(($I65-$AL$93)*$AK$93+($I65-$AN$93)*$AM$93+($I65-$AP$93)*$AO$93+($I65-$AR$93)*$AQ$93+($I65-$AT$93)*$AS$93+($I65-$AV$93)*$AU$93+($I65-$AX$93)*$AW$93+($I65-$AZ$93)*$AY$93+($I65-$BB$93)*$BA$93+($I65-$BD$93)*$BC$93+($I65-$BF$93)*$BE$93+($I65-$BH$93)*$BG$93+($I65-$BJ$93)*$BI$93+($I65-$BL$93)*$BK$93+($I65-$BN$93)*$BM$93+($I65-$BP$93)*$BO$93+($I65-$BR$93)*$BQ$93+($I65-$BT$93)*$BS$93+($I65-$BV$93)*$BU$93+($I65-$BX$93)*$BW$93)*$CD65*$CE65,0)</f>
        <v>0</v>
      </c>
      <c r="CI65" s="527" t="n">
        <f aca="false">IF(YEAR($AJ65)=$CI$10,(($I65-$AL$94)*$AK$94+($I65-$AN$94)*$AM$94+($I65-$AP$94)*$AO$94+($I65-$AR$94)*$AQ$94+($I65-$AT$94)*$AS$94+($I65-$AV$94)*$AU$94+($I65-$AX$94)*$AW$94+($I65-$AZ$94)*$AY$94+($I65-$BB$94)*$BA$94+($I65-$BD$94)*$BC$94+($I65-$BF$94)*$BE$94+($I65-$BH$94)*$BG$94+($I65-$BJ$94)*$BI$94+($I65-$BL$94)*$BK$94+($I65-$BN$94)*$BM$94+($I65-$BP$94)*$BO$94+($I65-$BR$94)*$BQ$94+($I65-$BT$94)*$BS$94+($I65-$BV$94)*$BU$94+($I65-$BX$94)*$BW$94)*$CD65*$CE65,0)</f>
        <v>0</v>
      </c>
      <c r="CJ65" s="439" t="n">
        <f aca="false">CC65*CD65</f>
        <v>0</v>
      </c>
      <c r="CM65" s="530" t="n">
        <f aca="false">+CL21*CF65/10000</f>
        <v>0</v>
      </c>
      <c r="DJ65" s="532" t="n">
        <f aca="false">[1]Cinergy!$D87</f>
        <v>38777</v>
      </c>
      <c r="DK65" s="440" t="n">
        <f aca="false">VLOOKUP(DJ65,DL65:DM306,2)</f>
        <v>23</v>
      </c>
      <c r="DL65" s="533" t="n">
        <v>37347</v>
      </c>
      <c r="DM65" s="459" t="n">
        <v>22</v>
      </c>
      <c r="DP65" s="534" t="n">
        <f aca="false">[1]Cinergy!$D56</f>
        <v>37834</v>
      </c>
      <c r="DQ65" s="234" t="n">
        <f aca="false">[1]OPPD_NPPD!$O56+[1]NSP!$O56</f>
        <v>0</v>
      </c>
      <c r="DR65" s="234" t="n">
        <f aca="false">[1]COMED!$O56</f>
        <v>-277999.78125</v>
      </c>
      <c r="DS65" s="234" t="n">
        <f aca="false">DQ65+DR65</f>
        <v>-277999.78125</v>
      </c>
      <c r="DT65" s="234" t="n">
        <f aca="false">SUM([1]OPPD_NPPD!$P56:$R56)+SUM([1]NSP!$P56:$R56)</f>
        <v>0</v>
      </c>
      <c r="DU65" s="234" t="n">
        <f aca="false">SUM([1]COMED!$P56:$R56)</f>
        <v>0</v>
      </c>
      <c r="DV65" s="234" t="n">
        <f aca="false">DT65+DU65</f>
        <v>0</v>
      </c>
      <c r="DW65" s="535"/>
      <c r="DX65" s="536" t="n">
        <f aca="false">[1]OtherPosn!$D56</f>
        <v>37712</v>
      </c>
      <c r="DY65" s="234" t="n">
        <f aca="false">[1]OtherPosn!$N56</f>
        <v>-16457.296875</v>
      </c>
      <c r="DZ65" s="234" t="n">
        <f aca="false">SUM([1]OtherPosn!$O56:$P56)</f>
        <v>0</v>
      </c>
      <c r="EO65" s="532" t="n">
        <f aca="false">EO21</f>
        <v>37438</v>
      </c>
      <c r="EP65" s="234" t="n">
        <f aca="false">EP21</f>
        <v>22</v>
      </c>
      <c r="EQ65" s="473" t="n">
        <f aca="false">O64*$EP65</f>
        <v>572</v>
      </c>
      <c r="ER65" s="473" t="n">
        <f aca="false">P64*$EP65</f>
        <v>572</v>
      </c>
      <c r="ES65" s="439" t="n">
        <f aca="false">IF(YEAR($EO65)=1999,EP65,0)</f>
        <v>0</v>
      </c>
      <c r="ET65" s="439" t="n">
        <f aca="false">IF(YEAR($EO65)=1999,EQ65,0)</f>
        <v>0</v>
      </c>
      <c r="EU65" s="439" t="n">
        <f aca="false">IF(YEAR($EO65)=1999,ER65,0)</f>
        <v>0</v>
      </c>
    </row>
    <row r="66" customFormat="false" ht="18.75" hidden="false" customHeight="false" outlineLevel="0" collapsed="false">
      <c r="A66" s="95" t="n">
        <f aca="false">[1]COMED!$D44</f>
        <v>37469</v>
      </c>
      <c r="B66" s="122" t="n">
        <f aca="false">[1]COMED!$O44</f>
        <v>-288225.1875</v>
      </c>
      <c r="C66" s="163" t="n">
        <f aca="false">B66/(CE66*CD66)</f>
        <v>-849.597460297794</v>
      </c>
      <c r="D66" s="496" t="n">
        <f aca="false">BY66+IF(YEAR(A66)=$T$20,$BY$92,0)+IF(YEAR(A66)=$T$21,$BY$93,0)+IF(YEAR(A66)=$T$22,$BY$94,0)</f>
        <v>0</v>
      </c>
      <c r="E66" s="163" t="n">
        <f aca="false">B66+(D66*CD66*CE66)</f>
        <v>-288225.1875</v>
      </c>
      <c r="F66" s="497" t="n">
        <f aca="false">C66+D66</f>
        <v>-849.597460297794</v>
      </c>
      <c r="G66" s="498" t="n">
        <f aca="false">[1]COMED!$E44</f>
        <v>54.125</v>
      </c>
      <c r="H66" s="498" t="n">
        <f aca="false">IF($R$53,R66,Q66)</f>
        <v>-0.5</v>
      </c>
      <c r="I66" s="499" t="n">
        <f aca="false">G66+H66</f>
        <v>53.625</v>
      </c>
      <c r="J66" s="122" t="n">
        <f aca="false">H66*B66</f>
        <v>144112.59375</v>
      </c>
      <c r="K66" s="123" t="n">
        <f aca="false">(((I66-AL66)*AK66+(I66-AN66)*AM66+(I66-AP66)*AO66+(I66-AR66)*AQ66+(I66-AT66)*AS66+(I66-AV66)*AU66+(I66-AX66)*AW66+(I66-AZ66)*AY66+(I66-BB66)*BA66+(I66-BD66)*BC66+(I66-BF66)*BE66+(I66-BH66)*BG66+(I66-BJ66)*BI66+(I66-BL66)*BK66+(I66-BN66)*BM66+(I66-BP66)*BO66+(I66-BR66)*BQ66+(I66-BT66)*BS66+(I66-BV66)*BU66+(I66-BX66)*BW66)*CD66*CE66)+CG66+CH66+CI66</f>
        <v>0</v>
      </c>
      <c r="L66" s="123" t="n">
        <f aca="false">J66+K66</f>
        <v>144112.59375</v>
      </c>
      <c r="M66" s="46"/>
      <c r="N66" s="500" t="n">
        <f aca="false">A66</f>
        <v>37469</v>
      </c>
      <c r="O66" s="501" t="n">
        <v>58</v>
      </c>
      <c r="P66" s="501" t="n">
        <v>58</v>
      </c>
      <c r="Q66" s="502" t="n">
        <f aca="false">AVERAGE(O66:P66)-G66</f>
        <v>3.875</v>
      </c>
      <c r="R66" s="677" t="n">
        <f aca="false">TradeSum!R22</f>
        <v>-0.5</v>
      </c>
      <c r="S66" s="679" t="n">
        <f aca="false">I66</f>
        <v>53.625</v>
      </c>
      <c r="T66" s="505" t="n">
        <f aca="false">T65+1</f>
        <v>2004</v>
      </c>
      <c r="U66" s="506"/>
      <c r="V66" s="557" t="n">
        <f aca="false">T66</f>
        <v>2004</v>
      </c>
      <c r="W66" s="558" t="n">
        <f aca="false" t="array" ref="W66:W66">SUM(IF((YEAR($A$56:$A$94)=T66),$I$56:$I$94*$DK$12:$DK$50))/SUM(IF((YEAR($A$56:$A$94)=T66),$DK$12:$DK$50))</f>
        <v>32.9300169067024</v>
      </c>
      <c r="X66" s="559" t="n">
        <f aca="false" t="array" ref="X66:X66">AVERAGE(IF((YEAR($A$56:$A$94)=T66),$I$56:$I$94))</f>
        <v>32.8466226717408</v>
      </c>
      <c r="Y66" s="560" t="n">
        <f aca="false">W66-$W$12</f>
        <v>6.41361065670239</v>
      </c>
      <c r="Z66" s="560" t="n">
        <f aca="false">W66-$W$13</f>
        <v>4.25676122286261</v>
      </c>
      <c r="AA66" s="560" t="n">
        <f aca="false">W66-$W$14</f>
        <v>-0.239278279517819</v>
      </c>
      <c r="AB66" s="560" t="n">
        <f aca="false">W66-$W$15</f>
        <v>-13.6246705932976</v>
      </c>
      <c r="AC66" s="560" t="n">
        <f aca="false">W66-$W$16</f>
        <v>3.93001690670239</v>
      </c>
      <c r="AD66" s="560" t="n">
        <f aca="false">W66-$W$17</f>
        <v>3.46412426281083</v>
      </c>
      <c r="AE66" s="560" t="n">
        <f aca="false">W66-$W$18</f>
        <v>0.00777060303315125</v>
      </c>
      <c r="AF66" s="560" t="n">
        <f aca="false">W66-$W$19</f>
        <v>-9.68131121829761</v>
      </c>
      <c r="AG66" s="560" t="n">
        <f aca="false">W66-$W$20</f>
        <v>-1.44155172074859</v>
      </c>
      <c r="AH66" s="560" t="n">
        <f aca="false">W66-$W$21</f>
        <v>-0.649669157176284</v>
      </c>
      <c r="AI66" s="561" t="n">
        <v>0</v>
      </c>
      <c r="AJ66" s="512" t="n">
        <f aca="false">A66</f>
        <v>37469</v>
      </c>
      <c r="AK66" s="513" t="n">
        <f aca="false">+AK65</f>
        <v>0</v>
      </c>
      <c r="AL66" s="514" t="n">
        <f aca="false">+AL65</f>
        <v>0</v>
      </c>
      <c r="AM66" s="513" t="n">
        <f aca="false">+AM65</f>
        <v>0</v>
      </c>
      <c r="AN66" s="514" t="n">
        <f aca="false">+AN65</f>
        <v>0</v>
      </c>
      <c r="AO66" s="513" t="n">
        <f aca="false">+AO65</f>
        <v>0</v>
      </c>
      <c r="AP66" s="514" t="n">
        <f aca="false">+AP65</f>
        <v>0</v>
      </c>
      <c r="AQ66" s="513" t="n">
        <f aca="false">+AQ65</f>
        <v>0</v>
      </c>
      <c r="AR66" s="514" t="n">
        <f aca="false">+AR65</f>
        <v>0</v>
      </c>
      <c r="AS66" s="515"/>
      <c r="AT66" s="516"/>
      <c r="AU66" s="550" t="n">
        <f aca="false">+AU65</f>
        <v>0</v>
      </c>
      <c r="AV66" s="551" t="n">
        <f aca="false">+AV65</f>
        <v>0</v>
      </c>
      <c r="AW66" s="550" t="n">
        <f aca="false">+AW65</f>
        <v>0</v>
      </c>
      <c r="AX66" s="551" t="n">
        <f aca="false">+AX65</f>
        <v>0</v>
      </c>
      <c r="AY66" s="562"/>
      <c r="AZ66" s="563"/>
      <c r="BA66" s="550"/>
      <c r="BB66" s="551"/>
      <c r="BC66" s="513"/>
      <c r="BD66" s="514"/>
      <c r="BE66" s="513"/>
      <c r="BF66" s="514"/>
      <c r="BG66" s="513"/>
      <c r="BH66" s="514"/>
      <c r="BI66" s="520"/>
      <c r="BJ66" s="517"/>
      <c r="BK66" s="520"/>
      <c r="BL66" s="517"/>
      <c r="BM66" s="520"/>
      <c r="BN66" s="517"/>
      <c r="BO66" s="520"/>
      <c r="BP66" s="517"/>
      <c r="BQ66" s="520"/>
      <c r="BR66" s="517"/>
      <c r="BS66" s="520"/>
      <c r="BT66" s="517"/>
      <c r="BU66" s="520"/>
      <c r="BV66" s="517"/>
      <c r="BW66" s="520"/>
      <c r="BX66" s="517"/>
      <c r="BY66" s="556" t="n">
        <f aca="false">AK66+AM66+AO66+AQ66+AS66+AU66+AW66+AY66+BA66+BC66+BE66+BG66+BI66+BK66+BM66+BO66+BQ66+BS66+BU66+BW66</f>
        <v>0</v>
      </c>
      <c r="BZ66" s="524" t="n">
        <f aca="false">IF(AND(BY66=0,CC66=0),0,(ABS(AK66)*AL66+ABS(AM66)*AN66+ABS(AO66)*AP66+ABS(AQ66)*AR66+ABS(AS66)*AT66+ABS(AU66)*AV66+ABS(AW66)*AX66+ABS(AY66)*AZ66+ABS(BA66)*BB66+ABS(BC66)*BD66+ABS(BE66)*BF66+ABS(BG66)*BH66+ABS(BI66)*BJ66+ABS(BK66)*BL66+ABS(BM66)*BN66+ABS(BO66)*BP66+ABS(BQ66)*BR66+ABS(BS66)*BT66+ABS(BU66)*BV66+ABS(BW66)*BX66)/CC66)</f>
        <v>0</v>
      </c>
      <c r="CA66" s="222"/>
      <c r="CB66" s="525" t="n">
        <f aca="false">AJ66</f>
        <v>37469</v>
      </c>
      <c r="CC66" s="222" t="n">
        <f aca="false">ABS(AK66)+ABS(AM66)+ABS(AO66)+ABS(AQ66)+ABS(AS66)+ABS(AU66)+ABS(AW66)+ABS(AY66)+ABS(BA66)+ABS(BC66)+ABS(BE66)+ABS(BG66)+ABS(BI66)+ABS(BK66)+ABS(BM66)+ABS(BO66)+ABS(BQ66)+ABS(BS66)+ABS(BU66)+ABS(BW66)</f>
        <v>0</v>
      </c>
      <c r="CD66" s="526" t="n">
        <f aca="false">CD22</f>
        <v>352</v>
      </c>
      <c r="CE66" s="222" t="n">
        <f aca="false">CE22</f>
        <v>0.963775898189151</v>
      </c>
      <c r="CF66" s="527" t="n">
        <f aca="false">E66-B66</f>
        <v>0</v>
      </c>
      <c r="CG66" s="527" t="n">
        <f aca="false">IF(YEAR($AJ66)=$CG$10,(($I66-$AL$92)*$AK$92+($I66-$AN$92)*$AM$92+($I66-$AP$92)*$AO$92+($I66-$AR$92)*$AQ$92+($I66-$AT$92)*$AS$92+($I66-$AV$92)*$AU$92+($I66-$AX$92)*$AW$92+($I66-$AZ$92)*$AY$92+($I66-$BB$92)*$BA$92+($I66-$BD$92)*$BC$92+($I66-$BF$92)*$BE$92+($I66-$BH$92)*$BG$92+($I66-$BJ$92)*$BI$92+($I66-$BL$92)*$BK$92+($I66-$BN$92)*$BM$92+($I66-$BP$92)*$BO$92+($I66-$BR$92)*$BQ$92+($I66-$BT$92)*$BS$92+($I66-$BV$92)*$BU$92+($I66-$BX$92)*$BW$92)*$CD66*$CE66,0)</f>
        <v>0</v>
      </c>
      <c r="CH66" s="527" t="n">
        <f aca="false">IF(YEAR($AJ66)=$CH$10,(($I66-$AL$93)*$AK$93+($I66-$AN$93)*$AM$93+($I66-$AP$93)*$AO$93+($I66-$AR$93)*$AQ$93+($I66-$AT$93)*$AS$93+($I66-$AV$93)*$AU$93+($I66-$AX$93)*$AW$93+($I66-$AZ$93)*$AY$93+($I66-$BB$93)*$BA$93+($I66-$BD$93)*$BC$93+($I66-$BF$93)*$BE$93+($I66-$BH$93)*$BG$93+($I66-$BJ$93)*$BI$93+($I66-$BL$93)*$BK$93+($I66-$BN$93)*$BM$93+($I66-$BP$93)*$BO$93+($I66-$BR$93)*$BQ$93+($I66-$BT$93)*$BS$93+($I66-$BV$93)*$BU$93+($I66-$BX$93)*$BW$93)*$CD66*$CE66,0)</f>
        <v>0</v>
      </c>
      <c r="CI66" s="527" t="n">
        <f aca="false">IF(YEAR($AJ66)=$CI$10,(($I66-$AL$94)*$AK$94+($I66-$AN$94)*$AM$94+($I66-$AP$94)*$AO$94+($I66-$AR$94)*$AQ$94+($I66-$AT$94)*$AS$94+($I66-$AV$94)*$AU$94+($I66-$AX$94)*$AW$94+($I66-$AZ$94)*$AY$94+($I66-$BB$94)*$BA$94+($I66-$BD$94)*$BC$94+($I66-$BF$94)*$BE$94+($I66-$BH$94)*$BG$94+($I66-$BJ$94)*$BI$94+($I66-$BL$94)*$BK$94+($I66-$BN$94)*$BM$94+($I66-$BP$94)*$BO$94+($I66-$BR$94)*$BQ$94+($I66-$BT$94)*$BS$94+($I66-$BV$94)*$BU$94+($I66-$BX$94)*$BW$94)*$CD66*$CE66,0)</f>
        <v>0</v>
      </c>
      <c r="CJ66" s="439" t="n">
        <f aca="false">CC66*CD66</f>
        <v>0</v>
      </c>
      <c r="CM66" s="530" t="n">
        <f aca="false">+CL22*CF66/10000</f>
        <v>0</v>
      </c>
      <c r="DJ66" s="532" t="n">
        <f aca="false">[1]Cinergy!$D88</f>
        <v>38808</v>
      </c>
      <c r="DK66" s="440" t="n">
        <f aca="false">VLOOKUP(DJ66,DL66:DM307,2)</f>
        <v>20</v>
      </c>
      <c r="DL66" s="533" t="n">
        <v>37377</v>
      </c>
      <c r="DM66" s="459" t="n">
        <v>22</v>
      </c>
      <c r="DP66" s="534" t="n">
        <f aca="false">[1]Cinergy!$D57</f>
        <v>37865</v>
      </c>
      <c r="DQ66" s="234" t="n">
        <f aca="false">[1]OPPD_NPPD!$O57+[1]NSP!$O57</f>
        <v>0</v>
      </c>
      <c r="DR66" s="234" t="n">
        <f aca="false">[1]COMED!$O57</f>
        <v>-153781.765625</v>
      </c>
      <c r="DS66" s="234" t="n">
        <f aca="false">DQ66+DR66</f>
        <v>-153781.765625</v>
      </c>
      <c r="DT66" s="234" t="n">
        <f aca="false">SUM([1]OPPD_NPPD!$P57:$R57)+SUM([1]NSP!$P57:$R57)</f>
        <v>0</v>
      </c>
      <c r="DU66" s="234" t="n">
        <f aca="false">SUM([1]COMED!$P57:$R57)</f>
        <v>-366.147064208984</v>
      </c>
      <c r="DV66" s="234" t="n">
        <f aca="false">DT66+DU66</f>
        <v>-366.147064208984</v>
      </c>
      <c r="DW66" s="535"/>
      <c r="DX66" s="536" t="n">
        <f aca="false">[1]OtherPosn!$D57</f>
        <v>37742</v>
      </c>
      <c r="DY66" s="234" t="n">
        <f aca="false">[1]OtherPosn!$N57</f>
        <v>-15643.814453125</v>
      </c>
      <c r="DZ66" s="234" t="n">
        <f aca="false">SUM([1]OtherPosn!$O57:$P57)</f>
        <v>0</v>
      </c>
      <c r="EO66" s="532" t="n">
        <f aca="false">EO22</f>
        <v>37469</v>
      </c>
      <c r="EP66" s="234" t="n">
        <f aca="false">EP22</f>
        <v>22</v>
      </c>
      <c r="EQ66" s="473" t="n">
        <f aca="false">O65*$EP66</f>
        <v>649</v>
      </c>
      <c r="ER66" s="473" t="n">
        <f aca="false">P65*$EP66</f>
        <v>649</v>
      </c>
      <c r="ES66" s="439" t="n">
        <f aca="false">IF(YEAR($EO66)=1999,EP66,0)</f>
        <v>0</v>
      </c>
      <c r="ET66" s="439" t="n">
        <f aca="false">IF(YEAR($EO66)=1999,EQ66,0)</f>
        <v>0</v>
      </c>
      <c r="EU66" s="439" t="n">
        <f aca="false">IF(YEAR($EO66)=1999,ER66,0)</f>
        <v>0</v>
      </c>
    </row>
    <row r="67" customFormat="false" ht="18" hidden="false" customHeight="false" outlineLevel="0" collapsed="false">
      <c r="A67" s="537" t="n">
        <f aca="false">[1]COMED!$D45</f>
        <v>37500</v>
      </c>
      <c r="B67" s="180" t="n">
        <f aca="false">[1]COMED!$O45</f>
        <v>92168.7890625</v>
      </c>
      <c r="C67" s="538" t="n">
        <f aca="false">B67/(CE67*CD67)</f>
        <v>299.815016469527</v>
      </c>
      <c r="D67" s="538" t="n">
        <f aca="false">BY67+IF(YEAR(A67)=$T$20,$BY$92,0)+IF(YEAR(A67)=$T$21,$BY$93,0)+IF(YEAR(A67)=$T$22,$BY$94,0)</f>
        <v>0</v>
      </c>
      <c r="E67" s="160" t="n">
        <f aca="false">B67+(D67*CD67*CE67)</f>
        <v>92168.7890625</v>
      </c>
      <c r="F67" s="539" t="n">
        <f aca="false">C67+D67</f>
        <v>299.815016469527</v>
      </c>
      <c r="G67" s="540" t="n">
        <f aca="false">[1]COMED!$E45</f>
        <v>27.2499942779541</v>
      </c>
      <c r="H67" s="498" t="n">
        <f aca="false">IF($R$53,R67,Q67)</f>
        <v>0</v>
      </c>
      <c r="I67" s="541" t="n">
        <f aca="false">G67+H67</f>
        <v>27.2499942779541</v>
      </c>
      <c r="J67" s="160" t="n">
        <f aca="false">H67*B67</f>
        <v>0</v>
      </c>
      <c r="K67" s="114" t="n">
        <f aca="false">(((I67-AL67)*AK67+(I67-AN67)*AM67+(I67-AP67)*AO67+(I67-AR67)*AQ67+(I67-AT67)*AS67+(I67-AV67)*AU67+(I67-AX67)*AW67+(I67-AZ67)*AY67+(I67-BB67)*BA67+(I67-BD67)*BC67+(I67-BF67)*BE67+(I67-BH67)*BG67+(I67-BJ67)*BI67+(I67-BL67)*BK67+(I67-BN67)*BM67+(I67-BP67)*BO67+(I67-BR67)*BQ67+(I67-BT67)*BS67+(I67-BV67)*BU67+(I67-BX67)*BW67)*CD67*CE67)+CG67+CH67+CI67</f>
        <v>0</v>
      </c>
      <c r="L67" s="114" t="n">
        <f aca="false">J67+K67</f>
        <v>0</v>
      </c>
      <c r="M67" s="46"/>
      <c r="N67" s="500" t="n">
        <f aca="false">A67</f>
        <v>37500</v>
      </c>
      <c r="O67" s="501" t="n">
        <v>85</v>
      </c>
      <c r="P67" s="501" t="n">
        <v>85</v>
      </c>
      <c r="Q67" s="502" t="n">
        <f aca="false">AVERAGE(O67:P67)-G67</f>
        <v>57.7500057220459</v>
      </c>
      <c r="R67" s="677" t="n">
        <f aca="false">TradeSum!R23</f>
        <v>0</v>
      </c>
      <c r="S67" s="679" t="n">
        <f aca="false">I67</f>
        <v>27.2499942779541</v>
      </c>
      <c r="T67" s="506"/>
      <c r="U67" s="50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512" t="n">
        <f aca="false">A67</f>
        <v>37500</v>
      </c>
      <c r="AK67" s="513"/>
      <c r="AL67" s="514"/>
      <c r="AM67" s="513"/>
      <c r="AN67" s="514"/>
      <c r="AO67" s="513"/>
      <c r="AP67" s="514"/>
      <c r="AQ67" s="513"/>
      <c r="AR67" s="514"/>
      <c r="AS67" s="515"/>
      <c r="AT67" s="516"/>
      <c r="AU67" s="550" t="n">
        <f aca="false">+AU66</f>
        <v>0</v>
      </c>
      <c r="AV67" s="551" t="n">
        <f aca="false">+AV66</f>
        <v>0</v>
      </c>
      <c r="AW67" s="550" t="n">
        <f aca="false">+AW66</f>
        <v>0</v>
      </c>
      <c r="AX67" s="551" t="n">
        <f aca="false">+AX66</f>
        <v>0</v>
      </c>
      <c r="AY67" s="562"/>
      <c r="AZ67" s="563"/>
      <c r="BA67" s="513"/>
      <c r="BB67" s="514"/>
      <c r="BC67" s="513"/>
      <c r="BD67" s="514"/>
      <c r="BE67" s="564"/>
      <c r="BF67" s="565"/>
      <c r="BG67" s="513"/>
      <c r="BH67" s="514"/>
      <c r="BI67" s="520"/>
      <c r="BJ67" s="517"/>
      <c r="BK67" s="520"/>
      <c r="BL67" s="517"/>
      <c r="BM67" s="520"/>
      <c r="BN67" s="517"/>
      <c r="BO67" s="520"/>
      <c r="BP67" s="517"/>
      <c r="BQ67" s="520"/>
      <c r="BR67" s="517"/>
      <c r="BS67" s="520"/>
      <c r="BT67" s="517"/>
      <c r="BU67" s="520"/>
      <c r="BV67" s="517"/>
      <c r="BW67" s="520"/>
      <c r="BX67" s="517"/>
      <c r="BY67" s="556" t="n">
        <f aca="false">AK67+AM67+AO67+AQ67+AS67+AU67+AW67+AY67+BA67+BC67+BE67+BG67+BI67+BK67+BM67+BO67+BQ67+BS67+BU67+BW67</f>
        <v>0</v>
      </c>
      <c r="BZ67" s="524" t="n">
        <f aca="false">IF(AND(BY67=0,CC67=0),0,(ABS(AK67)*AL67+ABS(AM67)*AN67+ABS(AO67)*AP67+ABS(AQ67)*AR67+ABS(AS67)*AT67+ABS(AU67)*AV67+ABS(AW67)*AX67+ABS(AY67)*AZ67+ABS(BA67)*BB67+ABS(BC67)*BD67+ABS(BE67)*BF67+ABS(BG67)*BH67+ABS(BI67)*BJ67+ABS(BK67)*BL67+ABS(BM67)*BN67+ABS(BO67)*BP67+ABS(BQ67)*BR67+ABS(BS67)*BT67+ABS(BU67)*BV67+ABS(BW67)*BX67)/CC67)</f>
        <v>0</v>
      </c>
      <c r="CA67" s="222"/>
      <c r="CB67" s="525" t="n">
        <f aca="false">AJ67</f>
        <v>37500</v>
      </c>
      <c r="CC67" s="222" t="n">
        <f aca="false">ABS(AK67)+ABS(AM67)+ABS(AO67)+ABS(AQ67)+ABS(AS67)+ABS(AU67)+ABS(AW67)+ABS(AY67)+ABS(BA67)+ABS(BC67)+ABS(BE67)+ABS(BG67)+ABS(BI67)+ABS(BK67)+ABS(BM67)+ABS(BO67)+ABS(BQ67)+ABS(BS67)+ABS(BU67)+ABS(BW67)</f>
        <v>0</v>
      </c>
      <c r="CD67" s="526" t="n">
        <f aca="false">CD23</f>
        <v>320</v>
      </c>
      <c r="CE67" s="222" t="n">
        <f aca="false">CE23</f>
        <v>0.960683921746086</v>
      </c>
      <c r="CF67" s="527" t="n">
        <f aca="false">E67-B67</f>
        <v>0</v>
      </c>
      <c r="CG67" s="527" t="n">
        <f aca="false">IF(YEAR($AJ67)=$CG$10,(($I67-$AL$92)*$AK$92+($I67-$AN$92)*$AM$92+($I67-$AP$92)*$AO$92+($I67-$AR$92)*$AQ$92+($I67-$AT$92)*$AS$92+($I67-$AV$92)*$AU$92+($I67-$AX$92)*$AW$92+($I67-$AZ$92)*$AY$92+($I67-$BB$92)*$BA$92+($I67-$BD$92)*$BC$92+($I67-$BF$92)*$BE$92+($I67-$BH$92)*$BG$92+($I67-$BJ$92)*$BI$92+($I67-$BL$92)*$BK$92+($I67-$BN$92)*$BM$92+($I67-$BP$92)*$BO$92+($I67-$BR$92)*$BQ$92+($I67-$BT$92)*$BS$92+($I67-$BV$92)*$BU$92+($I67-$BX$92)*$BW$92)*$CD67*$CE67,0)</f>
        <v>0</v>
      </c>
      <c r="CH67" s="527" t="n">
        <f aca="false">IF(YEAR($AJ67)=$CH$10,(($I67-$AL$93)*$AK$93+($I67-$AN$93)*$AM$93+($I67-$AP$93)*$AO$93+($I67-$AR$93)*$AQ$93+($I67-$AT$93)*$AS$93+($I67-$AV$93)*$AU$93+($I67-$AX$93)*$AW$93+($I67-$AZ$93)*$AY$93+($I67-$BB$93)*$BA$93+($I67-$BD$93)*$BC$93+($I67-$BF$93)*$BE$93+($I67-$BH$93)*$BG$93+($I67-$BJ$93)*$BI$93+($I67-$BL$93)*$BK$93+($I67-$BN$93)*$BM$93+($I67-$BP$93)*$BO$93+($I67-$BR$93)*$BQ$93+($I67-$BT$93)*$BS$93+($I67-$BV$93)*$BU$93+($I67-$BX$93)*$BW$93)*$CD67*$CE67,0)</f>
        <v>0</v>
      </c>
      <c r="CI67" s="527" t="n">
        <f aca="false">IF(YEAR($AJ67)=$CI$10,(($I67-$AL$94)*$AK$94+($I67-$AN$94)*$AM$94+($I67-$AP$94)*$AO$94+($I67-$AR$94)*$AQ$94+($I67-$AT$94)*$AS$94+($I67-$AV$94)*$AU$94+($I67-$AX$94)*$AW$94+($I67-$AZ$94)*$AY$94+($I67-$BB$94)*$BA$94+($I67-$BD$94)*$BC$94+($I67-$BF$94)*$BE$94+($I67-$BH$94)*$BG$94+($I67-$BJ$94)*$BI$94+($I67-$BL$94)*$BK$94+($I67-$BN$94)*$BM$94+($I67-$BP$94)*$BO$94+($I67-$BR$94)*$BQ$94+($I67-$BT$94)*$BS$94+($I67-$BV$94)*$BU$94+($I67-$BX$94)*$BW$94)*$CD67*$CE67,0)</f>
        <v>0</v>
      </c>
      <c r="CJ67" s="439" t="n">
        <f aca="false">CC67*CD67</f>
        <v>0</v>
      </c>
      <c r="CM67" s="530" t="n">
        <f aca="false">+CL23*CF67/10000</f>
        <v>0</v>
      </c>
      <c r="DJ67" s="532" t="n">
        <f aca="false">[1]Cinergy!$D89</f>
        <v>38838</v>
      </c>
      <c r="DK67" s="440" t="n">
        <f aca="false">VLOOKUP(DJ67,DL67:DM308,2)</f>
        <v>22</v>
      </c>
      <c r="DL67" s="533" t="n">
        <v>37408</v>
      </c>
      <c r="DM67" s="459" t="n">
        <v>20</v>
      </c>
      <c r="DP67" s="534" t="n">
        <f aca="false">[1]Cinergy!$D58</f>
        <v>37895</v>
      </c>
      <c r="DQ67" s="234" t="n">
        <f aca="false">[1]OPPD_NPPD!$O58+[1]NSP!$O58</f>
        <v>0</v>
      </c>
      <c r="DR67" s="234" t="n">
        <f aca="false">[1]COMED!$O58</f>
        <v>-167670.328125</v>
      </c>
      <c r="DS67" s="234" t="n">
        <f aca="false">DQ67+DR67</f>
        <v>-167670.328125</v>
      </c>
      <c r="DT67" s="234" t="n">
        <f aca="false">SUM([1]OPPD_NPPD!$P58:$R58)+SUM([1]NSP!$P58:$R58)</f>
        <v>0</v>
      </c>
      <c r="DU67" s="234" t="n">
        <f aca="false">SUM([1]COMED!$P58:$R58)</f>
        <v>0</v>
      </c>
      <c r="DV67" s="234" t="n">
        <f aca="false">DT67+DU67</f>
        <v>0</v>
      </c>
      <c r="DW67" s="535"/>
      <c r="DX67" s="536" t="n">
        <f aca="false">[1]OtherPosn!$D58</f>
        <v>37773</v>
      </c>
      <c r="DY67" s="234" t="n">
        <f aca="false">[1]OtherPosn!$N58</f>
        <v>-15579.6240234375</v>
      </c>
      <c r="DZ67" s="234" t="n">
        <f aca="false">SUM([1]OtherPosn!$O58:$P58)</f>
        <v>0</v>
      </c>
      <c r="EO67" s="532" t="n">
        <f aca="false">EO23</f>
        <v>37500</v>
      </c>
      <c r="EP67" s="234" t="n">
        <f aca="false">EP23</f>
        <v>20</v>
      </c>
      <c r="EQ67" s="473" t="n">
        <f aca="false">O66*$EP67</f>
        <v>1160</v>
      </c>
      <c r="ER67" s="473" t="n">
        <f aca="false">P66*$EP67</f>
        <v>1160</v>
      </c>
      <c r="ES67" s="439" t="n">
        <f aca="false">IF(YEAR($EO67)=1999,EP67,0)</f>
        <v>0</v>
      </c>
      <c r="ET67" s="439" t="n">
        <f aca="false">IF(YEAR($EO67)=1999,EQ67,0)</f>
        <v>0</v>
      </c>
      <c r="EU67" s="439" t="n">
        <f aca="false">IF(YEAR($EO67)=1999,ER67,0)</f>
        <v>0</v>
      </c>
    </row>
    <row r="68" customFormat="false" ht="18.75" hidden="false" customHeight="false" outlineLevel="0" collapsed="false">
      <c r="A68" s="95" t="n">
        <f aca="false">[1]COMED!$D46</f>
        <v>37530</v>
      </c>
      <c r="B68" s="122" t="n">
        <f aca="false">[1]COMED!$O46</f>
        <v>-176028.328125</v>
      </c>
      <c r="C68" s="163" t="n">
        <f aca="false">B68/(CE68*CD68)</f>
        <v>-499.615174618189</v>
      </c>
      <c r="D68" s="496" t="n">
        <f aca="false">BY68+IF(YEAR(A68)=$T$20,$BY$92,0)+IF(YEAR(A68)=$T$21,$BY$93,0)+IF(YEAR(A68)=$T$22,$BY$94,0)</f>
        <v>0</v>
      </c>
      <c r="E68" s="163" t="n">
        <f aca="false">B68+(D68*CD68*CE68)</f>
        <v>-176028.328125</v>
      </c>
      <c r="F68" s="497" t="n">
        <f aca="false">C68+D68</f>
        <v>-499.615174618189</v>
      </c>
      <c r="G68" s="498" t="n">
        <f aca="false">[1]COMED!$E46</f>
        <v>28.2562484741211</v>
      </c>
      <c r="H68" s="498" t="n">
        <f aca="false">IF($R$53,R68,Q68)</f>
        <v>-3.27825546264648E-007</v>
      </c>
      <c r="I68" s="499" t="n">
        <f aca="false">G68+H68</f>
        <v>28.2562481462955</v>
      </c>
      <c r="J68" s="122" t="n">
        <f aca="false">H68*B68</f>
        <v>0.0577065828256309</v>
      </c>
      <c r="K68" s="123" t="n">
        <f aca="false">(((I68-AL68)*AK68+(I68-AN68)*AM68+(I68-AP68)*AO68+(I68-AR68)*AQ68+(I68-AT68)*AS68+(I68-AV68)*AU68+(I68-AX68)*AW68+(I68-AZ68)*AY68+(I68-BB68)*BA68+(I68-BD68)*BC68+(I68-BF68)*BE68+(I68-BH68)*BG68+(I68-BJ68)*BI68+(I68-BL68)*BK68+(I68-BN68)*BM68+(I68-BP68)*BO68+(I68-BR68)*BQ68+(I68-BT68)*BS68+(I68-BV68)*BU68+(I68-BX68)*BW68)*CD68*CE68)+CG68+CH68+CI68</f>
        <v>0</v>
      </c>
      <c r="L68" s="123" t="n">
        <f aca="false">J68+K68</f>
        <v>0.0577065828256309</v>
      </c>
      <c r="M68" s="669"/>
      <c r="N68" s="500" t="n">
        <f aca="false">A68</f>
        <v>37530</v>
      </c>
      <c r="O68" s="501" t="n">
        <v>85</v>
      </c>
      <c r="P68" s="501" t="n">
        <v>85</v>
      </c>
      <c r="Q68" s="502" t="n">
        <f aca="false">AVERAGE(O68:P68)-G68</f>
        <v>56.7437515258789</v>
      </c>
      <c r="R68" s="677" t="n">
        <f aca="false">TradeSum!R24</f>
        <v>-3.27825546264648E-007</v>
      </c>
      <c r="S68" s="679" t="n">
        <f aca="false">I68</f>
        <v>28.2562481462955</v>
      </c>
      <c r="T68" s="506"/>
      <c r="U68" s="506"/>
      <c r="V68" s="46"/>
      <c r="W68" s="46"/>
      <c r="X68" s="46"/>
      <c r="Y68" s="46"/>
      <c r="Z68" s="0"/>
      <c r="AA68" s="0"/>
      <c r="AB68" s="0"/>
      <c r="AC68" s="0"/>
      <c r="AD68" s="0"/>
      <c r="AE68" s="46"/>
      <c r="AF68" s="46"/>
      <c r="AG68" s="46"/>
      <c r="AH68" s="46"/>
      <c r="AI68" s="46"/>
      <c r="AJ68" s="512" t="n">
        <f aca="false">A68</f>
        <v>37530</v>
      </c>
      <c r="AK68" s="513"/>
      <c r="AL68" s="514"/>
      <c r="AM68" s="513"/>
      <c r="AN68" s="514"/>
      <c r="AO68" s="513"/>
      <c r="AP68" s="514"/>
      <c r="AQ68" s="513"/>
      <c r="AR68" s="514"/>
      <c r="AS68" s="515"/>
      <c r="AT68" s="516"/>
      <c r="AU68" s="550" t="n">
        <f aca="false">+AU67</f>
        <v>0</v>
      </c>
      <c r="AV68" s="551" t="n">
        <f aca="false">+AV67</f>
        <v>0</v>
      </c>
      <c r="AW68" s="550" t="n">
        <f aca="false">+AW67</f>
        <v>0</v>
      </c>
      <c r="AX68" s="551" t="n">
        <f aca="false">+AX67</f>
        <v>0</v>
      </c>
      <c r="AY68" s="562"/>
      <c r="AZ68" s="563"/>
      <c r="BA68" s="513"/>
      <c r="BB68" s="514"/>
      <c r="BC68" s="513"/>
      <c r="BD68" s="514"/>
      <c r="BE68" s="564"/>
      <c r="BF68" s="565"/>
      <c r="BG68" s="513"/>
      <c r="BH68" s="514"/>
      <c r="BI68" s="520"/>
      <c r="BJ68" s="517"/>
      <c r="BK68" s="520"/>
      <c r="BL68" s="517"/>
      <c r="BM68" s="520"/>
      <c r="BN68" s="517"/>
      <c r="BO68" s="520"/>
      <c r="BP68" s="517"/>
      <c r="BQ68" s="520"/>
      <c r="BR68" s="517"/>
      <c r="BS68" s="520"/>
      <c r="BT68" s="517"/>
      <c r="BU68" s="520"/>
      <c r="BV68" s="517"/>
      <c r="BW68" s="520"/>
      <c r="BX68" s="517"/>
      <c r="BY68" s="556" t="n">
        <f aca="false">AK68+AM68+AO68+AQ68+AS68+AU68+AW68+AY68+BA68+BC68+BE68+BG68+BI68+BK68+BM68+BO68+BQ68+BS68+BU68+BW68</f>
        <v>0</v>
      </c>
      <c r="BZ68" s="524" t="n">
        <f aca="false">IF(AND(BY68=0,CC68=0),0,(ABS(AK68)*AL68+ABS(AM68)*AN68+ABS(AO68)*AP68+ABS(AQ68)*AR68+ABS(AS68)*AT68+ABS(AU68)*AV68+ABS(AW68)*AX68+ABS(AY68)*AZ68+ABS(BA68)*BB68+ABS(BC68)*BD68+ABS(BE68)*BF68+ABS(BG68)*BH68+ABS(BI68)*BJ68+ABS(BK68)*BL68+ABS(BM68)*BN68+ABS(BO68)*BP68+ABS(BQ68)*BR68+ABS(BS68)*BT68+ABS(BU68)*BV68+ABS(BW68)*BX68)/CC68)</f>
        <v>0</v>
      </c>
      <c r="CA68" s="222"/>
      <c r="CB68" s="525" t="n">
        <f aca="false">AJ68</f>
        <v>37530</v>
      </c>
      <c r="CC68" s="222" t="n">
        <f aca="false">ABS(AK68)+ABS(AM68)+ABS(AO68)+ABS(AQ68)+ABS(AS68)+ABS(AU68)+ABS(AW68)+ABS(AY68)+ABS(BA68)+ABS(BC68)+ABS(BE68)+ABS(BG68)+ABS(BI68)+ABS(BK68)+ABS(BM68)+ABS(BO68)+ABS(BQ68)+ABS(BS68)+ABS(BU68)+ABS(BW68)</f>
        <v>0</v>
      </c>
      <c r="CD68" s="526" t="n">
        <f aca="false">CD24</f>
        <v>368</v>
      </c>
      <c r="CE68" s="222" t="n">
        <f aca="false">CE24</f>
        <v>0.957412569646852</v>
      </c>
      <c r="CF68" s="527" t="n">
        <f aca="false">E68-B68</f>
        <v>0</v>
      </c>
      <c r="CG68" s="527" t="n">
        <f aca="false">IF(YEAR($AJ68)=$CG$10,(($I68-$AL$92)*$AK$92+($I68-$AN$92)*$AM$92+($I68-$AP$92)*$AO$92+($I68-$AR$92)*$AQ$92+($I68-$AT$92)*$AS$92+($I68-$AV$92)*$AU$92+($I68-$AX$92)*$AW$92+($I68-$AZ$92)*$AY$92+($I68-$BB$92)*$BA$92+($I68-$BD$92)*$BC$92+($I68-$BF$92)*$BE$92+($I68-$BH$92)*$BG$92+($I68-$BJ$92)*$BI$92+($I68-$BL$92)*$BK$92+($I68-$BN$92)*$BM$92+($I68-$BP$92)*$BO$92+($I68-$BR$92)*$BQ$92+($I68-$BT$92)*$BS$92+($I68-$BV$92)*$BU$92+($I68-$BX$92)*$BW$92)*$CD68*$CE68,0)</f>
        <v>0</v>
      </c>
      <c r="CH68" s="527" t="n">
        <f aca="false">IF(YEAR($AJ68)=$CH$10,(($I68-$AL$93)*$AK$93+($I68-$AN$93)*$AM$93+($I68-$AP$93)*$AO$93+($I68-$AR$93)*$AQ$93+($I68-$AT$93)*$AS$93+($I68-$AV$93)*$AU$93+($I68-$AX$93)*$AW$93+($I68-$AZ$93)*$AY$93+($I68-$BB$93)*$BA$93+($I68-$BD$93)*$BC$93+($I68-$BF$93)*$BE$93+($I68-$BH$93)*$BG$93+($I68-$BJ$93)*$BI$93+($I68-$BL$93)*$BK$93+($I68-$BN$93)*$BM$93+($I68-$BP$93)*$BO$93+($I68-$BR$93)*$BQ$93+($I68-$BT$93)*$BS$93+($I68-$BV$93)*$BU$93+($I68-$BX$93)*$BW$93)*$CD68*$CE68,0)</f>
        <v>0</v>
      </c>
      <c r="CI68" s="527" t="n">
        <f aca="false">IF(YEAR($AJ68)=$CI$10,(($I68-$AL$94)*$AK$94+($I68-$AN$94)*$AM$94+($I68-$AP$94)*$AO$94+($I68-$AR$94)*$AQ$94+($I68-$AT$94)*$AS$94+($I68-$AV$94)*$AU$94+($I68-$AX$94)*$AW$94+($I68-$AZ$94)*$AY$94+($I68-$BB$94)*$BA$94+($I68-$BD$94)*$BC$94+($I68-$BF$94)*$BE$94+($I68-$BH$94)*$BG$94+($I68-$BJ$94)*$BI$94+($I68-$BL$94)*$BK$94+($I68-$BN$94)*$BM$94+($I68-$BP$94)*$BO$94+($I68-$BR$94)*$BQ$94+($I68-$BT$94)*$BS$94+($I68-$BV$94)*$BU$94+($I68-$BX$94)*$BW$94)*$CD68*$CE68,0)</f>
        <v>0</v>
      </c>
      <c r="CJ68" s="439" t="n">
        <f aca="false">CC68*CD68</f>
        <v>0</v>
      </c>
      <c r="CM68" s="530" t="n">
        <f aca="false">+CL24*CF68/10000</f>
        <v>0</v>
      </c>
      <c r="DJ68" s="532" t="n">
        <f aca="false">[1]Cinergy!$D90</f>
        <v>38869</v>
      </c>
      <c r="DK68" s="440" t="n">
        <f aca="false">VLOOKUP(DJ68,DL68:DM309,2)</f>
        <v>22</v>
      </c>
      <c r="DL68" s="533" t="n">
        <v>37438</v>
      </c>
      <c r="DM68" s="459" t="n">
        <v>22</v>
      </c>
      <c r="DP68" s="534" t="n">
        <f aca="false">[1]Cinergy!$D59</f>
        <v>37926</v>
      </c>
      <c r="DQ68" s="234" t="n">
        <f aca="false">[1]OPPD_NPPD!$O59+[1]NSP!$O59</f>
        <v>0</v>
      </c>
      <c r="DR68" s="234" t="n">
        <f aca="false">[1]COMED!$O59</f>
        <v>-137899.078125</v>
      </c>
      <c r="DS68" s="234" t="n">
        <f aca="false">DQ68+DR68</f>
        <v>-137899.078125</v>
      </c>
      <c r="DT68" s="234" t="n">
        <f aca="false">SUM([1]OPPD_NPPD!$P59:$R59)+SUM([1]NSP!$P59:$R59)</f>
        <v>0</v>
      </c>
      <c r="DU68" s="234" t="n">
        <f aca="false">SUM([1]COMED!$P59:$R59)</f>
        <v>-362.892303466797</v>
      </c>
      <c r="DV68" s="234" t="n">
        <f aca="false">DT68+DU68</f>
        <v>-362.892303466797</v>
      </c>
      <c r="DW68" s="535"/>
      <c r="DX68" s="536" t="n">
        <f aca="false">[1]OtherPosn!$D59</f>
        <v>37803</v>
      </c>
      <c r="DY68" s="234" t="n">
        <f aca="false">[1]OtherPosn!$N59</f>
        <v>-16251.0751953125</v>
      </c>
      <c r="DZ68" s="234" t="n">
        <f aca="false">SUM([1]OtherPosn!$O59:$P59)</f>
        <v>0</v>
      </c>
      <c r="EO68" s="532" t="n">
        <f aca="false">EO24</f>
        <v>37530</v>
      </c>
      <c r="EP68" s="234" t="n">
        <f aca="false">EP24</f>
        <v>23</v>
      </c>
      <c r="EQ68" s="473" t="n">
        <f aca="false">O67*$EP68</f>
        <v>1955</v>
      </c>
      <c r="ER68" s="473" t="n">
        <f aca="false">P67*$EP68</f>
        <v>1955</v>
      </c>
      <c r="ES68" s="439" t="n">
        <f aca="false">IF(YEAR($EO68)=1999,EP68,0)</f>
        <v>0</v>
      </c>
      <c r="ET68" s="439" t="n">
        <f aca="false">IF(YEAR($EO68)=1999,EQ68,0)</f>
        <v>0</v>
      </c>
      <c r="EU68" s="439" t="n">
        <f aca="false">IF(YEAR($EO68)=1999,ER68,0)</f>
        <v>0</v>
      </c>
    </row>
    <row r="69" customFormat="false" ht="18.75" hidden="false" customHeight="true" outlineLevel="0" collapsed="false">
      <c r="A69" s="537" t="n">
        <f aca="false">[1]COMED!$D47</f>
        <v>37561</v>
      </c>
      <c r="B69" s="180" t="n">
        <f aca="false">[1]COMED!$O47</f>
        <v>-152526.265625</v>
      </c>
      <c r="C69" s="538" t="n">
        <f aca="false">B69/(CE69*CD69)</f>
        <v>-499.580742548962</v>
      </c>
      <c r="D69" s="538" t="n">
        <f aca="false">BY69+IF(YEAR(A69)=$T$20,$BY$92,0)+IF(YEAR(A69)=$T$21,$BY$93,0)+IF(YEAR(A69)=$T$22,$BY$94,0)</f>
        <v>0</v>
      </c>
      <c r="E69" s="160" t="n">
        <f aca="false">B69+(D69*CD69*CE69)</f>
        <v>-152526.265625</v>
      </c>
      <c r="F69" s="539" t="n">
        <f aca="false">C69+D69</f>
        <v>-499.580742548962</v>
      </c>
      <c r="G69" s="540" t="n">
        <f aca="false">[1]COMED!$E47</f>
        <v>28.4562473297119</v>
      </c>
      <c r="H69" s="498" t="n">
        <f aca="false">IF($R$53,R69,Q69)</f>
        <v>-3.27825546264648E-007</v>
      </c>
      <c r="I69" s="541" t="n">
        <f aca="false">G69+H69</f>
        <v>28.4562470018864</v>
      </c>
      <c r="J69" s="160" t="n">
        <f aca="false">H69*B69</f>
        <v>0.0500020063482225</v>
      </c>
      <c r="K69" s="114" t="n">
        <f aca="false">(((I69-AL69)*AK69+(I69-AN69)*AM69+(I69-AP69)*AO69+(I69-AR69)*AQ69+(I69-AT69)*AS69+(I69-AV69)*AU69+(I69-AX69)*AW69+(I69-AZ69)*AY69+(I69-BB69)*BA69+(I69-BD69)*BC69+(I69-BF69)*BE69+(I69-BH69)*BG69+(I69-BJ69)*BI69+(I69-BL69)*BK69+(I69-BN69)*BM69+(I69-BP69)*BO69+(I69-BR69)*BQ69+(I69-BT69)*BS69+(I69-BV69)*BU69+(I69-BX69)*BW69)*CD69*CE69)+CG69+CH69+CI69</f>
        <v>0</v>
      </c>
      <c r="L69" s="114" t="n">
        <f aca="false">J69+K69</f>
        <v>0.0500020063482225</v>
      </c>
      <c r="M69" s="669"/>
      <c r="N69" s="500" t="n">
        <f aca="false">A69</f>
        <v>37561</v>
      </c>
      <c r="O69" s="501" t="n">
        <v>34</v>
      </c>
      <c r="P69" s="501" t="n">
        <v>34</v>
      </c>
      <c r="Q69" s="502" t="n">
        <f aca="false">AVERAGE(O69:P69)-G69</f>
        <v>5.54375267028809</v>
      </c>
      <c r="R69" s="677" t="n">
        <f aca="false">TradeSum!R25</f>
        <v>-3.27825546264648E-007</v>
      </c>
      <c r="S69" s="679" t="n">
        <f aca="false">I69</f>
        <v>28.4562470018864</v>
      </c>
      <c r="T69" s="506"/>
      <c r="U69" s="506"/>
      <c r="V69" s="566" t="s">
        <v>254</v>
      </c>
      <c r="W69" s="481"/>
      <c r="X69" s="480"/>
      <c r="Y69" s="567"/>
      <c r="Z69" s="46"/>
      <c r="AA69" s="568" t="s">
        <v>286</v>
      </c>
      <c r="AB69" s="568" t="s">
        <v>287</v>
      </c>
      <c r="AC69" s="568" t="s">
        <v>288</v>
      </c>
      <c r="AD69" s="568" t="s">
        <v>289</v>
      </c>
      <c r="AE69" s="46"/>
      <c r="AF69" s="46"/>
      <c r="AG69" s="46"/>
      <c r="AH69" s="46"/>
      <c r="AI69" s="46"/>
      <c r="AJ69" s="512" t="n">
        <f aca="false">A69</f>
        <v>37561</v>
      </c>
      <c r="AK69" s="513" t="n">
        <f aca="false">+AK68</f>
        <v>0</v>
      </c>
      <c r="AL69" s="514" t="n">
        <f aca="false">+AL68</f>
        <v>0</v>
      </c>
      <c r="AM69" s="513" t="n">
        <f aca="false">+AM68</f>
        <v>0</v>
      </c>
      <c r="AN69" s="514" t="n">
        <f aca="false">+AN68</f>
        <v>0</v>
      </c>
      <c r="AO69" s="513" t="n">
        <f aca="false">+AO68</f>
        <v>0</v>
      </c>
      <c r="AP69" s="514" t="n">
        <f aca="false">+AP68</f>
        <v>0</v>
      </c>
      <c r="AQ69" s="513" t="n">
        <f aca="false">+AQ68</f>
        <v>0</v>
      </c>
      <c r="AR69" s="514" t="n">
        <f aca="false">+AR68</f>
        <v>0</v>
      </c>
      <c r="AS69" s="515"/>
      <c r="AT69" s="516"/>
      <c r="AU69" s="550" t="n">
        <f aca="false">+AU68</f>
        <v>0</v>
      </c>
      <c r="AV69" s="551" t="n">
        <f aca="false">+AV68</f>
        <v>0</v>
      </c>
      <c r="AW69" s="550" t="n">
        <f aca="false">+AW68</f>
        <v>0</v>
      </c>
      <c r="AX69" s="551" t="n">
        <f aca="false">+AX68</f>
        <v>0</v>
      </c>
      <c r="AY69" s="550"/>
      <c r="AZ69" s="551"/>
      <c r="BA69" s="550"/>
      <c r="BB69" s="551"/>
      <c r="BC69" s="513"/>
      <c r="BD69" s="514"/>
      <c r="BE69" s="513"/>
      <c r="BF69" s="514"/>
      <c r="BG69" s="513"/>
      <c r="BH69" s="514"/>
      <c r="BI69" s="520"/>
      <c r="BJ69" s="517"/>
      <c r="BK69" s="520"/>
      <c r="BL69" s="517"/>
      <c r="BM69" s="520"/>
      <c r="BN69" s="517"/>
      <c r="BO69" s="520"/>
      <c r="BP69" s="517"/>
      <c r="BQ69" s="520"/>
      <c r="BR69" s="517"/>
      <c r="BS69" s="520"/>
      <c r="BT69" s="517"/>
      <c r="BU69" s="520"/>
      <c r="BV69" s="517"/>
      <c r="BW69" s="520"/>
      <c r="BX69" s="517"/>
      <c r="BY69" s="556" t="n">
        <f aca="false">AK69+AM69+AO69+AQ69+AS69+AU69+AW69+AY69+BA69+BC69+BE69+BG69+BI69+BK69+BM69+BO69+BQ69+BS69+BU69+BW69</f>
        <v>0</v>
      </c>
      <c r="BZ69" s="524" t="n">
        <f aca="false">IF(AND(BY69=0,CC69=0),0,(ABS(AK69)*AL69+ABS(AM69)*AN69+ABS(AO69)*AP69+ABS(AQ69)*AR69+ABS(AS69)*AT69+ABS(AU69)*AV69+ABS(AW69)*AX69+ABS(AY69)*AZ69+ABS(BA69)*BB69+ABS(BC69)*BD69+ABS(BE69)*BF69+ABS(BG69)*BH69+ABS(BI69)*BJ69+ABS(BK69)*BL69+ABS(BM69)*BN69+ABS(BO69)*BP69+ABS(BQ69)*BR69+ABS(BS69)*BT69+ABS(BU69)*BV69+ABS(BW69)*BX69)/CC69)</f>
        <v>0</v>
      </c>
      <c r="CA69" s="222"/>
      <c r="CB69" s="525" t="n">
        <f aca="false">AJ69</f>
        <v>37561</v>
      </c>
      <c r="CC69" s="222" t="n">
        <f aca="false">ABS(AK69)+ABS(AM69)+ABS(AO69)+ABS(AQ69)+ABS(AS69)+ABS(AU69)+ABS(AW69)+ABS(AY69)+ABS(BA69)+ABS(BC69)+ABS(BE69)+ABS(BG69)+ABS(BI69)+ABS(BK69)+ABS(BM69)+ABS(BO69)+ABS(BQ69)+ABS(BS69)+ABS(BU69)+ABS(BW69)</f>
        <v>0</v>
      </c>
      <c r="CD69" s="526" t="n">
        <f aca="false">CD25</f>
        <v>320</v>
      </c>
      <c r="CE69" s="222" t="n">
        <f aca="false">CE25</f>
        <v>0.954089178150039</v>
      </c>
      <c r="CF69" s="527" t="n">
        <f aca="false">E69-B69</f>
        <v>0</v>
      </c>
      <c r="CG69" s="527" t="n">
        <f aca="false">IF(YEAR($AJ69)=$CG$10,(($I69-$AL$92)*$AK$92+($I69-$AN$92)*$AM$92+($I69-$AP$92)*$AO$92+($I69-$AR$92)*$AQ$92+($I69-$AT$92)*$AS$92+($I69-$AV$92)*$AU$92+($I69-$AX$92)*$AW$92+($I69-$AZ$92)*$AY$92+($I69-$BB$92)*$BA$92+($I69-$BD$92)*$BC$92+($I69-$BF$92)*$BE$92+($I69-$BH$92)*$BG$92+($I69-$BJ$92)*$BI$92+($I69-$BL$92)*$BK$92+($I69-$BN$92)*$BM$92+($I69-$BP$92)*$BO$92+($I69-$BR$92)*$BQ$92+($I69-$BT$92)*$BS$92+($I69-$BV$92)*$BU$92+($I69-$BX$92)*$BW$92)*$CD69*$CE69,0)</f>
        <v>0</v>
      </c>
      <c r="CH69" s="527" t="n">
        <f aca="false">IF(YEAR($AJ69)=$CH$10,(($I69-$AL$93)*$AK$93+($I69-$AN$93)*$AM$93+($I69-$AP$93)*$AO$93+($I69-$AR$93)*$AQ$93+($I69-$AT$93)*$AS$93+($I69-$AV$93)*$AU$93+($I69-$AX$93)*$AW$93+($I69-$AZ$93)*$AY$93+($I69-$BB$93)*$BA$93+($I69-$BD$93)*$BC$93+($I69-$BF$93)*$BE$93+($I69-$BH$93)*$BG$93+($I69-$BJ$93)*$BI$93+($I69-$BL$93)*$BK$93+($I69-$BN$93)*$BM$93+($I69-$BP$93)*$BO$93+($I69-$BR$93)*$BQ$93+($I69-$BT$93)*$BS$93+($I69-$BV$93)*$BU$93+($I69-$BX$93)*$BW$93)*$CD69*$CE69,0)</f>
        <v>0</v>
      </c>
      <c r="CI69" s="527" t="n">
        <f aca="false">IF(YEAR($AJ69)=$CI$10,(($I69-$AL$94)*$AK$94+($I69-$AN$94)*$AM$94+($I69-$AP$94)*$AO$94+($I69-$AR$94)*$AQ$94+($I69-$AT$94)*$AS$94+($I69-$AV$94)*$AU$94+($I69-$AX$94)*$AW$94+($I69-$AZ$94)*$AY$94+($I69-$BB$94)*$BA$94+($I69-$BD$94)*$BC$94+($I69-$BF$94)*$BE$94+($I69-$BH$94)*$BG$94+($I69-$BJ$94)*$BI$94+($I69-$BL$94)*$BK$94+($I69-$BN$94)*$BM$94+($I69-$BP$94)*$BO$94+($I69-$BR$94)*$BQ$94+($I69-$BT$94)*$BS$94+($I69-$BV$94)*$BU$94+($I69-$BX$94)*$BW$94)*$CD69*$CE69,0)</f>
        <v>0</v>
      </c>
      <c r="CJ69" s="439" t="n">
        <f aca="false">CC69*CD69</f>
        <v>0</v>
      </c>
      <c r="CM69" s="530" t="n">
        <f aca="false">+CL25*CF69/10000</f>
        <v>0</v>
      </c>
      <c r="DJ69" s="532" t="n">
        <f aca="false">[1]Cinergy!$D91</f>
        <v>38899</v>
      </c>
      <c r="DK69" s="440" t="n">
        <f aca="false">VLOOKUP(DJ69,DL69:DM310,2)</f>
        <v>20</v>
      </c>
      <c r="DL69" s="533" t="n">
        <v>37469</v>
      </c>
      <c r="DM69" s="459" t="n">
        <v>22</v>
      </c>
      <c r="DP69" s="534" t="n">
        <f aca="false">[1]Cinergy!$D60</f>
        <v>37956</v>
      </c>
      <c r="DQ69" s="234" t="n">
        <f aca="false">[1]OPPD_NPPD!$O60+[1]NSP!$O60</f>
        <v>0</v>
      </c>
      <c r="DR69" s="234" t="n">
        <f aca="false">[1]COMED!$O60</f>
        <v>-158935.65625</v>
      </c>
      <c r="DS69" s="234" t="n">
        <f aca="false">DQ69+DR69</f>
        <v>-158935.65625</v>
      </c>
      <c r="DT69" s="234" t="n">
        <f aca="false">SUM([1]OPPD_NPPD!$P60:$R60)+SUM([1]NSP!$P60:$R60)</f>
        <v>0</v>
      </c>
      <c r="DU69" s="234" t="n">
        <f aca="false">SUM([1]COMED!$P60:$R60)</f>
        <v>-361.217407226563</v>
      </c>
      <c r="DV69" s="234" t="n">
        <f aca="false">DT69+DU69</f>
        <v>-361.217407226563</v>
      </c>
      <c r="DW69" s="535"/>
      <c r="DX69" s="536" t="n">
        <f aca="false">[1]OtherPosn!$D60</f>
        <v>37834</v>
      </c>
      <c r="DY69" s="234" t="n">
        <f aca="false">[1]OtherPosn!$N60</f>
        <v>-15444.431640625</v>
      </c>
      <c r="DZ69" s="234" t="n">
        <f aca="false">SUM([1]OtherPosn!$O60:$P60)</f>
        <v>0</v>
      </c>
      <c r="EO69" s="532" t="n">
        <f aca="false">EO25</f>
        <v>37561</v>
      </c>
      <c r="EP69" s="234" t="n">
        <f aca="false">EP25</f>
        <v>20</v>
      </c>
      <c r="EQ69" s="473" t="n">
        <f aca="false">O68*$EP69</f>
        <v>1700</v>
      </c>
      <c r="ER69" s="473" t="n">
        <f aca="false">P68*$EP69</f>
        <v>1700</v>
      </c>
      <c r="ES69" s="439" t="n">
        <f aca="false">IF(YEAR($EO69)=1999,EP69,0)</f>
        <v>0</v>
      </c>
      <c r="ET69" s="439" t="n">
        <f aca="false">IF(YEAR($EO69)=1999,EQ69,0)</f>
        <v>0</v>
      </c>
      <c r="EU69" s="439" t="n">
        <f aca="false">IF(YEAR($EO69)=1999,ER69,0)</f>
        <v>0</v>
      </c>
    </row>
    <row r="70" customFormat="false" ht="18.75" hidden="false" customHeight="true" outlineLevel="0" collapsed="false">
      <c r="A70" s="95" t="n">
        <f aca="false">[1]COMED!$D48</f>
        <v>37591</v>
      </c>
      <c r="B70" s="122" t="n">
        <f aca="false">[1]COMED!$O48</f>
        <v>-159545.34375</v>
      </c>
      <c r="C70" s="163" t="n">
        <f aca="false">B70/(CE70*CD70)</f>
        <v>-499.494318438916</v>
      </c>
      <c r="D70" s="496" t="n">
        <f aca="false">BY70+IF(YEAR(A70)=$T$20,$BY$92,0)+IF(YEAR(A70)=$T$21,$BY$93,0)+IF(YEAR(A70)=$T$22,$BY$94,0)</f>
        <v>0</v>
      </c>
      <c r="E70" s="163" t="n">
        <f aca="false">B70+(D70*CD70*CE70)</f>
        <v>-159545.34375</v>
      </c>
      <c r="F70" s="497" t="n">
        <f aca="false">C70+D70</f>
        <v>-499.494318438916</v>
      </c>
      <c r="G70" s="498" t="n">
        <f aca="false">[1]COMED!$E48</f>
        <v>28.6562480926514</v>
      </c>
      <c r="H70" s="498" t="n">
        <f aca="false">IF($R$53,R70,Q70)</f>
        <v>-3.27825546264648E-007</v>
      </c>
      <c r="I70" s="499" t="n">
        <f aca="false">G70+H70</f>
        <v>28.6562477648258</v>
      </c>
      <c r="J70" s="122" t="n">
        <f aca="false">H70*B70</f>
        <v>0.0523030394688249</v>
      </c>
      <c r="K70" s="123" t="n">
        <f aca="false">(((I70-AL70)*AK70+(I70-AN70)*AM70+(I70-AP70)*AO70+(I70-AR70)*AQ70+(I70-AT70)*AS70+(I70-AV70)*AU70+(I70-AX70)*AW70+(I70-AZ70)*AY70+(I70-BB70)*BA70+(I70-BD70)*BC70+(I70-BF70)*BE70+(I70-BH70)*BG70+(I70-BJ70)*BI70+(I70-BL70)*BK70+(I70-BN70)*BM70+(I70-BP70)*BO70+(I70-BR70)*BQ70+(I70-BT70)*BS70+(I70-BV70)*BU70+(I70-BX70)*BW70)*CD70*CE70)+CG70+CH70+CI70</f>
        <v>0</v>
      </c>
      <c r="L70" s="123" t="n">
        <f aca="false">J70+K70</f>
        <v>0.0523030394688249</v>
      </c>
      <c r="M70" s="669"/>
      <c r="N70" s="500" t="n">
        <f aca="false">A70</f>
        <v>37591</v>
      </c>
      <c r="O70" s="501" t="n">
        <v>25.45</v>
      </c>
      <c r="P70" s="501" t="n">
        <v>25.45</v>
      </c>
      <c r="Q70" s="502" t="n">
        <f aca="false">AVERAGE(O70:P70)-G70</f>
        <v>-3.20624809265137</v>
      </c>
      <c r="R70" s="677" t="n">
        <f aca="false">TradeSum!R26</f>
        <v>-3.27825546264648E-007</v>
      </c>
      <c r="S70" s="679" t="n">
        <f aca="false">I70</f>
        <v>28.6562477648258</v>
      </c>
      <c r="T70" s="506"/>
      <c r="U70" s="506"/>
      <c r="V70" s="569" t="s">
        <v>83</v>
      </c>
      <c r="W70" s="82" t="s">
        <v>81</v>
      </c>
      <c r="X70" s="486" t="s">
        <v>80</v>
      </c>
      <c r="Y70" s="570"/>
      <c r="Z70" s="571" t="n">
        <f aca="false">A56</f>
        <v>37195</v>
      </c>
      <c r="AA70" s="572" t="n">
        <f aca="false">I56</f>
        <v>24.45</v>
      </c>
      <c r="AB70" s="573" t="n">
        <f aca="false">AB26</f>
        <v>-527.379152334651</v>
      </c>
      <c r="AC70" s="574" t="n">
        <f aca="false">AC26</f>
        <v>280.044772792992</v>
      </c>
      <c r="AD70" s="574" t="n">
        <f aca="false">AC70+AB70</f>
        <v>-247.334379541658</v>
      </c>
      <c r="AE70" s="46"/>
      <c r="AF70" s="46"/>
      <c r="AG70" s="46"/>
      <c r="AH70" s="46"/>
      <c r="AI70" s="46"/>
      <c r="AJ70" s="512" t="n">
        <f aca="false">A70</f>
        <v>37591</v>
      </c>
      <c r="AK70" s="513" t="n">
        <f aca="false">+AK69</f>
        <v>0</v>
      </c>
      <c r="AL70" s="514" t="n">
        <f aca="false">+AL69</f>
        <v>0</v>
      </c>
      <c r="AM70" s="513" t="n">
        <f aca="false">+AM69</f>
        <v>0</v>
      </c>
      <c r="AN70" s="514" t="n">
        <f aca="false">+AN69</f>
        <v>0</v>
      </c>
      <c r="AO70" s="513" t="n">
        <f aca="false">+AO69</f>
        <v>0</v>
      </c>
      <c r="AP70" s="514" t="n">
        <f aca="false">+AP69</f>
        <v>0</v>
      </c>
      <c r="AQ70" s="513" t="n">
        <f aca="false">+AQ69</f>
        <v>0</v>
      </c>
      <c r="AR70" s="514" t="n">
        <f aca="false">+AR69</f>
        <v>0</v>
      </c>
      <c r="AS70" s="515"/>
      <c r="AT70" s="516"/>
      <c r="AU70" s="550" t="n">
        <f aca="false">+AU69</f>
        <v>0</v>
      </c>
      <c r="AV70" s="551" t="n">
        <f aca="false">+AV69</f>
        <v>0</v>
      </c>
      <c r="AW70" s="550" t="n">
        <f aca="false">+AW69</f>
        <v>0</v>
      </c>
      <c r="AX70" s="551" t="n">
        <f aca="false">+AX69</f>
        <v>0</v>
      </c>
      <c r="AY70" s="550"/>
      <c r="AZ70" s="551"/>
      <c r="BA70" s="550"/>
      <c r="BB70" s="551"/>
      <c r="BC70" s="513"/>
      <c r="BD70" s="514"/>
      <c r="BE70" s="513"/>
      <c r="BF70" s="514"/>
      <c r="BG70" s="513"/>
      <c r="BH70" s="514"/>
      <c r="BI70" s="520"/>
      <c r="BJ70" s="517"/>
      <c r="BK70" s="520"/>
      <c r="BL70" s="517"/>
      <c r="BM70" s="520"/>
      <c r="BN70" s="517"/>
      <c r="BO70" s="520"/>
      <c r="BP70" s="517"/>
      <c r="BQ70" s="520"/>
      <c r="BR70" s="517"/>
      <c r="BS70" s="520"/>
      <c r="BT70" s="517"/>
      <c r="BU70" s="520"/>
      <c r="BV70" s="517"/>
      <c r="BW70" s="520"/>
      <c r="BX70" s="517"/>
      <c r="BY70" s="556" t="n">
        <f aca="false">AK70+AM70+AO70+AQ70+AS70+AU70+AW70+AY70+BA70+BC70+BE70+BG70+BI70+BK70+BM70+BO70+BQ70+BS70+BU70+BW70</f>
        <v>0</v>
      </c>
      <c r="BZ70" s="524" t="n">
        <f aca="false">IF(AND(BY70=0,CC70=0),0,(ABS(AK70)*AL70+ABS(AM70)*AN70+ABS(AO70)*AP70+ABS(AQ70)*AR70+ABS(AS70)*AT70+ABS(AU70)*AV70+ABS(AW70)*AX70+ABS(AY70)*AZ70+ABS(BA70)*BB70+ABS(BC70)*BD70+ABS(BE70)*BF70+ABS(BG70)*BH70+ABS(BI70)*BJ70+ABS(BK70)*BL70+ABS(BM70)*BN70+ABS(BO70)*BP70+ABS(BQ70)*BR70+ABS(BS70)*BT70+ABS(BU70)*BV70+ABS(BW70)*BX70)/CC70)</f>
        <v>0</v>
      </c>
      <c r="CA70" s="222"/>
      <c r="CB70" s="525" t="n">
        <f aca="false">AJ70</f>
        <v>37591</v>
      </c>
      <c r="CC70" s="222" t="n">
        <f aca="false">ABS(AK70)+ABS(AM70)+ABS(AO70)+ABS(AQ70)+ABS(AS70)+ABS(AU70)+ABS(AW70)+ABS(AY70)+ABS(BA70)+ABS(BC70)+ABS(BE70)+ABS(BG70)+ABS(BI70)+ABS(BK70)+ABS(BM70)+ABS(BO70)+ABS(BQ70)+ABS(BS70)+ABS(BU70)+ABS(BW70)</f>
        <v>0</v>
      </c>
      <c r="CD70" s="526" t="n">
        <f aca="false">CD26</f>
        <v>336</v>
      </c>
      <c r="CE70" s="222" t="n">
        <f aca="false">CE26</f>
        <v>0.950636103476229</v>
      </c>
      <c r="CF70" s="527" t="n">
        <f aca="false">E70-B70</f>
        <v>0</v>
      </c>
      <c r="CG70" s="527" t="n">
        <f aca="false">IF(YEAR($AJ70)=$CG$10,(($I70-$AL$92)*$AK$92+($I70-$AN$92)*$AM$92+($I70-$AP$92)*$AO$92+($I70-$AR$92)*$AQ$92+($I70-$AT$92)*$AS$92+($I70-$AV$92)*$AU$92+($I70-$AX$92)*$AW$92+($I70-$AZ$92)*$AY$92+($I70-$BB$92)*$BA$92+($I70-$BD$92)*$BC$92+($I70-$BF$92)*$BE$92+($I70-$BH$92)*$BG$92+($I70-$BJ$92)*$BI$92+($I70-$BL$92)*$BK$92+($I70-$BN$92)*$BM$92+($I70-$BP$92)*$BO$92+($I70-$BR$92)*$BQ$92+($I70-$BT$92)*$BS$92+($I70-$BV$92)*$BU$92+($I70-$BX$92)*$BW$92)*$CD70*$CE70,0)</f>
        <v>0</v>
      </c>
      <c r="CH70" s="527" t="n">
        <f aca="false">IF(YEAR($AJ70)=$CH$10,(($I70-$AL$93)*$AK$93+($I70-$AN$93)*$AM$93+($I70-$AP$93)*$AO$93+($I70-$AR$93)*$AQ$93+($I70-$AT$93)*$AS$93+($I70-$AV$93)*$AU$93+($I70-$AX$93)*$AW$93+($I70-$AZ$93)*$AY$93+($I70-$BB$93)*$BA$93+($I70-$BD$93)*$BC$93+($I70-$BF$93)*$BE$93+($I70-$BH$93)*$BG$93+($I70-$BJ$93)*$BI$93+($I70-$BL$93)*$BK$93+($I70-$BN$93)*$BM$93+($I70-$BP$93)*$BO$93+($I70-$BR$93)*$BQ$93+($I70-$BT$93)*$BS$93+($I70-$BV$93)*$BU$93+($I70-$BX$93)*$BW$93)*$CD70*$CE70,0)</f>
        <v>0</v>
      </c>
      <c r="CI70" s="527" t="n">
        <f aca="false">IF(YEAR($AJ70)=$CI$10,(($I70-$AL$94)*$AK$94+($I70-$AN$94)*$AM$94+($I70-$AP$94)*$AO$94+($I70-$AR$94)*$AQ$94+($I70-$AT$94)*$AS$94+($I70-$AV$94)*$AU$94+($I70-$AX$94)*$AW$94+($I70-$AZ$94)*$AY$94+($I70-$BB$94)*$BA$94+($I70-$BD$94)*$BC$94+($I70-$BF$94)*$BE$94+($I70-$BH$94)*$BG$94+($I70-$BJ$94)*$BI$94+($I70-$BL$94)*$BK$94+($I70-$BN$94)*$BM$94+($I70-$BP$94)*$BO$94+($I70-$BR$94)*$BQ$94+($I70-$BT$94)*$BS$94+($I70-$BV$94)*$BU$94+($I70-$BX$94)*$BW$94)*$CD70*$CE70,0)</f>
        <v>0</v>
      </c>
      <c r="CJ70" s="439" t="n">
        <f aca="false">CC70*CD70</f>
        <v>0</v>
      </c>
      <c r="CM70" s="530" t="n">
        <f aca="false">+CL26*CF70/10000</f>
        <v>0</v>
      </c>
      <c r="DJ70" s="532" t="n">
        <f aca="false">[1]Cinergy!$D92</f>
        <v>38930</v>
      </c>
      <c r="DK70" s="440" t="n">
        <f aca="false">VLOOKUP(DJ70,DL70:DM311,2)</f>
        <v>23</v>
      </c>
      <c r="DL70" s="533" t="n">
        <v>37500</v>
      </c>
      <c r="DM70" s="459" t="n">
        <v>20</v>
      </c>
      <c r="DP70" s="534" t="n">
        <f aca="false">[1]Cinergy!$D61</f>
        <v>37987</v>
      </c>
      <c r="DQ70" s="234" t="n">
        <f aca="false">[1]OPPD_NPPD!$O61+[1]NSP!$O61</f>
        <v>0</v>
      </c>
      <c r="DR70" s="234" t="n">
        <f aca="false">[1]COMED!$O61</f>
        <v>0</v>
      </c>
      <c r="DS70" s="234" t="n">
        <f aca="false">DQ70+DR70</f>
        <v>0</v>
      </c>
      <c r="DT70" s="234" t="n">
        <f aca="false">SUM([1]OPPD_NPPD!$P61:$R61)+SUM([1]NSP!$P61:$R61)</f>
        <v>0</v>
      </c>
      <c r="DU70" s="234" t="n">
        <f aca="false">SUM([1]COMED!$P61:$R61)</f>
        <v>0</v>
      </c>
      <c r="DV70" s="234" t="n">
        <f aca="false">DT70+DU70</f>
        <v>0</v>
      </c>
      <c r="DW70" s="535"/>
      <c r="DX70" s="536" t="n">
        <f aca="false">[1]OtherPosn!$D61</f>
        <v>37865</v>
      </c>
      <c r="DY70" s="234" t="n">
        <f aca="false">[1]OtherPosn!$N61</f>
        <v>-15378.1767578125</v>
      </c>
      <c r="DZ70" s="234" t="n">
        <f aca="false">SUM([1]OtherPosn!$O61:$P61)</f>
        <v>0</v>
      </c>
      <c r="EO70" s="532" t="n">
        <f aca="false">EO26</f>
        <v>37591</v>
      </c>
      <c r="EP70" s="234" t="n">
        <f aca="false">EP26</f>
        <v>21</v>
      </c>
      <c r="EQ70" s="473" t="n">
        <f aca="false">O69*$EP70</f>
        <v>714</v>
      </c>
      <c r="ER70" s="473" t="n">
        <f aca="false">P69*$EP70</f>
        <v>714</v>
      </c>
      <c r="ES70" s="439" t="n">
        <f aca="false">IF(YEAR($EO70)=1999,EP70,0)</f>
        <v>0</v>
      </c>
      <c r="ET70" s="439" t="n">
        <f aca="false">IF(YEAR($EO70)=1999,EQ70,0)</f>
        <v>0</v>
      </c>
      <c r="EU70" s="439" t="n">
        <f aca="false">IF(YEAR($EO70)=1999,ER70,0)</f>
        <v>0</v>
      </c>
    </row>
    <row r="71" customFormat="false" ht="18.75" hidden="false" customHeight="true" outlineLevel="0" collapsed="false">
      <c r="A71" s="537" t="n">
        <f aca="false">[1]COMED!$D49</f>
        <v>37622</v>
      </c>
      <c r="B71" s="180" t="n">
        <f aca="false">[1]COMED!$O49</f>
        <v>-249736.484375</v>
      </c>
      <c r="C71" s="538" t="n">
        <f aca="false">B71/(CE71*CD71)</f>
        <v>-749.139200546906</v>
      </c>
      <c r="D71" s="538" t="n">
        <f aca="false">BY71+IF(YEAR(A71)=$T$20,$BY$92,0)+IF(YEAR(A71)=$T$21,$BY$93,0)+IF(YEAR(A71)=$T$22,$BY$94,0)</f>
        <v>0</v>
      </c>
      <c r="E71" s="160" t="n">
        <f aca="false">B71+(D71*CD71*CE71)</f>
        <v>-249736.484375</v>
      </c>
      <c r="F71" s="539" t="n">
        <f aca="false">C71+D71</f>
        <v>-749.139200546906</v>
      </c>
      <c r="G71" s="540" t="n">
        <f aca="false">[1]COMED!$E49</f>
        <v>29.4337100982666</v>
      </c>
      <c r="H71" s="498" t="n">
        <f aca="false">IF($R$53,R71,Q71)</f>
        <v>1.81652250574871E-007</v>
      </c>
      <c r="I71" s="541" t="n">
        <f aca="false">G71+H71</f>
        <v>29.4337102799189</v>
      </c>
      <c r="J71" s="160" t="n">
        <f aca="false">H71*B71</f>
        <v>-0.0453651944373748</v>
      </c>
      <c r="K71" s="114" t="n">
        <f aca="false">(((I71-AL71)*AK71+(I71-AN71)*AM71+(I71-AP71)*AO71+(I71-AR71)*AQ71+(I71-AT71)*AS71+(I71-AV71)*AU71+(I71-AX71)*AW71+(I71-AZ71)*AY71+(I71-BB71)*BA71+(I71-BD71)*BC71+(I71-BF71)*BE71+(I71-BH71)*BG71+(I71-BJ71)*BI71+(I71-BL71)*BK71+(I71-BN71)*BM71+(I71-BP71)*BO71+(I71-BR71)*BQ71+(I71-BT71)*BS71+(I71-BV71)*BU71+(I71-BX71)*BW71)*CD71*CE71)+CG71+CH71+CI71</f>
        <v>0</v>
      </c>
      <c r="L71" s="114" t="n">
        <f aca="false">J71+K71</f>
        <v>-0.0453651944373748</v>
      </c>
      <c r="M71" s="669"/>
      <c r="N71" s="500" t="n">
        <f aca="false">A71</f>
        <v>37622</v>
      </c>
      <c r="O71" s="501" t="n">
        <v>25.2</v>
      </c>
      <c r="P71" s="501" t="n">
        <v>25.2</v>
      </c>
      <c r="Q71" s="502" t="n">
        <f aca="false">AVERAGE(O71:P71)-G71</f>
        <v>-4.2337100982666</v>
      </c>
      <c r="R71" s="677" t="n">
        <f aca="false">TradeSum!R27</f>
        <v>1.81652250574871E-007</v>
      </c>
      <c r="S71" s="679" t="n">
        <f aca="false">I71</f>
        <v>29.4337102799189</v>
      </c>
      <c r="T71" s="505" t="n">
        <f aca="false">IF(MONTH($B$2)&gt;=10,YEAR($B$2)+1,YEAR($B$2))</f>
        <v>2001</v>
      </c>
      <c r="U71" s="506" t="n">
        <f aca="false">IF(INT((MONTH($B$2)-1)/3)+2=5,1,INT((MONTH($B$2)-1)/3)+2)</f>
        <v>4</v>
      </c>
      <c r="V71" s="575" t="str">
        <f aca="false">V56</f>
        <v>Q4 2001</v>
      </c>
      <c r="W71" s="575" t="n">
        <f aca="false" t="array" ref="W71:W71">SUM(IF((INT((MONTH($A$56:$A$91)-1)/3)=$U71-1)*(YEAR($A$56:$A$91)=$T71),$F$56:$F$91))</f>
        <v>1237.75395542338</v>
      </c>
      <c r="X71" s="576" t="n">
        <f aca="false" t="array" ref="X71:X71">SUM(IF((INT((MONTH($A$56:$A$91)-1)/3)=$U71-1)*(YEAR($A$56:$A$91)=$T71),$E$56:$E$91))</f>
        <v>411918.929328642</v>
      </c>
      <c r="Y71" s="46"/>
      <c r="Z71" s="577" t="n">
        <f aca="false">A57</f>
        <v>37196</v>
      </c>
      <c r="AA71" s="578" t="n">
        <f aca="false">I57</f>
        <v>25.099995803833</v>
      </c>
      <c r="AB71" s="579" t="n">
        <f aca="false">AB27</f>
        <v>-1469.26882099878</v>
      </c>
      <c r="AC71" s="579" t="n">
        <f aca="false">AC27</f>
        <v>430.086287876913</v>
      </c>
      <c r="AD71" s="579" t="n">
        <f aca="false">AC71+AB71</f>
        <v>-1039.18253312186</v>
      </c>
      <c r="AE71" s="46"/>
      <c r="AF71" s="46"/>
      <c r="AG71" s="46"/>
      <c r="AH71" s="46"/>
      <c r="AI71" s="46"/>
      <c r="AJ71" s="512" t="n">
        <f aca="false">A71</f>
        <v>37622</v>
      </c>
      <c r="AK71" s="513"/>
      <c r="AL71" s="514"/>
      <c r="AM71" s="513"/>
      <c r="AN71" s="514"/>
      <c r="AO71" s="513"/>
      <c r="AP71" s="514"/>
      <c r="AQ71" s="513"/>
      <c r="AR71" s="514"/>
      <c r="AS71" s="515"/>
      <c r="AT71" s="516"/>
      <c r="AU71" s="550"/>
      <c r="AV71" s="551"/>
      <c r="AW71" s="550"/>
      <c r="AX71" s="551"/>
      <c r="AY71" s="550"/>
      <c r="AZ71" s="551"/>
      <c r="BA71" s="550"/>
      <c r="BB71" s="551"/>
      <c r="BC71" s="513"/>
      <c r="BD71" s="514"/>
      <c r="BE71" s="513"/>
      <c r="BF71" s="514"/>
      <c r="BG71" s="513"/>
      <c r="BH71" s="514"/>
      <c r="BI71" s="520"/>
      <c r="BJ71" s="517"/>
      <c r="BK71" s="520"/>
      <c r="BL71" s="517"/>
      <c r="BM71" s="520"/>
      <c r="BN71" s="517"/>
      <c r="BO71" s="520"/>
      <c r="BP71" s="517"/>
      <c r="BQ71" s="520"/>
      <c r="BR71" s="517"/>
      <c r="BS71" s="520"/>
      <c r="BT71" s="517"/>
      <c r="BU71" s="520"/>
      <c r="BV71" s="517"/>
      <c r="BW71" s="520"/>
      <c r="BX71" s="517"/>
      <c r="BY71" s="556" t="n">
        <f aca="false">AK71+AM71+AO71+AQ71+AS71+AU71+AW71+AY71+BA71+BC71+BE71+BG71+BI71+BK71+BM71+BO71+BQ71+BS71+BU71+BW71</f>
        <v>0</v>
      </c>
      <c r="BZ71" s="524" t="n">
        <f aca="false">IF(AND(BY71=0,CC71=0),0,(ABS(AK71)*AL71+ABS(AM71)*AN71+ABS(AO71)*AP71+ABS(AQ71)*AR71+ABS(AS71)*AT71+ABS(AU71)*AV71+ABS(AW71)*AX71+ABS(AY71)*AZ71+ABS(BA71)*BB71+ABS(BC71)*BD71+ABS(BE71)*BF71+ABS(BG71)*BH71+ABS(BI71)*BJ71+ABS(BK71)*BL71+ABS(BM71)*BN71+ABS(BO71)*BP71+ABS(BQ71)*BR71+ABS(BS71)*BT71+ABS(BU71)*BV71+ABS(BW71)*BX71)/CC71)</f>
        <v>0</v>
      </c>
      <c r="CA71" s="222"/>
      <c r="CB71" s="525" t="n">
        <f aca="false">AJ71</f>
        <v>37622</v>
      </c>
      <c r="CC71" s="222" t="n">
        <f aca="false">ABS(AK71)+ABS(AM71)+ABS(AO71)+ABS(AQ71)+ABS(AS71)+ABS(AU71)+ABS(AW71)+ABS(AY71)+ABS(BA71)+ABS(BC71)+ABS(BE71)+ABS(BG71)+ABS(BI71)+ABS(BK71)+ABS(BM71)+ABS(BO71)+ABS(BQ71)+ABS(BS71)+ABS(BU71)+ABS(BW71)</f>
        <v>0</v>
      </c>
      <c r="CD71" s="526" t="n">
        <f aca="false">CD27</f>
        <v>352</v>
      </c>
      <c r="CE71" s="222" t="n">
        <f aca="false">CE27</f>
        <v>0.947058501643835</v>
      </c>
      <c r="CF71" s="527" t="n">
        <f aca="false">E71-B71</f>
        <v>0</v>
      </c>
      <c r="CG71" s="527" t="n">
        <f aca="false">IF(YEAR($AJ71)=$CG$10,(($I71-$AL$92)*$AK$92+($I71-$AN$92)*$AM$92+($I71-$AP$92)*$AO$92+($I71-$AR$92)*$AQ$92+($I71-$AT$92)*$AS$92+($I71-$AV$92)*$AU$92+($I71-$AX$92)*$AW$92+($I71-$AZ$92)*$AY$92+($I71-$BB$92)*$BA$92+($I71-$BD$92)*$BC$92+($I71-$BF$92)*$BE$92+($I71-$BH$92)*$BG$92+($I71-$BJ$92)*$BI$92+($I71-$BL$92)*$BK$92+($I71-$BN$92)*$BM$92+($I71-$BP$92)*$BO$92+($I71-$BR$92)*$BQ$92+($I71-$BT$92)*$BS$92+($I71-$BV$92)*$BU$92+($I71-$BX$92)*$BW$92)*$CD71*$CE71,0)</f>
        <v>0</v>
      </c>
      <c r="CH71" s="527" t="n">
        <f aca="false">IF(YEAR($AJ71)=$CH$10,(($I71-$AL$93)*$AK$93+($I71-$AN$93)*$AM$93+($I71-$AP$93)*$AO$93+($I71-$AR$93)*$AQ$93+($I71-$AT$93)*$AS$93+($I71-$AV$93)*$AU$93+($I71-$AX$93)*$AW$93+($I71-$AZ$93)*$AY$93+($I71-$BB$93)*$BA$93+($I71-$BD$93)*$BC$93+($I71-$BF$93)*$BE$93+($I71-$BH$93)*$BG$93+($I71-$BJ$93)*$BI$93+($I71-$BL$93)*$BK$93+($I71-$BN$93)*$BM$93+($I71-$BP$93)*$BO$93+($I71-$BR$93)*$BQ$93+($I71-$BT$93)*$BS$93+($I71-$BV$93)*$BU$93+($I71-$BX$93)*$BW$93)*$CD71*$CE71,0)</f>
        <v>0</v>
      </c>
      <c r="CI71" s="527" t="n">
        <f aca="false">IF(YEAR($AJ71)=$CI$10,(($I71-$AL$94)*$AK$94+($I71-$AN$94)*$AM$94+($I71-$AP$94)*$AO$94+($I71-$AR$94)*$AQ$94+($I71-$AT$94)*$AS$94+($I71-$AV$94)*$AU$94+($I71-$AX$94)*$AW$94+($I71-$AZ$94)*$AY$94+($I71-$BB$94)*$BA$94+($I71-$BD$94)*$BC$94+($I71-$BF$94)*$BE$94+($I71-$BH$94)*$BG$94+($I71-$BJ$94)*$BI$94+($I71-$BL$94)*$BK$94+($I71-$BN$94)*$BM$94+($I71-$BP$94)*$BO$94+($I71-$BR$94)*$BQ$94+($I71-$BT$94)*$BS$94+($I71-$BV$94)*$BU$94+($I71-$BX$94)*$BW$94)*$CD71*$CE71,0)</f>
        <v>0</v>
      </c>
      <c r="CJ71" s="439" t="n">
        <f aca="false">CC71*CD71</f>
        <v>0</v>
      </c>
      <c r="CM71" s="530" t="n">
        <f aca="false">+CL27*CF71/10000</f>
        <v>0</v>
      </c>
      <c r="DJ71" s="532" t="n">
        <f aca="false">[1]Cinergy!$D93</f>
        <v>38961</v>
      </c>
      <c r="DK71" s="440" t="n">
        <f aca="false">VLOOKUP(DJ71,DL71:DM312,2)</f>
        <v>20</v>
      </c>
      <c r="DL71" s="533" t="n">
        <v>37530</v>
      </c>
      <c r="DM71" s="459" t="n">
        <v>23</v>
      </c>
      <c r="DP71" s="534" t="n">
        <f aca="false">[1]Cinergy!$D62</f>
        <v>38018</v>
      </c>
      <c r="DQ71" s="234" t="n">
        <f aca="false">[1]OPPD_NPPD!$O62+[1]NSP!$O62</f>
        <v>0</v>
      </c>
      <c r="DR71" s="234" t="n">
        <f aca="false">[1]COMED!$O62</f>
        <v>0</v>
      </c>
      <c r="DS71" s="234" t="n">
        <f aca="false">DQ71+DR71</f>
        <v>0</v>
      </c>
      <c r="DT71" s="234" t="n">
        <f aca="false">SUM([1]OPPD_NPPD!$P62:$R62)+SUM([1]NSP!$P62:$R62)</f>
        <v>0</v>
      </c>
      <c r="DU71" s="234" t="n">
        <f aca="false">SUM([1]COMED!$P62:$R62)</f>
        <v>0</v>
      </c>
      <c r="DV71" s="234" t="n">
        <f aca="false">DT71+DU71</f>
        <v>0</v>
      </c>
      <c r="DW71" s="535"/>
      <c r="DX71" s="536" t="n">
        <f aca="false">[1]OtherPosn!$D62</f>
        <v>37895</v>
      </c>
      <c r="DY71" s="234" t="n">
        <f aca="false">[1]OtherPosn!$N62</f>
        <v>-16767.033203125</v>
      </c>
      <c r="DZ71" s="234" t="n">
        <f aca="false">SUM([1]OtherPosn!$O62:$P62)</f>
        <v>0</v>
      </c>
      <c r="EO71" s="532" t="n">
        <f aca="false">EO27</f>
        <v>37622</v>
      </c>
      <c r="EP71" s="234" t="n">
        <f aca="false">EP27</f>
        <v>22</v>
      </c>
      <c r="EQ71" s="473" t="n">
        <f aca="false">O70*$EP71</f>
        <v>559.9</v>
      </c>
      <c r="ER71" s="473" t="n">
        <f aca="false">P70*$EP71</f>
        <v>559.9</v>
      </c>
      <c r="ES71" s="439" t="n">
        <f aca="false">IF(YEAR($EO71)=1999,EP71,0)</f>
        <v>0</v>
      </c>
      <c r="ET71" s="439" t="n">
        <f aca="false">IF(YEAR($EO71)=1999,EQ71,0)</f>
        <v>0</v>
      </c>
      <c r="EU71" s="439" t="n">
        <f aca="false">IF(YEAR($EO71)=1999,ER71,0)</f>
        <v>0</v>
      </c>
    </row>
    <row r="72" customFormat="false" ht="18.75" hidden="false" customHeight="true" outlineLevel="0" collapsed="false">
      <c r="A72" s="95" t="n">
        <f aca="false">[1]COMED!$D50</f>
        <v>37653</v>
      </c>
      <c r="B72" s="122" t="n">
        <f aca="false">[1]COMED!$O50</f>
        <v>-226219.296875</v>
      </c>
      <c r="C72" s="163" t="n">
        <f aca="false">B72/(CE72*CD72)</f>
        <v>-749.155057168979</v>
      </c>
      <c r="D72" s="496" t="n">
        <f aca="false">BY72+IF(YEAR(A72)=$T$20,$BY$92,0)+IF(YEAR(A72)=$T$21,$BY$93,0)+IF(YEAR(A72)=$T$22,$BY$94,0)</f>
        <v>0</v>
      </c>
      <c r="E72" s="163" t="n">
        <f aca="false">B72+(D72*CD72*CE72)</f>
        <v>-226219.296875</v>
      </c>
      <c r="F72" s="497" t="n">
        <f aca="false">C72+D72</f>
        <v>-749.155057168979</v>
      </c>
      <c r="G72" s="498" t="n">
        <f aca="false">[1]COMED!$E50</f>
        <v>28.8356952667236</v>
      </c>
      <c r="H72" s="498" t="n">
        <f aca="false">IF($R$53,R72,Q72)</f>
        <v>1.81652250574871E-007</v>
      </c>
      <c r="I72" s="499" t="n">
        <f aca="false">G72+H72</f>
        <v>28.8356954483759</v>
      </c>
      <c r="J72" s="122" t="n">
        <f aca="false">H72*B72</f>
        <v>-0.0410932444008086</v>
      </c>
      <c r="K72" s="123" t="n">
        <f aca="false">(((I72-AL72)*AK72+(I72-AN72)*AM72+(I72-AP72)*AO72+(I72-AR72)*AQ72+(I72-AT72)*AS72+(I72-AV72)*AU72+(I72-AX72)*AW72+(I72-AZ72)*AY72+(I72-BB72)*BA72+(I72-BD72)*BC72+(I72-BF72)*BE72+(I72-BH72)*BG72+(I72-BJ72)*BI72+(I72-BL72)*BK72+(I72-BN72)*BM72+(I72-BP72)*BO72+(I72-BR72)*BQ72+(I72-BT72)*BS72+(I72-BV72)*BU72+(I72-BX72)*BW72)*CD72*CE72)+CG72+CH72+CI72</f>
        <v>0</v>
      </c>
      <c r="L72" s="123" t="n">
        <f aca="false">J72+K72</f>
        <v>-0.0410932444008086</v>
      </c>
      <c r="M72" s="669"/>
      <c r="N72" s="500" t="n">
        <f aca="false">A72</f>
        <v>37653</v>
      </c>
      <c r="O72" s="501" t="n">
        <v>25.95</v>
      </c>
      <c r="P72" s="501" t="n">
        <v>25.95</v>
      </c>
      <c r="Q72" s="502" t="n">
        <f aca="false">AVERAGE(O72:P72)-G72</f>
        <v>-2.88569526672363</v>
      </c>
      <c r="R72" s="677" t="n">
        <f aca="false">TradeSum!R28</f>
        <v>1.81652250574871E-007</v>
      </c>
      <c r="S72" s="679" t="n">
        <f aca="false">I72</f>
        <v>28.8356954483759</v>
      </c>
      <c r="T72" s="505" t="n">
        <f aca="false">IF(U71=4,T71+1,T71)</f>
        <v>2002</v>
      </c>
      <c r="U72" s="506" t="n">
        <f aca="false">IF(U71=4,1,U71+1)</f>
        <v>1</v>
      </c>
      <c r="V72" s="579" t="str">
        <f aca="false">V57</f>
        <v>Q1 2002</v>
      </c>
      <c r="W72" s="579" t="n">
        <f aca="false" t="array" ref="W72:W72">SUM(IF((INT((MONTH($A$56:$A$91)-1)/3)=$U72-1)*(YEAR($A$56:$A$91)=$T72),$F$56:$F$91))</f>
        <v>-2610.07372773839</v>
      </c>
      <c r="X72" s="580" t="n">
        <f aca="false" t="array" ref="X72:X72">SUM(IF((INT((MONTH($A$56:$A$91)-1)/3)=$U72-1)*(YEAR($A$56:$A$91)=$T72),$E$56:$E$91))</f>
        <v>-861685.0859375</v>
      </c>
      <c r="Y72" s="46"/>
      <c r="Z72" s="581" t="n">
        <f aca="false">A58</f>
        <v>37226</v>
      </c>
      <c r="AA72" s="582" t="n">
        <f aca="false">I58</f>
        <v>26.6000022888184</v>
      </c>
      <c r="AB72" s="583" t="n">
        <f aca="false">AB28</f>
        <v>-658.767310069758</v>
      </c>
      <c r="AC72" s="584" t="n">
        <f aca="false">AC28</f>
        <v>527.622894753478</v>
      </c>
      <c r="AD72" s="584" t="n">
        <f aca="false">AC72+AB72</f>
        <v>-131.144415316281</v>
      </c>
      <c r="AE72" s="46"/>
      <c r="AF72" s="46"/>
      <c r="AG72" s="46"/>
      <c r="AH72" s="46"/>
      <c r="AI72" s="46"/>
      <c r="AJ72" s="512" t="n">
        <f aca="false">A72</f>
        <v>37653</v>
      </c>
      <c r="AK72" s="513" t="n">
        <f aca="false">+AK71</f>
        <v>0</v>
      </c>
      <c r="AL72" s="514" t="n">
        <f aca="false">+AL71</f>
        <v>0</v>
      </c>
      <c r="AM72" s="513" t="n">
        <f aca="false">+AM71</f>
        <v>0</v>
      </c>
      <c r="AN72" s="514" t="n">
        <f aca="false">+AN71</f>
        <v>0</v>
      </c>
      <c r="AO72" s="513" t="n">
        <f aca="false">+AO71</f>
        <v>0</v>
      </c>
      <c r="AP72" s="514" t="n">
        <f aca="false">+AP71</f>
        <v>0</v>
      </c>
      <c r="AQ72" s="513" t="n">
        <f aca="false">+AQ71</f>
        <v>0</v>
      </c>
      <c r="AR72" s="514" t="n">
        <f aca="false">+AR71</f>
        <v>0</v>
      </c>
      <c r="AS72" s="515"/>
      <c r="AT72" s="516"/>
      <c r="AU72" s="550" t="n">
        <f aca="false">+AU71</f>
        <v>0</v>
      </c>
      <c r="AV72" s="551" t="n">
        <f aca="false">+AV71</f>
        <v>0</v>
      </c>
      <c r="AW72" s="550" t="n">
        <f aca="false">+AW71</f>
        <v>0</v>
      </c>
      <c r="AX72" s="551" t="n">
        <f aca="false">+AX71</f>
        <v>0</v>
      </c>
      <c r="AY72" s="550"/>
      <c r="AZ72" s="551"/>
      <c r="BA72" s="550"/>
      <c r="BB72" s="551"/>
      <c r="BC72" s="513"/>
      <c r="BD72" s="514"/>
      <c r="BE72" s="513"/>
      <c r="BF72" s="514"/>
      <c r="BG72" s="513"/>
      <c r="BH72" s="514"/>
      <c r="BI72" s="520"/>
      <c r="BJ72" s="517"/>
      <c r="BK72" s="520"/>
      <c r="BL72" s="517"/>
      <c r="BM72" s="520"/>
      <c r="BN72" s="517"/>
      <c r="BO72" s="520"/>
      <c r="BP72" s="517"/>
      <c r="BQ72" s="520"/>
      <c r="BR72" s="517"/>
      <c r="BS72" s="520"/>
      <c r="BT72" s="517"/>
      <c r="BU72" s="520"/>
      <c r="BV72" s="517"/>
      <c r="BW72" s="520"/>
      <c r="BX72" s="517"/>
      <c r="BY72" s="556" t="n">
        <f aca="false">AK72+AM72+AO72+AQ72+AS72+AU72+AW72+AY72+BA72+BC72+BE72+BG72+BI72+BK72+BM72+BO72+BQ72+BS72+BU72+BW72</f>
        <v>0</v>
      </c>
      <c r="BZ72" s="524" t="n">
        <f aca="false">IF(AND(BY72=0,CC72=0),0,(ABS(AK72)*AL72+ABS(AM72)*AN72+ABS(AO72)*AP72+ABS(AQ72)*AR72+ABS(AS72)*AT72+ABS(AU72)*AV72+ABS(AW72)*AX72+ABS(AY72)*AZ72+ABS(BA72)*BB72+ABS(BC72)*BD72+ABS(BE72)*BF72+ABS(BG72)*BH72+ABS(BI72)*BJ72+ABS(BK72)*BL72+ABS(BM72)*BN72+ABS(BO72)*BP72+ABS(BQ72)*BR72+ABS(BS72)*BT72+ABS(BU72)*BV72+ABS(BW72)*BX72)/CC72)</f>
        <v>0</v>
      </c>
      <c r="CA72" s="222"/>
      <c r="CB72" s="525" t="n">
        <f aca="false">AJ72</f>
        <v>37653</v>
      </c>
      <c r="CC72" s="222" t="n">
        <f aca="false">ABS(AK72)+ABS(AM72)+ABS(AO72)+ABS(AQ72)+ABS(AS72)+ABS(AU72)+ABS(AW72)+ABS(AY72)+ABS(BA72)+ABS(BC72)+ABS(BE72)+ABS(BG72)+ABS(BI72)+ABS(BK72)+ABS(BM72)+ABS(BO72)+ABS(BQ72)+ABS(BS72)+ABS(BU72)+ABS(BW72)</f>
        <v>0</v>
      </c>
      <c r="CD72" s="526" t="n">
        <f aca="false">CD28</f>
        <v>320</v>
      </c>
      <c r="CE72" s="222" t="n">
        <f aca="false">CE28</f>
        <v>0.943643503396813</v>
      </c>
      <c r="CF72" s="527" t="n">
        <f aca="false">E72-B72</f>
        <v>0</v>
      </c>
      <c r="CG72" s="527" t="n">
        <f aca="false">IF(YEAR($AJ72)=$CG$10,(($I72-$AL$92)*$AK$92+($I72-$AN$92)*$AM$92+($I72-$AP$92)*$AO$92+($I72-$AR$92)*$AQ$92+($I72-$AT$92)*$AS$92+($I72-$AV$92)*$AU$92+($I72-$AX$92)*$AW$92+($I72-$AZ$92)*$AY$92+($I72-$BB$92)*$BA$92+($I72-$BD$92)*$BC$92+($I72-$BF$92)*$BE$92+($I72-$BH$92)*$BG$92+($I72-$BJ$92)*$BI$92+($I72-$BL$92)*$BK$92+($I72-$BN$92)*$BM$92+($I72-$BP$92)*$BO$92+($I72-$BR$92)*$BQ$92+($I72-$BT$92)*$BS$92+($I72-$BV$92)*$BU$92+($I72-$BX$92)*$BW$92)*$CD72*$CE72,0)</f>
        <v>0</v>
      </c>
      <c r="CH72" s="527" t="n">
        <f aca="false">IF(YEAR($AJ72)=$CH$10,(($I72-$AL$93)*$AK$93+($I72-$AN$93)*$AM$93+($I72-$AP$93)*$AO$93+($I72-$AR$93)*$AQ$93+($I72-$AT$93)*$AS$93+($I72-$AV$93)*$AU$93+($I72-$AX$93)*$AW$93+($I72-$AZ$93)*$AY$93+($I72-$BB$93)*$BA$93+($I72-$BD$93)*$BC$93+($I72-$BF$93)*$BE$93+($I72-$BH$93)*$BG$93+($I72-$BJ$93)*$BI$93+($I72-$BL$93)*$BK$93+($I72-$BN$93)*$BM$93+($I72-$BP$93)*$BO$93+($I72-$BR$93)*$BQ$93+($I72-$BT$93)*$BS$93+($I72-$BV$93)*$BU$93+($I72-$BX$93)*$BW$93)*$CD72*$CE72,0)</f>
        <v>0</v>
      </c>
      <c r="CI72" s="527" t="n">
        <f aca="false">IF(YEAR($AJ72)=$CI$10,(($I72-$AL$94)*$AK$94+($I72-$AN$94)*$AM$94+($I72-$AP$94)*$AO$94+($I72-$AR$94)*$AQ$94+($I72-$AT$94)*$AS$94+($I72-$AV$94)*$AU$94+($I72-$AX$94)*$AW$94+($I72-$AZ$94)*$AY$94+($I72-$BB$94)*$BA$94+($I72-$BD$94)*$BC$94+($I72-$BF$94)*$BE$94+($I72-$BH$94)*$BG$94+($I72-$BJ$94)*$BI$94+($I72-$BL$94)*$BK$94+($I72-$BN$94)*$BM$94+($I72-$BP$94)*$BO$94+($I72-$BR$94)*$BQ$94+($I72-$BT$94)*$BS$94+($I72-$BV$94)*$BU$94+($I72-$BX$94)*$BW$94)*$CD72*$CE72,0)</f>
        <v>0</v>
      </c>
      <c r="CJ72" s="439" t="n">
        <f aca="false">CC72*CD72</f>
        <v>0</v>
      </c>
      <c r="CM72" s="530" t="n">
        <f aca="false">+CL28*CF72/10000</f>
        <v>0</v>
      </c>
      <c r="DJ72" s="532" t="n">
        <f aca="false">[1]Cinergy!$D94</f>
        <v>38991</v>
      </c>
      <c r="DK72" s="440" t="n">
        <f aca="false">VLOOKUP(DJ72,DL72:DM313,2)</f>
        <v>22</v>
      </c>
      <c r="DL72" s="533" t="n">
        <v>37561</v>
      </c>
      <c r="DM72" s="459" t="n">
        <v>20</v>
      </c>
      <c r="DP72" s="534" t="n">
        <f aca="false">[1]Cinergy!$D63</f>
        <v>38047</v>
      </c>
      <c r="DQ72" s="234" t="n">
        <f aca="false">[1]OPPD_NPPD!$O63+[1]NSP!$O63</f>
        <v>0</v>
      </c>
      <c r="DR72" s="234" t="n">
        <f aca="false">[1]COMED!$O63</f>
        <v>0</v>
      </c>
      <c r="DS72" s="234" t="n">
        <f aca="false">DQ72+DR72</f>
        <v>0</v>
      </c>
      <c r="DT72" s="234" t="n">
        <f aca="false">SUM([1]OPPD_NPPD!$P63:$R63)+SUM([1]NSP!$P63:$R63)</f>
        <v>0</v>
      </c>
      <c r="DU72" s="234" t="n">
        <f aca="false">SUM([1]COMED!$P63:$R63)</f>
        <v>0</v>
      </c>
      <c r="DV72" s="234" t="n">
        <f aca="false">DT72+DU72</f>
        <v>0</v>
      </c>
      <c r="DW72" s="535"/>
      <c r="DX72" s="536" t="n">
        <f aca="false">[1]OtherPosn!$D63</f>
        <v>37926</v>
      </c>
      <c r="DY72" s="234" t="n">
        <f aca="false">[1]OtherPosn!$N63</f>
        <v>-13789.9072265625</v>
      </c>
      <c r="DZ72" s="234" t="n">
        <f aca="false">SUM([1]OtherPosn!$O63:$P63)</f>
        <v>0</v>
      </c>
      <c r="EO72" s="532" t="n">
        <f aca="false">EO28</f>
        <v>37653</v>
      </c>
      <c r="EP72" s="234" t="n">
        <f aca="false">EP28</f>
        <v>20</v>
      </c>
      <c r="EQ72" s="473" t="n">
        <f aca="false">O71*$EP72</f>
        <v>504</v>
      </c>
      <c r="ER72" s="473" t="n">
        <f aca="false">P71*$EP72</f>
        <v>504</v>
      </c>
      <c r="ES72" s="439" t="n">
        <f aca="false">IF(YEAR($EO72)=1999,EP72,0)</f>
        <v>0</v>
      </c>
      <c r="ET72" s="439" t="n">
        <f aca="false">IF(YEAR($EO72)=1999,EQ72,0)</f>
        <v>0</v>
      </c>
      <c r="EU72" s="439" t="n">
        <f aca="false">IF(YEAR($EO72)=1999,ER72,0)</f>
        <v>0</v>
      </c>
    </row>
    <row r="73" customFormat="false" ht="18.75" hidden="false" customHeight="true" outlineLevel="0" collapsed="false">
      <c r="A73" s="537" t="n">
        <f aca="false">[1]COMED!$D51</f>
        <v>37681</v>
      </c>
      <c r="B73" s="180" t="n">
        <f aca="false">[1]COMED!$O51</f>
        <v>-189259.765625</v>
      </c>
      <c r="C73" s="538" t="n">
        <f aca="false">B73/(CE73*CD73)</f>
        <v>-599.26077876735</v>
      </c>
      <c r="D73" s="538" t="n">
        <f aca="false">BY73+IF(YEAR(A73)=$T$20,$BY$92,0)+IF(YEAR(A73)=$T$21,$BY$93,0)+IF(YEAR(A73)=$T$22,$BY$94,0)</f>
        <v>0</v>
      </c>
      <c r="E73" s="160" t="n">
        <f aca="false">B73+(D73*CD73*CE73)</f>
        <v>-189259.765625</v>
      </c>
      <c r="F73" s="539" t="n">
        <f aca="false">C73+D73</f>
        <v>-599.26077876735</v>
      </c>
      <c r="G73" s="540" t="n">
        <f aca="false">[1]COMED!$E51</f>
        <v>27.8476886749268</v>
      </c>
      <c r="H73" s="498" t="n">
        <f aca="false">IF($R$53,R73,Q73)</f>
        <v>-0.250000443569448</v>
      </c>
      <c r="I73" s="541" t="n">
        <f aca="false">G73+H73</f>
        <v>27.5976882313573</v>
      </c>
      <c r="J73" s="160" t="n">
        <f aca="false">H73*B73</f>
        <v>47315.0253560997</v>
      </c>
      <c r="K73" s="114" t="n">
        <f aca="false">(((I73-AL73)*AK73+(I73-AN73)*AM73+(I73-AP73)*AO73+(I73-AR73)*AQ73+(I73-AT73)*AS73+(I73-AV73)*AU73+(I73-AX73)*AW73+(I73-AZ73)*AY73+(I73-BB73)*BA73+(I73-BD73)*BC73+(I73-BF73)*BE73+(I73-BH73)*BG73+(I73-BJ73)*BI73+(I73-BL73)*BK73+(I73-BN73)*BM73+(I73-BP73)*BO73+(I73-BR73)*BQ73+(I73-BT73)*BS73+(I73-BV73)*BU73+(I73-BX73)*BW73)*CD73*CE73)+CG73+CH73+CI73</f>
        <v>0</v>
      </c>
      <c r="L73" s="114" t="n">
        <f aca="false">J73+K73</f>
        <v>47315.0253560997</v>
      </c>
      <c r="M73" s="669"/>
      <c r="N73" s="500" t="n">
        <f aca="false">A73</f>
        <v>37681</v>
      </c>
      <c r="O73" s="501" t="n">
        <v>29.9</v>
      </c>
      <c r="P73" s="501" t="n">
        <v>29.9</v>
      </c>
      <c r="Q73" s="502" t="n">
        <f aca="false">AVERAGE(O73:P73)-G73</f>
        <v>2.05231132507324</v>
      </c>
      <c r="R73" s="677" t="n">
        <f aca="false">TradeSum!R29</f>
        <v>-0.250000443569448</v>
      </c>
      <c r="S73" s="679" t="n">
        <f aca="false">I73</f>
        <v>27.5976882313573</v>
      </c>
      <c r="T73" s="505" t="n">
        <f aca="false">IF(U72=4,T72+1,T72)</f>
        <v>2002</v>
      </c>
      <c r="U73" s="506" t="n">
        <f aca="false">IF(U72=4,1,U72+1)</f>
        <v>2</v>
      </c>
      <c r="V73" s="575" t="str">
        <f aca="false">V58</f>
        <v>Q2 2002</v>
      </c>
      <c r="W73" s="575" t="n">
        <f aca="false" t="array" ref="W73:W73">SUM(IF((INT((MONTH($A$56:$A$91)-1)/3)=$U73-1)*(YEAR($A$56:$A$91)=$T73),$F$56:$F$91))</f>
        <v>-789.878629134216</v>
      </c>
      <c r="X73" s="576" t="n">
        <f aca="false" t="array" ref="X73:X73">SUM(IF((INT((MONTH($A$56:$A$91)-1)/3)=$U73-1)*(YEAR($A$56:$A$91)=$T73),$E$56:$E$91))</f>
        <v>-264247.32421875</v>
      </c>
      <c r="Y73" s="567"/>
      <c r="Z73" s="577" t="n">
        <f aca="false">A59</f>
        <v>37257</v>
      </c>
      <c r="AA73" s="578" t="n">
        <f aca="false">I59</f>
        <v>28.0646684737433</v>
      </c>
      <c r="AB73" s="579" t="n">
        <f aca="false">AB29</f>
        <v>975.409594677419</v>
      </c>
      <c r="AC73" s="579" t="n">
        <f aca="false">AC29</f>
        <v>-1220.04822607687</v>
      </c>
      <c r="AD73" s="579" t="n">
        <f aca="false">AC73+AB73</f>
        <v>-244.638631399453</v>
      </c>
      <c r="AE73" s="46"/>
      <c r="AF73" s="46"/>
      <c r="AG73" s="46"/>
      <c r="AH73" s="46"/>
      <c r="AI73" s="46"/>
      <c r="AJ73" s="512" t="n">
        <f aca="false">A73</f>
        <v>37681</v>
      </c>
      <c r="AK73" s="513"/>
      <c r="AL73" s="514"/>
      <c r="AM73" s="513"/>
      <c r="AN73" s="514"/>
      <c r="AO73" s="513"/>
      <c r="AP73" s="514"/>
      <c r="AQ73" s="513"/>
      <c r="AR73" s="514"/>
      <c r="AS73" s="515"/>
      <c r="AT73" s="516"/>
      <c r="AU73" s="550" t="n">
        <f aca="false">+AU72</f>
        <v>0</v>
      </c>
      <c r="AV73" s="551" t="n">
        <f aca="false">+AV72</f>
        <v>0</v>
      </c>
      <c r="AW73" s="550" t="n">
        <f aca="false">+AW72</f>
        <v>0</v>
      </c>
      <c r="AX73" s="551" t="n">
        <f aca="false">+AX72</f>
        <v>0</v>
      </c>
      <c r="AY73" s="550"/>
      <c r="AZ73" s="551"/>
      <c r="BA73" s="550"/>
      <c r="BB73" s="551"/>
      <c r="BC73" s="513"/>
      <c r="BD73" s="514"/>
      <c r="BE73" s="513"/>
      <c r="BF73" s="514"/>
      <c r="BG73" s="513"/>
      <c r="BH73" s="514"/>
      <c r="BI73" s="520"/>
      <c r="BJ73" s="517"/>
      <c r="BK73" s="520"/>
      <c r="BL73" s="517"/>
      <c r="BM73" s="520"/>
      <c r="BN73" s="517"/>
      <c r="BO73" s="520"/>
      <c r="BP73" s="517"/>
      <c r="BQ73" s="520"/>
      <c r="BR73" s="517"/>
      <c r="BS73" s="520"/>
      <c r="BT73" s="517"/>
      <c r="BU73" s="520"/>
      <c r="BV73" s="517"/>
      <c r="BW73" s="520"/>
      <c r="BX73" s="517"/>
      <c r="BY73" s="556" t="n">
        <f aca="false">AK73+AM73+AO73+AQ73+AS73+AU73+AW73+AY73+BA73+BC73+BE73+BG73+BI73+BK73+BM73+BO73+BQ73+BS73+BU73+BW73</f>
        <v>0</v>
      </c>
      <c r="BZ73" s="524" t="n">
        <f aca="false">IF(AND(BY73=0,CC73=0),0,(ABS(AK73)*AL73+ABS(AM73)*AN73+ABS(AO73)*AP73+ABS(AQ73)*AR73+ABS(AS73)*AT73+ABS(AU73)*AV73+ABS(AW73)*AX73+ABS(AY73)*AZ73+ABS(BA73)*BB73+ABS(BC73)*BD73+ABS(BE73)*BF73+ABS(BG73)*BH73+ABS(BI73)*BJ73+ABS(BK73)*BL73+ABS(BM73)*BN73+ABS(BO73)*BP73+ABS(BQ73)*BR73+ABS(BS73)*BT73+ABS(BU73)*BV73+ABS(BW73)*BX73)/CC73)</f>
        <v>0</v>
      </c>
      <c r="CA73" s="222"/>
      <c r="CB73" s="525" t="n">
        <f aca="false">AJ73</f>
        <v>37681</v>
      </c>
      <c r="CC73" s="222" t="n">
        <f aca="false">ABS(AK73)+ABS(AM73)+ABS(AO73)+ABS(AQ73)+ABS(AS73)+ABS(AU73)+ABS(AW73)+ABS(AY73)+ABS(BA73)+ABS(BC73)+ABS(BE73)+ABS(BG73)+ABS(BI73)+ABS(BK73)+ABS(BM73)+ABS(BO73)+ABS(BQ73)+ABS(BS73)+ABS(BU73)+ABS(BW73)</f>
        <v>0</v>
      </c>
      <c r="CD73" s="526" t="n">
        <f aca="false">CD29</f>
        <v>336</v>
      </c>
      <c r="CE73" s="222" t="n">
        <f aca="false">CE29</f>
        <v>0.939946567398907</v>
      </c>
      <c r="CF73" s="527" t="n">
        <f aca="false">E73-B73</f>
        <v>0</v>
      </c>
      <c r="CG73" s="527" t="n">
        <f aca="false">IF(YEAR($AJ73)=$CG$10,(($I73-$AL$92)*$AK$92+($I73-$AN$92)*$AM$92+($I73-$AP$92)*$AO$92+($I73-$AR$92)*$AQ$92+($I73-$AT$92)*$AS$92+($I73-$AV$92)*$AU$92+($I73-$AX$92)*$AW$92+($I73-$AZ$92)*$AY$92+($I73-$BB$92)*$BA$92+($I73-$BD$92)*$BC$92+($I73-$BF$92)*$BE$92+($I73-$BH$92)*$BG$92+($I73-$BJ$92)*$BI$92+($I73-$BL$92)*$BK$92+($I73-$BN$92)*$BM$92+($I73-$BP$92)*$BO$92+($I73-$BR$92)*$BQ$92+($I73-$BT$92)*$BS$92+($I73-$BV$92)*$BU$92+($I73-$BX$92)*$BW$92)*$CD73*$CE73,0)</f>
        <v>0</v>
      </c>
      <c r="CH73" s="527" t="n">
        <f aca="false">IF(YEAR($AJ73)=$CH$10,(($I73-$AL$93)*$AK$93+($I73-$AN$93)*$AM$93+($I73-$AP$93)*$AO$93+($I73-$AR$93)*$AQ$93+($I73-$AT$93)*$AS$93+($I73-$AV$93)*$AU$93+($I73-$AX$93)*$AW$93+($I73-$AZ$93)*$AY$93+($I73-$BB$93)*$BA$93+($I73-$BD$93)*$BC$93+($I73-$BF$93)*$BE$93+($I73-$BH$93)*$BG$93+($I73-$BJ$93)*$BI$93+($I73-$BL$93)*$BK$93+($I73-$BN$93)*$BM$93+($I73-$BP$93)*$BO$93+($I73-$BR$93)*$BQ$93+($I73-$BT$93)*$BS$93+($I73-$BV$93)*$BU$93+($I73-$BX$93)*$BW$93)*$CD73*$CE73,0)</f>
        <v>0</v>
      </c>
      <c r="CI73" s="527" t="n">
        <f aca="false">IF(YEAR($AJ73)=$CI$10,(($I73-$AL$94)*$AK$94+($I73-$AN$94)*$AM$94+($I73-$AP$94)*$AO$94+($I73-$AR$94)*$AQ$94+($I73-$AT$94)*$AS$94+($I73-$AV$94)*$AU$94+($I73-$AX$94)*$AW$94+($I73-$AZ$94)*$AY$94+($I73-$BB$94)*$BA$94+($I73-$BD$94)*$BC$94+($I73-$BF$94)*$BE$94+($I73-$BH$94)*$BG$94+($I73-$BJ$94)*$BI$94+($I73-$BL$94)*$BK$94+($I73-$BN$94)*$BM$94+($I73-$BP$94)*$BO$94+($I73-$BR$94)*$BQ$94+($I73-$BT$94)*$BS$94+($I73-$BV$94)*$BU$94+($I73-$BX$94)*$BW$94)*$CD73*$CE73,0)</f>
        <v>0</v>
      </c>
      <c r="CJ73" s="439" t="n">
        <f aca="false">CC73*CD73</f>
        <v>0</v>
      </c>
      <c r="CM73" s="530" t="n">
        <f aca="false">+CL29*CF73/10000</f>
        <v>0</v>
      </c>
      <c r="DJ73" s="532" t="n">
        <f aca="false">[1]Cinergy!$D95</f>
        <v>39022</v>
      </c>
      <c r="DK73" s="440" t="n">
        <f aca="false">VLOOKUP(DJ73,DL73:DM314,2)</f>
        <v>21</v>
      </c>
      <c r="DL73" s="533" t="n">
        <v>37591</v>
      </c>
      <c r="DM73" s="459" t="n">
        <v>21</v>
      </c>
      <c r="DP73" s="534" t="n">
        <f aca="false">[1]Cinergy!$D64</f>
        <v>38078</v>
      </c>
      <c r="DQ73" s="234" t="n">
        <f aca="false">[1]OPPD_NPPD!$O64+[1]NSP!$O64</f>
        <v>0</v>
      </c>
      <c r="DR73" s="234" t="n">
        <f aca="false">[1]COMED!$O64</f>
        <v>0</v>
      </c>
      <c r="DS73" s="234" t="n">
        <f aca="false">DQ73+DR73</f>
        <v>0</v>
      </c>
      <c r="DT73" s="234" t="n">
        <f aca="false">SUM([1]OPPD_NPPD!$P64:$R64)+SUM([1]NSP!$P64:$R64)</f>
        <v>0</v>
      </c>
      <c r="DU73" s="234" t="n">
        <f aca="false">SUM([1]COMED!$P64:$R64)</f>
        <v>0</v>
      </c>
      <c r="DV73" s="234" t="n">
        <f aca="false">DT73+DU73</f>
        <v>0</v>
      </c>
      <c r="DW73" s="535"/>
      <c r="DX73" s="536" t="n">
        <f aca="false">[1]OtherPosn!$D64</f>
        <v>37956</v>
      </c>
      <c r="DY73" s="234" t="n">
        <f aca="false">[1]OtherPosn!$N64</f>
        <v>-15893.56640625</v>
      </c>
      <c r="DZ73" s="234" t="n">
        <f aca="false">SUM([1]OtherPosn!$O64:$P64)</f>
        <v>0</v>
      </c>
      <c r="EO73" s="532" t="n">
        <f aca="false">EO29</f>
        <v>37681</v>
      </c>
      <c r="EP73" s="234" t="n">
        <f aca="false">EP29</f>
        <v>21</v>
      </c>
      <c r="EQ73" s="473" t="n">
        <f aca="false">O72*$EP73</f>
        <v>544.95</v>
      </c>
      <c r="ER73" s="473" t="n">
        <f aca="false">P72*$EP73</f>
        <v>544.95</v>
      </c>
      <c r="ES73" s="439" t="n">
        <f aca="false">IF(YEAR($EO73)=1999,EP73,0)</f>
        <v>0</v>
      </c>
      <c r="ET73" s="439" t="n">
        <f aca="false">IF(YEAR($EO73)=1999,EQ73,0)</f>
        <v>0</v>
      </c>
      <c r="EU73" s="439" t="n">
        <f aca="false">IF(YEAR($EO73)=1999,ER73,0)</f>
        <v>0</v>
      </c>
    </row>
    <row r="74" customFormat="false" ht="18.75" hidden="false" customHeight="true" outlineLevel="0" collapsed="false">
      <c r="A74" s="95" t="n">
        <f aca="false">[1]COMED!$D52</f>
        <v>37712</v>
      </c>
      <c r="B74" s="122" t="n">
        <f aca="false">[1]COMED!$O52</f>
        <v>-197487.5625</v>
      </c>
      <c r="C74" s="163" t="n">
        <f aca="false">B74/(CE74*CD74)</f>
        <v>-599.256982152648</v>
      </c>
      <c r="D74" s="496" t="n">
        <f aca="false">BY74+IF(YEAR(A74)=$T$20,$BY$92,0)+IF(YEAR(A74)=$T$21,$BY$93,0)+IF(YEAR(A74)=$T$22,$BY$94,0)</f>
        <v>0</v>
      </c>
      <c r="E74" s="163" t="n">
        <f aca="false">B74+(D74*CD74*CE74)</f>
        <v>-197487.5625</v>
      </c>
      <c r="F74" s="497" t="n">
        <f aca="false">C74+D74</f>
        <v>-599.256982152648</v>
      </c>
      <c r="G74" s="498" t="n">
        <f aca="false">[1]COMED!$E52</f>
        <v>28.0476818084717</v>
      </c>
      <c r="H74" s="498" t="n">
        <f aca="false">IF($R$53,R74,Q74)</f>
        <v>-0.250000443569448</v>
      </c>
      <c r="I74" s="499" t="n">
        <f aca="false">G74+H74</f>
        <v>27.7976813649022</v>
      </c>
      <c r="J74" s="122" t="n">
        <f aca="false">H74*B74</f>
        <v>49371.9782244491</v>
      </c>
      <c r="K74" s="123" t="n">
        <f aca="false">(((I74-AL74)*AK74+(I74-AN74)*AM74+(I74-AP74)*AO74+(I74-AR74)*AQ74+(I74-AT74)*AS74+(I74-AV74)*AU74+(I74-AX74)*AW74+(I74-AZ74)*AY74+(I74-BB74)*BA74+(I74-BD74)*BC74+(I74-BF74)*BE74+(I74-BH74)*BG74+(I74-BJ74)*BI74+(I74-BL74)*BK74+(I74-BN74)*BM74+(I74-BP74)*BO74+(I74-BR74)*BQ74+(I74-BT74)*BS74+(I74-BV74)*BU74+(I74-BX74)*BW74)*CD74*CE74)+CG74+CH74+CI74</f>
        <v>0</v>
      </c>
      <c r="L74" s="123" t="n">
        <f aca="false">J74+K74</f>
        <v>49371.9782244491</v>
      </c>
      <c r="M74" s="669"/>
      <c r="N74" s="500" t="n">
        <f aca="false">A74</f>
        <v>37712</v>
      </c>
      <c r="O74" s="501" t="n">
        <v>30</v>
      </c>
      <c r="P74" s="501" t="n">
        <v>30</v>
      </c>
      <c r="Q74" s="502" t="n">
        <f aca="false">AVERAGE(O74:P74)-G74</f>
        <v>1.95231819152832</v>
      </c>
      <c r="R74" s="677" t="n">
        <f aca="false">TradeSum!R30</f>
        <v>-0.250000443569448</v>
      </c>
      <c r="S74" s="679" t="n">
        <f aca="false">I74</f>
        <v>27.7976813649022</v>
      </c>
      <c r="T74" s="505" t="n">
        <f aca="false">IF(U73=4,T73+1,T73)</f>
        <v>2002</v>
      </c>
      <c r="U74" s="506" t="n">
        <f aca="false">IF(U73=4,1,U73+1)</f>
        <v>3</v>
      </c>
      <c r="V74" s="579" t="str">
        <f aca="false">V59</f>
        <v>Q3 2002</v>
      </c>
      <c r="W74" s="579" t="n">
        <f aca="false" t="array" ref="W74:W74">SUM(IF((INT((MONTH($A$56:$A$91)-1)/3)=$U74-1)*(YEAR($A$56:$A$91)=$T74),$F$56:$F$91))</f>
        <v>-1399.44095217369</v>
      </c>
      <c r="X74" s="580" t="n">
        <f aca="false" t="array" ref="X74:X74">SUM(IF((INT((MONTH($A$56:$A$91)-1)/3)=$U74-1)*(YEAR($A$56:$A$91)=$T74),$E$56:$E$91))</f>
        <v>-485245.5546875</v>
      </c>
      <c r="Y74" s="570"/>
      <c r="Z74" s="581" t="n">
        <f aca="false">A60</f>
        <v>37288</v>
      </c>
      <c r="AA74" s="582" t="n">
        <f aca="false">I60</f>
        <v>27.7166650862921</v>
      </c>
      <c r="AB74" s="583" t="n">
        <f aca="false">AB30</f>
        <v>972.378993134201</v>
      </c>
      <c r="AC74" s="584" t="n">
        <f aca="false">AC30</f>
        <v>-1220.03058736007</v>
      </c>
      <c r="AD74" s="584" t="n">
        <f aca="false">AC74+AB74</f>
        <v>-247.651594225867</v>
      </c>
      <c r="AE74" s="46"/>
      <c r="AF74" s="46"/>
      <c r="AG74" s="46"/>
      <c r="AH74" s="46"/>
      <c r="AI74" s="46"/>
      <c r="AJ74" s="512" t="n">
        <f aca="false">A74</f>
        <v>37712</v>
      </c>
      <c r="AK74" s="513" t="n">
        <f aca="false">+AK73</f>
        <v>0</v>
      </c>
      <c r="AL74" s="514" t="n">
        <f aca="false">+AL73</f>
        <v>0</v>
      </c>
      <c r="AM74" s="513" t="n">
        <f aca="false">+AM73</f>
        <v>0</v>
      </c>
      <c r="AN74" s="514" t="n">
        <f aca="false">+AN73</f>
        <v>0</v>
      </c>
      <c r="AO74" s="513" t="n">
        <f aca="false">+AO73</f>
        <v>0</v>
      </c>
      <c r="AP74" s="514" t="n">
        <f aca="false">+AP73</f>
        <v>0</v>
      </c>
      <c r="AQ74" s="513" t="n">
        <f aca="false">+AQ73</f>
        <v>0</v>
      </c>
      <c r="AR74" s="514" t="n">
        <f aca="false">+AR73</f>
        <v>0</v>
      </c>
      <c r="AS74" s="515"/>
      <c r="AT74" s="516"/>
      <c r="AU74" s="550" t="n">
        <f aca="false">+AU73</f>
        <v>0</v>
      </c>
      <c r="AV74" s="551" t="n">
        <f aca="false">+AV73</f>
        <v>0</v>
      </c>
      <c r="AW74" s="550" t="n">
        <f aca="false">+AW73</f>
        <v>0</v>
      </c>
      <c r="AX74" s="551" t="n">
        <f aca="false">+AX73</f>
        <v>0</v>
      </c>
      <c r="AY74" s="550"/>
      <c r="AZ74" s="551"/>
      <c r="BA74" s="550"/>
      <c r="BB74" s="551"/>
      <c r="BC74" s="513"/>
      <c r="BD74" s="514"/>
      <c r="BE74" s="513"/>
      <c r="BF74" s="514"/>
      <c r="BG74" s="513"/>
      <c r="BH74" s="514"/>
      <c r="BI74" s="520"/>
      <c r="BJ74" s="517"/>
      <c r="BK74" s="520"/>
      <c r="BL74" s="517"/>
      <c r="BM74" s="520"/>
      <c r="BN74" s="517"/>
      <c r="BO74" s="520"/>
      <c r="BP74" s="517"/>
      <c r="BQ74" s="520"/>
      <c r="BR74" s="517"/>
      <c r="BS74" s="520"/>
      <c r="BT74" s="517"/>
      <c r="BU74" s="520"/>
      <c r="BV74" s="517"/>
      <c r="BW74" s="520"/>
      <c r="BX74" s="517"/>
      <c r="BY74" s="556" t="n">
        <f aca="false">AK74+AM74+AO74+AQ74+AS74+AU74+AW74+AY74+BA74+BC74+BE74+BG74+BI74+BK74+BM74+BO74+BQ74+BS74+BU74+BW74</f>
        <v>0</v>
      </c>
      <c r="BZ74" s="524" t="n">
        <f aca="false">IF(AND(BY74=0,CC74=0),0,(ABS(AK74)*AL74+ABS(AM74)*AN74+ABS(AO74)*AP74+ABS(AQ74)*AR74+ABS(AS74)*AT74+ABS(AU74)*AV74+ABS(AW74)*AX74+ABS(AY74)*AZ74+ABS(BA74)*BB74+ABS(BC74)*BD74+ABS(BE74)*BF74+ABS(BG74)*BH74+ABS(BI74)*BJ74+ABS(BK74)*BL74+ABS(BM74)*BN74+ABS(BO74)*BP74+ABS(BQ74)*BR74+ABS(BS74)*BT74+ABS(BU74)*BV74+ABS(BW74)*BX74)/CC74)</f>
        <v>0</v>
      </c>
      <c r="CA74" s="222"/>
      <c r="CB74" s="525" t="n">
        <f aca="false">AJ74</f>
        <v>37712</v>
      </c>
      <c r="CC74" s="222" t="n">
        <f aca="false">ABS(AK74)+ABS(AM74)+ABS(AO74)+ABS(AQ74)+ABS(AS74)+ABS(AU74)+ABS(AW74)+ABS(AY74)+ABS(BA74)+ABS(BC74)+ABS(BE74)+ABS(BG74)+ABS(BI74)+ABS(BK74)+ABS(BM74)+ABS(BO74)+ABS(BQ74)+ABS(BS74)+ABS(BU74)+ABS(BW74)</f>
        <v>0</v>
      </c>
      <c r="CD74" s="526" t="n">
        <f aca="false">CD30</f>
        <v>352</v>
      </c>
      <c r="CE74" s="222" t="n">
        <f aca="false">CE30</f>
        <v>0.936233082562254</v>
      </c>
      <c r="CF74" s="527" t="n">
        <f aca="false">E74-B74</f>
        <v>0</v>
      </c>
      <c r="CG74" s="527" t="n">
        <f aca="false">IF(YEAR($AJ74)=$CG$10,(($I74-$AL$92)*$AK$92+($I74-$AN$92)*$AM$92+($I74-$AP$92)*$AO$92+($I74-$AR$92)*$AQ$92+($I74-$AT$92)*$AS$92+($I74-$AV$92)*$AU$92+($I74-$AX$92)*$AW$92+($I74-$AZ$92)*$AY$92+($I74-$BB$92)*$BA$92+($I74-$BD$92)*$BC$92+($I74-$BF$92)*$BE$92+($I74-$BH$92)*$BG$92+($I74-$BJ$92)*$BI$92+($I74-$BL$92)*$BK$92+($I74-$BN$92)*$BM$92+($I74-$BP$92)*$BO$92+($I74-$BR$92)*$BQ$92+($I74-$BT$92)*$BS$92+($I74-$BV$92)*$BU$92+($I74-$BX$92)*$BW$92)*$CD74*$CE74,0)</f>
        <v>0</v>
      </c>
      <c r="CH74" s="527" t="n">
        <f aca="false">IF(YEAR($AJ74)=$CH$10,(($I74-$AL$93)*$AK$93+($I74-$AN$93)*$AM$93+($I74-$AP$93)*$AO$93+($I74-$AR$93)*$AQ$93+($I74-$AT$93)*$AS$93+($I74-$AV$93)*$AU$93+($I74-$AX$93)*$AW$93+($I74-$AZ$93)*$AY$93+($I74-$BB$93)*$BA$93+($I74-$BD$93)*$BC$93+($I74-$BF$93)*$BE$93+($I74-$BH$93)*$BG$93+($I74-$BJ$93)*$BI$93+($I74-$BL$93)*$BK$93+($I74-$BN$93)*$BM$93+($I74-$BP$93)*$BO$93+($I74-$BR$93)*$BQ$93+($I74-$BT$93)*$BS$93+($I74-$BV$93)*$BU$93+($I74-$BX$93)*$BW$93)*$CD74*$CE74,0)</f>
        <v>0</v>
      </c>
      <c r="CI74" s="527" t="n">
        <f aca="false">IF(YEAR($AJ74)=$CI$10,(($I74-$AL$94)*$AK$94+($I74-$AN$94)*$AM$94+($I74-$AP$94)*$AO$94+($I74-$AR$94)*$AQ$94+($I74-$AT$94)*$AS$94+($I74-$AV$94)*$AU$94+($I74-$AX$94)*$AW$94+($I74-$AZ$94)*$AY$94+($I74-$BB$94)*$BA$94+($I74-$BD$94)*$BC$94+($I74-$BF$94)*$BE$94+($I74-$BH$94)*$BG$94+($I74-$BJ$94)*$BI$94+($I74-$BL$94)*$BK$94+($I74-$BN$94)*$BM$94+($I74-$BP$94)*$BO$94+($I74-$BR$94)*$BQ$94+($I74-$BT$94)*$BS$94+($I74-$BV$94)*$BU$94+($I74-$BX$94)*$BW$94)*$CD74*$CE74,0)</f>
        <v>0</v>
      </c>
      <c r="CJ74" s="439" t="n">
        <f aca="false">CC74*CD74</f>
        <v>0</v>
      </c>
      <c r="CM74" s="530" t="n">
        <f aca="false">+CL30*CF74/10000</f>
        <v>0</v>
      </c>
      <c r="DJ74" s="532" t="n">
        <f aca="false">[1]Cinergy!$D96</f>
        <v>39052</v>
      </c>
      <c r="DK74" s="440" t="n">
        <f aca="false">VLOOKUP(DJ74,DL74:DM315,2)</f>
        <v>20</v>
      </c>
      <c r="DL74" s="533" t="n">
        <v>37622</v>
      </c>
      <c r="DM74" s="459" t="n">
        <v>22</v>
      </c>
      <c r="DP74" s="534" t="n">
        <f aca="false">[1]Cinergy!$D65</f>
        <v>38108</v>
      </c>
      <c r="DQ74" s="234" t="n">
        <f aca="false">[1]OPPD_NPPD!$O65+[1]NSP!$O65</f>
        <v>0</v>
      </c>
      <c r="DR74" s="234" t="n">
        <f aca="false">[1]COMED!$O65</f>
        <v>0</v>
      </c>
      <c r="DS74" s="234" t="n">
        <f aca="false">DQ74+DR74</f>
        <v>0</v>
      </c>
      <c r="DT74" s="234" t="n">
        <f aca="false">SUM([1]OPPD_NPPD!$P65:$R65)+SUM([1]NSP!$P65:$R65)</f>
        <v>0</v>
      </c>
      <c r="DU74" s="234" t="n">
        <f aca="false">SUM([1]COMED!$P65:$R65)</f>
        <v>0</v>
      </c>
      <c r="DV74" s="234" t="n">
        <f aca="false">DT74+DU74</f>
        <v>0</v>
      </c>
      <c r="DW74" s="535"/>
      <c r="DX74" s="536" t="n">
        <f aca="false">[1]OtherPosn!$D65</f>
        <v>37165</v>
      </c>
      <c r="DY74" s="234" t="n">
        <f aca="false">[1]OtherPosn!$N65</f>
        <v>2385.39233398438</v>
      </c>
      <c r="DZ74" s="234" t="n">
        <f aca="false">SUM([1]OtherPosn!$O65:$P65)</f>
        <v>0</v>
      </c>
      <c r="EO74" s="532" t="n">
        <f aca="false">EO30</f>
        <v>37712</v>
      </c>
      <c r="EP74" s="234" t="n">
        <f aca="false">EP30</f>
        <v>22</v>
      </c>
      <c r="EQ74" s="473" t="n">
        <f aca="false">O73*$EP74</f>
        <v>657.8</v>
      </c>
      <c r="ER74" s="473" t="n">
        <f aca="false">P73*$EP74</f>
        <v>657.8</v>
      </c>
      <c r="ES74" s="439" t="n">
        <f aca="false">IF(YEAR($EO74)=1999,EP74,0)</f>
        <v>0</v>
      </c>
      <c r="ET74" s="439" t="n">
        <f aca="false">IF(YEAR($EO74)=1999,EQ74,0)</f>
        <v>0</v>
      </c>
      <c r="EU74" s="439" t="n">
        <f aca="false">IF(YEAR($EO74)=1999,ER74,0)</f>
        <v>0</v>
      </c>
    </row>
    <row r="75" customFormat="false" ht="18.75" hidden="false" customHeight="true" outlineLevel="0" collapsed="false">
      <c r="A75" s="537" t="n">
        <f aca="false">[1]COMED!$D53</f>
        <v>37742</v>
      </c>
      <c r="B75" s="180" t="n">
        <f aca="false">[1]COMED!$O53</f>
        <v>-187725.765625</v>
      </c>
      <c r="C75" s="538" t="n">
        <f aca="false">B75/(CE75*CD75)</f>
        <v>-599.204513294433</v>
      </c>
      <c r="D75" s="538" t="n">
        <f aca="false">BY75+IF(YEAR(A75)=$T$20,$BY$92,0)+IF(YEAR(A75)=$T$21,$BY$93,0)+IF(YEAR(A75)=$T$22,$BY$94,0)</f>
        <v>0</v>
      </c>
      <c r="E75" s="160" t="n">
        <f aca="false">B75+(D75*CD75*CE75)</f>
        <v>-187725.765625</v>
      </c>
      <c r="F75" s="539" t="n">
        <f aca="false">C75+D75</f>
        <v>-599.204513294433</v>
      </c>
      <c r="G75" s="540" t="n">
        <f aca="false">[1]COMED!$E53</f>
        <v>29.7499961853027</v>
      </c>
      <c r="H75" s="498" t="n">
        <f aca="false">IF($R$53,R75,Q75)</f>
        <v>0</v>
      </c>
      <c r="I75" s="541" t="n">
        <f aca="false">G75+H75</f>
        <v>29.7499961853027</v>
      </c>
      <c r="J75" s="160" t="n">
        <f aca="false">H75*B75</f>
        <v>-0</v>
      </c>
      <c r="K75" s="114" t="n">
        <f aca="false">(((I75-AL75)*AK75+(I75-AN75)*AM75+(I75-AP75)*AO75+(I75-AR75)*AQ75+(I75-AT75)*AS75+(I75-AV75)*AU75+(I75-AX75)*AW75+(I75-AZ75)*AY75+(I75-BB75)*BA75+(I75-BD75)*BC75+(I75-BF75)*BE75+(I75-BH75)*BG75+(I75-BJ75)*BI75+(I75-BL75)*BK75+(I75-BN75)*BM75+(I75-BP75)*BO75+(I75-BR75)*BQ75+(I75-BT75)*BS75+(I75-BV75)*BU75+(I75-BX75)*BW75)*CD75*CE75)+CG75+CH75+CI75</f>
        <v>0</v>
      </c>
      <c r="L75" s="114" t="n">
        <f aca="false">J75+K75</f>
        <v>0</v>
      </c>
      <c r="M75" s="669"/>
      <c r="N75" s="500" t="n">
        <f aca="false">A75</f>
        <v>37742</v>
      </c>
      <c r="O75" s="501" t="n">
        <v>25.25</v>
      </c>
      <c r="P75" s="501" t="n">
        <v>25.25</v>
      </c>
      <c r="Q75" s="502" t="n">
        <f aca="false">AVERAGE(O75:P75)-G75</f>
        <v>-4.49999618530273</v>
      </c>
      <c r="R75" s="677" t="n">
        <f aca="false">TradeSum!R31</f>
        <v>0</v>
      </c>
      <c r="S75" s="679" t="n">
        <f aca="false">I75</f>
        <v>29.7499961853027</v>
      </c>
      <c r="T75" s="505" t="n">
        <f aca="false">IF(U74=4,T74+1,T74)</f>
        <v>2002</v>
      </c>
      <c r="U75" s="506" t="n">
        <f aca="false">IF(U74=4,1,U74+1)</f>
        <v>4</v>
      </c>
      <c r="V75" s="575" t="str">
        <f aca="false">V60</f>
        <v>Q4 2002</v>
      </c>
      <c r="W75" s="575" t="n">
        <f aca="false" t="array" ref="W75:W75">SUM(IF((INT((MONTH($A$56:$A$91)-1)/3)=$U75-1)*(YEAR($A$56:$A$91)=$T75),$F$56:$F$91))</f>
        <v>-1498.69023560607</v>
      </c>
      <c r="X75" s="576" t="n">
        <f aca="false" t="array" ref="X75:X75">SUM(IF((INT((MONTH($A$56:$A$91)-1)/3)=$U75-1)*(YEAR($A$56:$A$91)=$T75),$E$56:$E$91))</f>
        <v>-488099.9375</v>
      </c>
      <c r="Y75" s="46"/>
      <c r="Z75" s="577" t="n">
        <f aca="false">A61</f>
        <v>37316</v>
      </c>
      <c r="AA75" s="578" t="n">
        <f aca="false">I61</f>
        <v>26.4197704847469</v>
      </c>
      <c r="AB75" s="579" t="n">
        <f aca="false">AB31</f>
        <v>24.7442701103715</v>
      </c>
      <c r="AC75" s="579" t="n">
        <f aca="false">AC31</f>
        <v>-169.994914301451</v>
      </c>
      <c r="AD75" s="579" t="n">
        <f aca="false">AC75+AB75</f>
        <v>-145.250644191079</v>
      </c>
      <c r="AE75" s="46"/>
      <c r="AF75" s="46"/>
      <c r="AG75" s="46"/>
      <c r="AH75" s="46"/>
      <c r="AI75" s="46"/>
      <c r="AJ75" s="512" t="n">
        <f aca="false">A75</f>
        <v>37742</v>
      </c>
      <c r="AK75" s="513"/>
      <c r="AL75" s="514"/>
      <c r="AM75" s="513"/>
      <c r="AN75" s="514"/>
      <c r="AO75" s="513"/>
      <c r="AP75" s="514"/>
      <c r="AQ75" s="513"/>
      <c r="AR75" s="514"/>
      <c r="AS75" s="515"/>
      <c r="AT75" s="516"/>
      <c r="AU75" s="550" t="n">
        <f aca="false">+AU74</f>
        <v>0</v>
      </c>
      <c r="AV75" s="551" t="n">
        <f aca="false">+AV74</f>
        <v>0</v>
      </c>
      <c r="AW75" s="550" t="n">
        <f aca="false">+AW74</f>
        <v>0</v>
      </c>
      <c r="AX75" s="551" t="n">
        <f aca="false">+AX74</f>
        <v>0</v>
      </c>
      <c r="AY75" s="550"/>
      <c r="AZ75" s="551"/>
      <c r="BA75" s="550"/>
      <c r="BB75" s="551"/>
      <c r="BC75" s="513"/>
      <c r="BD75" s="514"/>
      <c r="BE75" s="513"/>
      <c r="BF75" s="514"/>
      <c r="BG75" s="513"/>
      <c r="BH75" s="514"/>
      <c r="BI75" s="520"/>
      <c r="BJ75" s="517"/>
      <c r="BK75" s="520"/>
      <c r="BL75" s="517"/>
      <c r="BM75" s="520"/>
      <c r="BN75" s="517"/>
      <c r="BO75" s="520"/>
      <c r="BP75" s="517"/>
      <c r="BQ75" s="520"/>
      <c r="BR75" s="517"/>
      <c r="BS75" s="520"/>
      <c r="BT75" s="517"/>
      <c r="BU75" s="520"/>
      <c r="BV75" s="517"/>
      <c r="BW75" s="520"/>
      <c r="BX75" s="517"/>
      <c r="BY75" s="556" t="n">
        <f aca="false">AK75+AM75+AO75+AQ75+AS75+AU75+AW75+AY75+BA75+BC75+BE75+BG75+BI75+BK75+BM75+BO75+BQ75+BS75+BU75+BW75</f>
        <v>0</v>
      </c>
      <c r="BZ75" s="524" t="n">
        <f aca="false">IF(AND(BY75=0,CC75=0),0,(ABS(AK75)*AL75+ABS(AM75)*AN75+ABS(AO75)*AP75+ABS(AQ75)*AR75+ABS(AS75)*AT75+ABS(AU75)*AV75+ABS(AW75)*AX75+ABS(AY75)*AZ75+ABS(BA75)*BB75+ABS(BC75)*BD75+ABS(BE75)*BF75+ABS(BG75)*BH75+ABS(BI75)*BJ75+ABS(BK75)*BL75+ABS(BM75)*BN75+ABS(BO75)*BP75+ABS(BQ75)*BR75+ABS(BS75)*BT75+ABS(BU75)*BV75+ABS(BW75)*BX75)/CC75)</f>
        <v>0</v>
      </c>
      <c r="CA75" s="222"/>
      <c r="CB75" s="525" t="n">
        <f aca="false">AJ75</f>
        <v>37742</v>
      </c>
      <c r="CC75" s="222" t="n">
        <f aca="false">ABS(AK75)+ABS(AM75)+ABS(AO75)+ABS(AQ75)+ABS(AS75)+ABS(AU75)+ABS(AW75)+ABS(AY75)+ABS(BA75)+ABS(BC75)+ABS(BE75)+ABS(BG75)+ABS(BI75)+ABS(BK75)+ABS(BM75)+ABS(BO75)+ABS(BQ75)+ABS(BS75)+ABS(BU75)+ABS(BW75)</f>
        <v>0</v>
      </c>
      <c r="CD75" s="526" t="n">
        <f aca="false">CD31</f>
        <v>336</v>
      </c>
      <c r="CE75" s="222" t="n">
        <f aca="false">CE31</f>
        <v>0.932415600004263</v>
      </c>
      <c r="CF75" s="527" t="n">
        <f aca="false">E75-B75</f>
        <v>0</v>
      </c>
      <c r="CG75" s="527" t="n">
        <f aca="false">IF(YEAR($AJ75)=$CG$10,(($I75-$AL$92)*$AK$92+($I75-$AN$92)*$AM$92+($I75-$AP$92)*$AO$92+($I75-$AR$92)*$AQ$92+($I75-$AT$92)*$AS$92+($I75-$AV$92)*$AU$92+($I75-$AX$92)*$AW$92+($I75-$AZ$92)*$AY$92+($I75-$BB$92)*$BA$92+($I75-$BD$92)*$BC$92+($I75-$BF$92)*$BE$92+($I75-$BH$92)*$BG$92+($I75-$BJ$92)*$BI$92+($I75-$BL$92)*$BK$92+($I75-$BN$92)*$BM$92+($I75-$BP$92)*$BO$92+($I75-$BR$92)*$BQ$92+($I75-$BT$92)*$BS$92+($I75-$BV$92)*$BU$92+($I75-$BX$92)*$BW$92)*$CD75*$CE75,0)</f>
        <v>0</v>
      </c>
      <c r="CH75" s="527" t="n">
        <f aca="false">IF(YEAR($AJ75)=$CH$10,(($I75-$AL$93)*$AK$93+($I75-$AN$93)*$AM$93+($I75-$AP$93)*$AO$93+($I75-$AR$93)*$AQ$93+($I75-$AT$93)*$AS$93+($I75-$AV$93)*$AU$93+($I75-$AX$93)*$AW$93+($I75-$AZ$93)*$AY$93+($I75-$BB$93)*$BA$93+($I75-$BD$93)*$BC$93+($I75-$BF$93)*$BE$93+($I75-$BH$93)*$BG$93+($I75-$BJ$93)*$BI$93+($I75-$BL$93)*$BK$93+($I75-$BN$93)*$BM$93+($I75-$BP$93)*$BO$93+($I75-$BR$93)*$BQ$93+($I75-$BT$93)*$BS$93+($I75-$BV$93)*$BU$93+($I75-$BX$93)*$BW$93)*$CD75*$CE75,0)</f>
        <v>0</v>
      </c>
      <c r="CI75" s="527" t="n">
        <f aca="false">IF(YEAR($AJ75)=$CI$10,(($I75-$AL$94)*$AK$94+($I75-$AN$94)*$AM$94+($I75-$AP$94)*$AO$94+($I75-$AR$94)*$AQ$94+($I75-$AT$94)*$AS$94+($I75-$AV$94)*$AU$94+($I75-$AX$94)*$AW$94+($I75-$AZ$94)*$AY$94+($I75-$BB$94)*$BA$94+($I75-$BD$94)*$BC$94+($I75-$BF$94)*$BE$94+($I75-$BH$94)*$BG$94+($I75-$BJ$94)*$BI$94+($I75-$BL$94)*$BK$94+($I75-$BN$94)*$BM$94+($I75-$BP$94)*$BO$94+($I75-$BR$94)*$BQ$94+($I75-$BT$94)*$BS$94+($I75-$BV$94)*$BU$94+($I75-$BX$94)*$BW$94)*$CD75*$CE75,0)</f>
        <v>0</v>
      </c>
      <c r="CJ75" s="439" t="n">
        <f aca="false">CC75*CD75</f>
        <v>0</v>
      </c>
      <c r="CM75" s="530" t="n">
        <f aca="false">+CL31*CF75/10000</f>
        <v>0</v>
      </c>
      <c r="DJ75" s="532" t="n">
        <f aca="false">[1]Cinergy!$D97</f>
        <v>39083</v>
      </c>
      <c r="DK75" s="440" t="n">
        <f aca="false">VLOOKUP(DJ75,DL75:DM316,2)</f>
        <v>22</v>
      </c>
      <c r="DL75" s="533" t="n">
        <v>37653</v>
      </c>
      <c r="DM75" s="459" t="n">
        <v>20</v>
      </c>
      <c r="DP75" s="534" t="n">
        <f aca="false">[1]Cinergy!$D66</f>
        <v>38139</v>
      </c>
      <c r="DQ75" s="234" t="n">
        <f aca="false">[1]OPPD_NPPD!$O66+[1]NSP!$O66</f>
        <v>0</v>
      </c>
      <c r="DR75" s="234" t="n">
        <f aca="false">[1]COMED!$O66</f>
        <v>0</v>
      </c>
      <c r="DS75" s="234" t="n">
        <f aca="false">DQ75+DR75</f>
        <v>0</v>
      </c>
      <c r="DT75" s="234" t="n">
        <f aca="false">SUM([1]OPPD_NPPD!$P66:$R66)+SUM([1]NSP!$P66:$R66)</f>
        <v>0</v>
      </c>
      <c r="DU75" s="234" t="n">
        <f aca="false">SUM([1]COMED!$P66:$R66)</f>
        <v>0</v>
      </c>
      <c r="DV75" s="234" t="n">
        <f aca="false">DT75+DU75</f>
        <v>0</v>
      </c>
      <c r="DW75" s="535"/>
      <c r="DX75" s="536" t="n">
        <f aca="false">[1]OtherPosn!$D66</f>
        <v>37166</v>
      </c>
      <c r="DY75" s="234" t="n">
        <f aca="false">[1]OtherPosn!$N66</f>
        <v>2385.39233398438</v>
      </c>
      <c r="DZ75" s="234" t="n">
        <f aca="false">SUM([1]OtherPosn!$O66:$P66)</f>
        <v>0</v>
      </c>
      <c r="EO75" s="532" t="n">
        <f aca="false">EO31</f>
        <v>37742</v>
      </c>
      <c r="EP75" s="234" t="n">
        <f aca="false">EP31</f>
        <v>21</v>
      </c>
      <c r="EQ75" s="473" t="n">
        <f aca="false">O74*$EP75</f>
        <v>630</v>
      </c>
      <c r="ER75" s="473" t="n">
        <f aca="false">P74*$EP75</f>
        <v>630</v>
      </c>
      <c r="ES75" s="439" t="n">
        <f aca="false">IF(YEAR($EO75)=1999,EP75,0)</f>
        <v>0</v>
      </c>
      <c r="ET75" s="439" t="n">
        <f aca="false">IF(YEAR($EO75)=1999,EQ75,0)</f>
        <v>0</v>
      </c>
      <c r="EU75" s="439" t="n">
        <f aca="false">IF(YEAR($EO75)=1999,ER75,0)</f>
        <v>0</v>
      </c>
    </row>
    <row r="76" customFormat="false" ht="18.75" hidden="false" customHeight="true" outlineLevel="0" collapsed="false">
      <c r="A76" s="95" t="n">
        <f aca="false">[1]COMED!$D54</f>
        <v>37773</v>
      </c>
      <c r="B76" s="122" t="n">
        <f aca="false">[1]COMED!$O54</f>
        <v>-186955.484375</v>
      </c>
      <c r="C76" s="163" t="n">
        <f aca="false">B76/(CE76*CD76)</f>
        <v>-599.185903013925</v>
      </c>
      <c r="D76" s="496" t="n">
        <f aca="false">BY76+IF(YEAR(A76)=$T$20,$BY$92,0)+IF(YEAR(A76)=$T$21,$BY$93,0)+IF(YEAR(A76)=$T$22,$BY$94,0)</f>
        <v>0</v>
      </c>
      <c r="E76" s="163" t="n">
        <f aca="false">B76+(D76*CD76*CE76)</f>
        <v>-186955.484375</v>
      </c>
      <c r="F76" s="497" t="n">
        <f aca="false">C76+D76</f>
        <v>-599.185903013925</v>
      </c>
      <c r="G76" s="498" t="n">
        <f aca="false">[1]COMED!$E54</f>
        <v>39.375</v>
      </c>
      <c r="H76" s="498" t="n">
        <f aca="false">+R76</f>
        <v>-0.5</v>
      </c>
      <c r="I76" s="499" t="n">
        <f aca="false">G76+H76</f>
        <v>38.875</v>
      </c>
      <c r="J76" s="122" t="n">
        <f aca="false">H76*B76</f>
        <v>93477.7421875</v>
      </c>
      <c r="K76" s="123" t="n">
        <f aca="false">(((I76-AL76)*AK76+(I76-AN76)*AM76+(I76-AP76)*AO76+(I76-AR76)*AQ76+(I76-AT76)*AS76+(I76-AV76)*AU76+(I76-AX76)*AW76+(I76-AZ76)*AY76+(I76-BB76)*BA76+(I76-BD76)*BC76+(I76-BF76)*BE76+(I76-BH76)*BG76+(I76-BJ76)*BI76+(I76-BL76)*BK76+(I76-BN76)*BM76+(I76-BP76)*BO76+(I76-BR76)*BQ76+(I76-BT76)*BS76+(I76-BV76)*BU76+(I76-BX76)*BW76)*CD76*CE76)+CG76+CH76+CI76</f>
        <v>0</v>
      </c>
      <c r="L76" s="123" t="n">
        <f aca="false">J76+K76</f>
        <v>93477.7421875</v>
      </c>
      <c r="M76" s="669"/>
      <c r="N76" s="500" t="n">
        <f aca="false">A76</f>
        <v>37773</v>
      </c>
      <c r="O76" s="501" t="n">
        <v>25.75</v>
      </c>
      <c r="P76" s="501" t="n">
        <v>25.75</v>
      </c>
      <c r="Q76" s="502" t="n">
        <f aca="false">AVERAGE(O76:P76)-G76</f>
        <v>-13.625</v>
      </c>
      <c r="R76" s="677" t="n">
        <f aca="false">TradeSum!R32</f>
        <v>-0.5</v>
      </c>
      <c r="S76" s="679" t="n">
        <f aca="false">I76</f>
        <v>38.875</v>
      </c>
      <c r="T76" s="505" t="n">
        <f aca="false">IF(U75=4,T75+1,T75)</f>
        <v>2003</v>
      </c>
      <c r="U76" s="506" t="n">
        <f aca="false">IF(U75=4,1,U75+1)</f>
        <v>1</v>
      </c>
      <c r="V76" s="579" t="str">
        <f aca="false">V61</f>
        <v>Q1 2003</v>
      </c>
      <c r="W76" s="579" t="n">
        <f aca="false" t="array" ref="W76:W76">SUM(IF((INT((MONTH($A$56:$A$91)-1)/3)=$U76-1)*(YEAR($A$56:$A$91)=$T76),$F$56:$F$91))</f>
        <v>-2097.55503648324</v>
      </c>
      <c r="X76" s="580" t="n">
        <f aca="false" t="array" ref="X76:X76">SUM(IF((INT((MONTH($A$56:$A$91)-1)/3)=$U76-1)*(YEAR($A$56:$A$91)=$T76),$E$56:$E$91))</f>
        <v>-665215.546875</v>
      </c>
      <c r="Y76" s="46"/>
      <c r="Z76" s="581" t="n">
        <f aca="false">A62</f>
        <v>37347</v>
      </c>
      <c r="AA76" s="582" t="n">
        <f aca="false">I62</f>
        <v>26.8697674329891</v>
      </c>
      <c r="AB76" s="583" t="n">
        <f aca="false">AB32</f>
        <v>20.9169396080429</v>
      </c>
      <c r="AC76" s="584" t="n">
        <f aca="false">AC32</f>
        <v>-169.985861096843</v>
      </c>
      <c r="AD76" s="584" t="n">
        <f aca="false">AC76+AB76</f>
        <v>-149.0689214888</v>
      </c>
      <c r="AE76" s="46"/>
      <c r="AF76" s="46"/>
      <c r="AG76" s="46"/>
      <c r="AH76" s="46"/>
      <c r="AI76" s="46"/>
      <c r="AJ76" s="512" t="n">
        <f aca="false">A76</f>
        <v>37773</v>
      </c>
      <c r="AK76" s="513"/>
      <c r="AL76" s="514"/>
      <c r="AM76" s="513"/>
      <c r="AN76" s="514"/>
      <c r="AO76" s="513"/>
      <c r="AP76" s="514"/>
      <c r="AQ76" s="513"/>
      <c r="AR76" s="514"/>
      <c r="AS76" s="515"/>
      <c r="AT76" s="516"/>
      <c r="AU76" s="550" t="n">
        <f aca="false">+AU75</f>
        <v>0</v>
      </c>
      <c r="AV76" s="551" t="n">
        <f aca="false">+AV75</f>
        <v>0</v>
      </c>
      <c r="AW76" s="550" t="n">
        <f aca="false">+AW75</f>
        <v>0</v>
      </c>
      <c r="AX76" s="551" t="n">
        <f aca="false">+AX75</f>
        <v>0</v>
      </c>
      <c r="AY76" s="550"/>
      <c r="AZ76" s="551"/>
      <c r="BA76" s="550"/>
      <c r="BB76" s="551"/>
      <c r="BC76" s="513"/>
      <c r="BD76" s="514"/>
      <c r="BE76" s="513"/>
      <c r="BF76" s="514"/>
      <c r="BG76" s="513"/>
      <c r="BH76" s="514"/>
      <c r="BI76" s="520"/>
      <c r="BJ76" s="517"/>
      <c r="BK76" s="520"/>
      <c r="BL76" s="517"/>
      <c r="BM76" s="520"/>
      <c r="BN76" s="517"/>
      <c r="BO76" s="520"/>
      <c r="BP76" s="517"/>
      <c r="BQ76" s="520"/>
      <c r="BR76" s="517"/>
      <c r="BS76" s="520"/>
      <c r="BT76" s="517"/>
      <c r="BU76" s="520"/>
      <c r="BV76" s="517"/>
      <c r="BW76" s="520"/>
      <c r="BX76" s="517"/>
      <c r="BY76" s="556" t="n">
        <f aca="false">AK76+AM76+AO76+AQ76+AS76+AU76+AW76+AY76+BA76+BC76+BE76+BG76+BI76+BK76+BM76+BO76+BQ76+BS76+BU76+BW76</f>
        <v>0</v>
      </c>
      <c r="BZ76" s="524" t="n">
        <f aca="false">IF(AND(BY76=0,CC76=0),0,(ABS(AK76)*AL76+ABS(AM76)*AN76+ABS(AO76)*AP76+ABS(AQ76)*AR76+ABS(AS76)*AT76+ABS(AU76)*AV76+ABS(AW76)*AX76+ABS(AY76)*AZ76+ABS(BA76)*BB76+ABS(BC76)*BD76+ABS(BE76)*BF76+ABS(BG76)*BH76+ABS(BI76)*BJ76+ABS(BK76)*BL76+ABS(BM76)*BN76+ABS(BO76)*BP76+ABS(BQ76)*BR76+ABS(BS76)*BT76+ABS(BU76)*BV76+ABS(BW76)*BX76)/CC76)</f>
        <v>0</v>
      </c>
      <c r="CA76" s="222"/>
      <c r="CB76" s="525" t="n">
        <f aca="false">AJ76</f>
        <v>37773</v>
      </c>
      <c r="CC76" s="222" t="n">
        <f aca="false">ABS(AK76)+ABS(AM76)+ABS(AO76)+ABS(AQ76)+ABS(AS76)+ABS(AU76)+ABS(AW76)+ABS(AY76)+ABS(BA76)+ABS(BC76)+ABS(BE76)+ABS(BG76)+ABS(BI76)+ABS(BK76)+ABS(BM76)+ABS(BO76)+ABS(BQ76)+ABS(BS76)+ABS(BU76)+ABS(BW76)</f>
        <v>0</v>
      </c>
      <c r="CD76" s="526" t="n">
        <f aca="false">CD32</f>
        <v>336</v>
      </c>
      <c r="CE76" s="222" t="n">
        <f aca="false">CE32</f>
        <v>0.92861852935736</v>
      </c>
      <c r="CF76" s="527" t="n">
        <f aca="false">E76-B76</f>
        <v>0</v>
      </c>
      <c r="CG76" s="527" t="n">
        <f aca="false">IF(YEAR($AJ76)=$CG$10,(($I76-$AL$92)*$AK$92+($I76-$AN$92)*$AM$92+($I76-$AP$92)*$AO$92+($I76-$AR$92)*$AQ$92+($I76-$AT$92)*$AS$92+($I76-$AV$92)*$AU$92+($I76-$AX$92)*$AW$92+($I76-$AZ$92)*$AY$92+($I76-$BB$92)*$BA$92+($I76-$BD$92)*$BC$92+($I76-$BF$92)*$BE$92+($I76-$BH$92)*$BG$92+($I76-$BJ$92)*$BI$92+($I76-$BL$92)*$BK$92+($I76-$BN$92)*$BM$92+($I76-$BP$92)*$BO$92+($I76-$BR$92)*$BQ$92+($I76-$BT$92)*$BS$92+($I76-$BV$92)*$BU$92+($I76-$BX$92)*$BW$92)*$CD76*$CE76,0)</f>
        <v>0</v>
      </c>
      <c r="CH76" s="527" t="n">
        <f aca="false">IF(YEAR($AJ76)=$CH$10,(($I76-$AL$93)*$AK$93+($I76-$AN$93)*$AM$93+($I76-$AP$93)*$AO$93+($I76-$AR$93)*$AQ$93+($I76-$AT$93)*$AS$93+($I76-$AV$93)*$AU$93+($I76-$AX$93)*$AW$93+($I76-$AZ$93)*$AY$93+($I76-$BB$93)*$BA$93+($I76-$BD$93)*$BC$93+($I76-$BF$93)*$BE$93+($I76-$BH$93)*$BG$93+($I76-$BJ$93)*$BI$93+($I76-$BL$93)*$BK$93+($I76-$BN$93)*$BM$93+($I76-$BP$93)*$BO$93+($I76-$BR$93)*$BQ$93+($I76-$BT$93)*$BS$93+($I76-$BV$93)*$BU$93+($I76-$BX$93)*$BW$93)*$CD76*$CE76,0)</f>
        <v>0</v>
      </c>
      <c r="CI76" s="527" t="n">
        <f aca="false">IF(YEAR($AJ76)=$CI$10,(($I76-$AL$94)*$AK$94+($I76-$AN$94)*$AM$94+($I76-$AP$94)*$AO$94+($I76-$AR$94)*$AQ$94+($I76-$AT$94)*$AS$94+($I76-$AV$94)*$AU$94+($I76-$AX$94)*$AW$94+($I76-$AZ$94)*$AY$94+($I76-$BB$94)*$BA$94+($I76-$BD$94)*$BC$94+($I76-$BF$94)*$BE$94+($I76-$BH$94)*$BG$94+($I76-$BJ$94)*$BI$94+($I76-$BL$94)*$BK$94+($I76-$BN$94)*$BM$94+($I76-$BP$94)*$BO$94+($I76-$BR$94)*$BQ$94+($I76-$BT$94)*$BS$94+($I76-$BV$94)*$BU$94+($I76-$BX$94)*$BW$94)*$CD76*$CE76,0)</f>
        <v>0</v>
      </c>
      <c r="CJ76" s="439" t="n">
        <f aca="false">CC76*CD76</f>
        <v>0</v>
      </c>
      <c r="CM76" s="530" t="n">
        <f aca="false">+CL32*CF76/10000</f>
        <v>0</v>
      </c>
      <c r="DJ76" s="532" t="n">
        <f aca="false">[1]Cinergy!$D98</f>
        <v>39114</v>
      </c>
      <c r="DK76" s="440" t="n">
        <f aca="false">VLOOKUP(DJ76,DL76:DM317,2)</f>
        <v>20</v>
      </c>
      <c r="DL76" s="533" t="n">
        <v>37681</v>
      </c>
      <c r="DM76" s="459" t="n">
        <v>21</v>
      </c>
      <c r="DP76" s="534" t="n">
        <f aca="false">[1]Cinergy!$D67</f>
        <v>38169</v>
      </c>
      <c r="DQ76" s="234" t="n">
        <f aca="false">[1]OPPD_NPPD!$O67+[1]NSP!$O67</f>
        <v>0</v>
      </c>
      <c r="DR76" s="234" t="n">
        <f aca="false">[1]COMED!$O67</f>
        <v>0</v>
      </c>
      <c r="DS76" s="234" t="n">
        <f aca="false">DQ76+DR76</f>
        <v>0</v>
      </c>
      <c r="DT76" s="234" t="n">
        <f aca="false">SUM([1]OPPD_NPPD!$P67:$R67)+SUM([1]NSP!$P67:$R67)</f>
        <v>0</v>
      </c>
      <c r="DU76" s="234" t="n">
        <f aca="false">SUM([1]COMED!$P67:$R67)</f>
        <v>0</v>
      </c>
      <c r="DV76" s="234" t="n">
        <f aca="false">DT76+DU76</f>
        <v>0</v>
      </c>
      <c r="DW76" s="535"/>
      <c r="DX76" s="536" t="n">
        <f aca="false">[1]OtherPosn!$D67</f>
        <v>37167</v>
      </c>
      <c r="DY76" s="234" t="n">
        <f aca="false">[1]OtherPosn!$N67</f>
        <v>2385.39233398438</v>
      </c>
      <c r="DZ76" s="234" t="n">
        <f aca="false">SUM([1]OtherPosn!$O67:$P67)</f>
        <v>0</v>
      </c>
      <c r="EO76" s="532" t="n">
        <f aca="false">EO32</f>
        <v>37773</v>
      </c>
      <c r="EP76" s="234" t="n">
        <f aca="false">EP32</f>
        <v>21</v>
      </c>
      <c r="EQ76" s="473" t="n">
        <f aca="false">O75*$EP76</f>
        <v>530.25</v>
      </c>
      <c r="ER76" s="473" t="n">
        <f aca="false">P75*$EP76</f>
        <v>530.25</v>
      </c>
      <c r="ES76" s="439" t="n">
        <f aca="false">IF(YEAR($EO76)=1999,EP76,0)</f>
        <v>0</v>
      </c>
      <c r="ET76" s="439" t="n">
        <f aca="false">IF(YEAR($EO76)=1999,EQ76,0)</f>
        <v>0</v>
      </c>
      <c r="EU76" s="439" t="n">
        <f aca="false">IF(YEAR($EO76)=1999,ER76,0)</f>
        <v>0</v>
      </c>
    </row>
    <row r="77" customFormat="false" ht="18.75" hidden="false" customHeight="true" outlineLevel="0" collapsed="false">
      <c r="A77" s="537" t="n">
        <f aca="false">[1]COMED!$D55</f>
        <v>37803</v>
      </c>
      <c r="B77" s="180" t="n">
        <f aca="false">[1]COMED!$O55</f>
        <v>-292519.34375</v>
      </c>
      <c r="C77" s="538" t="n">
        <f aca="false">B77/(CE77*CD77)</f>
        <v>-898.698917886545</v>
      </c>
      <c r="D77" s="538" t="n">
        <f aca="false">BY77+IF(YEAR(A77)=$T$20,$BY$92,0)+IF(YEAR(A77)=$T$21,$BY$93,0)+IF(YEAR(A77)=$T$22,$BY$94,0)</f>
        <v>0</v>
      </c>
      <c r="E77" s="160" t="n">
        <f aca="false">B77+(D77*CD77*CE77)</f>
        <v>-292519.34375</v>
      </c>
      <c r="F77" s="539" t="n">
        <f aca="false">C77+D77</f>
        <v>-898.698917886545</v>
      </c>
      <c r="G77" s="540" t="n">
        <f aca="false">[1]COMED!$E55</f>
        <v>49.375</v>
      </c>
      <c r="H77" s="498" t="n">
        <f aca="false">+R77</f>
        <v>-0.5</v>
      </c>
      <c r="I77" s="541" t="n">
        <f aca="false">G77+H77</f>
        <v>48.875</v>
      </c>
      <c r="J77" s="160" t="n">
        <f aca="false">H77*B77</f>
        <v>146259.671875</v>
      </c>
      <c r="K77" s="114" t="n">
        <f aca="false">(((I77-AL77)*AK77+(I77-AN77)*AM77+(I77-AP77)*AO77+(I77-AR77)*AQ77+(I77-AT77)*AS77+(I77-AV77)*AU77+(I77-AX77)*AW77+(I77-AZ77)*AY77+(I77-BB77)*BA77+(I77-BD77)*BC77+(I77-BF77)*BE77+(I77-BH77)*BG77+(I77-BJ77)*BI77+(I77-BL77)*BK77+(I77-BN77)*BM77+(I77-BP77)*BO77+(I77-BR77)*BQ77+(I77-BT77)*BS77+(I77-BV77)*BU77+(I77-BX77)*BW77)*CD77*CE77)+CG77+CH77+CI77</f>
        <v>0</v>
      </c>
      <c r="L77" s="114" t="n">
        <f aca="false">J77+K77</f>
        <v>146259.671875</v>
      </c>
      <c r="M77" s="669"/>
      <c r="N77" s="681" t="n">
        <f aca="false">A77</f>
        <v>37803</v>
      </c>
      <c r="O77" s="620" t="n">
        <v>29.5</v>
      </c>
      <c r="P77" s="620" t="n">
        <v>29.5</v>
      </c>
      <c r="Q77" s="621" t="n">
        <f aca="false">AVERAGE(O77:P77)-G77</f>
        <v>-19.875</v>
      </c>
      <c r="R77" s="677" t="n">
        <f aca="false">TradeSum!R33</f>
        <v>-0.5</v>
      </c>
      <c r="S77" s="682" t="n">
        <f aca="false">I77</f>
        <v>48.875</v>
      </c>
      <c r="T77" s="505" t="n">
        <f aca="false">IF(U76=4,T76+1,T76)</f>
        <v>2003</v>
      </c>
      <c r="U77" s="506" t="n">
        <f aca="false">IF(U76=4,1,U76+1)</f>
        <v>2</v>
      </c>
      <c r="V77" s="575" t="str">
        <f aca="false">V62</f>
        <v>Q2 2003</v>
      </c>
      <c r="W77" s="575" t="n">
        <f aca="false" t="array" ref="W77:W77">SUM(IF((INT((MONTH($A$56:$A$91)-1)/3)=$U77-1)*(YEAR($A$56:$A$91)=$T77),$F$56:$F$91))</f>
        <v>-1797.64739846101</v>
      </c>
      <c r="X77" s="576" t="n">
        <f aca="false" t="array" ref="X77:X77">SUM(IF((INT((MONTH($A$56:$A$91)-1)/3)=$U77-1)*(YEAR($A$56:$A$91)=$T77),$E$56:$E$91))</f>
        <v>-572168.8125</v>
      </c>
      <c r="Y77" s="46"/>
      <c r="Z77" s="577" t="n">
        <f aca="false">A63</f>
        <v>37377</v>
      </c>
      <c r="AA77" s="578" t="n">
        <f aca="false">I63</f>
        <v>30.5999965667725</v>
      </c>
      <c r="AB77" s="579" t="n">
        <f aca="false">AB33</f>
        <v>-487.153688222772</v>
      </c>
      <c r="AC77" s="579" t="n">
        <f aca="false">AC33</f>
        <v>-419.945370690383</v>
      </c>
      <c r="AD77" s="579" t="n">
        <f aca="false">AC77+AB77</f>
        <v>-907.099058913155</v>
      </c>
      <c r="AE77" s="46"/>
      <c r="AF77" s="46"/>
      <c r="AG77" s="46"/>
      <c r="AH77" s="46"/>
      <c r="AI77" s="46"/>
      <c r="AJ77" s="512" t="n">
        <f aca="false">A77</f>
        <v>37803</v>
      </c>
      <c r="AK77" s="513"/>
      <c r="AL77" s="514"/>
      <c r="AM77" s="513"/>
      <c r="AN77" s="514"/>
      <c r="AO77" s="513"/>
      <c r="AP77" s="514"/>
      <c r="AQ77" s="513"/>
      <c r="AR77" s="514"/>
      <c r="AS77" s="515"/>
      <c r="AT77" s="516"/>
      <c r="AU77" s="550" t="n">
        <f aca="false">+AU76</f>
        <v>0</v>
      </c>
      <c r="AV77" s="551" t="n">
        <f aca="false">+AV76</f>
        <v>0</v>
      </c>
      <c r="AW77" s="550" t="n">
        <f aca="false">+AW76</f>
        <v>0</v>
      </c>
      <c r="AX77" s="551" t="n">
        <f aca="false">+AX76</f>
        <v>0</v>
      </c>
      <c r="AY77" s="550"/>
      <c r="AZ77" s="551"/>
      <c r="BA77" s="550"/>
      <c r="BB77" s="551"/>
      <c r="BC77" s="513"/>
      <c r="BD77" s="514"/>
      <c r="BE77" s="513"/>
      <c r="BF77" s="514"/>
      <c r="BG77" s="513"/>
      <c r="BH77" s="514"/>
      <c r="BI77" s="589"/>
      <c r="BJ77" s="590"/>
      <c r="BK77" s="520"/>
      <c r="BL77" s="517"/>
      <c r="BM77" s="520"/>
      <c r="BN77" s="517"/>
      <c r="BO77" s="520"/>
      <c r="BP77" s="517"/>
      <c r="BQ77" s="520"/>
      <c r="BR77" s="517"/>
      <c r="BS77" s="520"/>
      <c r="BT77" s="517"/>
      <c r="BU77" s="520"/>
      <c r="BV77" s="517"/>
      <c r="BW77" s="520"/>
      <c r="BX77" s="517"/>
      <c r="BY77" s="556" t="n">
        <f aca="false">AK77+AM77+AO77+AQ77+AS77+AU77+AW77+AY77+BA77+BC77+BE77+BG77+BI77+BK77+BM77+BO77+BQ77+BS77+BU77+BW77</f>
        <v>0</v>
      </c>
      <c r="BZ77" s="524" t="n">
        <f aca="false">IF(AND(BY77=0,CC77=0),0,(ABS(AK77)*AL77+ABS(AM77)*AN77+ABS(AO77)*AP77+ABS(AQ77)*AR77+ABS(AS77)*AT77+ABS(AU77)*AV77+ABS(AW77)*AX77+ABS(AY77)*AZ77+ABS(BA77)*BB77+ABS(BC77)*BD77+ABS(BE77)*BF77+ABS(BG77)*BH77+ABS(BI77)*BJ77+ABS(BK77)*BL77+ABS(BM77)*BN77+ABS(BO77)*BP77+ABS(BQ77)*BR77+ABS(BS77)*BT77+ABS(BU77)*BV77+ABS(BW77)*BX77)/CC77)</f>
        <v>0</v>
      </c>
      <c r="CA77" s="222"/>
      <c r="CB77" s="525" t="n">
        <f aca="false">AJ77</f>
        <v>37803</v>
      </c>
      <c r="CC77" s="222" t="n">
        <f aca="false">ABS(AK77)+ABS(AM77)+ABS(AO77)+ABS(AQ77)+ABS(AS77)+ABS(AU77)+ABS(AW77)+ABS(AY77)+ABS(BA77)+ABS(BC77)+ABS(BE77)+ABS(BG77)+ABS(BI77)+ABS(BK77)+ABS(BM77)+ABS(BO77)+ABS(BQ77)+ABS(BS77)+ABS(BU77)+ABS(BW77)</f>
        <v>0</v>
      </c>
      <c r="CD77" s="526" t="n">
        <f aca="false">CD33</f>
        <v>352</v>
      </c>
      <c r="CE77" s="222" t="n">
        <f aca="false">CE33</f>
        <v>0.924693294257474</v>
      </c>
      <c r="CF77" s="527" t="n">
        <f aca="false">E77-B77</f>
        <v>0</v>
      </c>
      <c r="CG77" s="527" t="n">
        <f aca="false">IF(YEAR($AJ77)=$CG$10,(($I77-$AL$92)*$AK$92+($I77-$AN$92)*$AM$92+($I77-$AP$92)*$AO$92+($I77-$AR$92)*$AQ$92+($I77-$AT$92)*$AS$92+($I77-$AV$92)*$AU$92+($I77-$AX$92)*$AW$92+($I77-$AZ$92)*$AY$92+($I77-$BB$92)*$BA$92+($I77-$BD$92)*$BC$92+($I77-$BF$92)*$BE$92+($I77-$BH$92)*$BG$92+($I77-$BJ$92)*$BI$92+($I77-$BL$92)*$BK$92+($I77-$BN$92)*$BM$92+($I77-$BP$92)*$BO$92+($I77-$BR$92)*$BQ$92+($I77-$BT$92)*$BS$92+($I77-$BV$92)*$BU$92+($I77-$BX$92)*$BW$92)*$CD77*$CE77,0)</f>
        <v>0</v>
      </c>
      <c r="CH77" s="527" t="n">
        <f aca="false">IF(YEAR($AJ77)=$CH$10,(($I77-$AL$93)*$AK$93+($I77-$AN$93)*$AM$93+($I77-$AP$93)*$AO$93+($I77-$AR$93)*$AQ$93+($I77-$AT$93)*$AS$93+($I77-$AV$93)*$AU$93+($I77-$AX$93)*$AW$93+($I77-$AZ$93)*$AY$93+($I77-$BB$93)*$BA$93+($I77-$BD$93)*$BC$93+($I77-$BF$93)*$BE$93+($I77-$BH$93)*$BG$93+($I77-$BJ$93)*$BI$93+($I77-$BL$93)*$BK$93+($I77-$BN$93)*$BM$93+($I77-$BP$93)*$BO$93+($I77-$BR$93)*$BQ$93+($I77-$BT$93)*$BS$93+($I77-$BV$93)*$BU$93+($I77-$BX$93)*$BW$93)*$CD77*$CE77,0)</f>
        <v>0</v>
      </c>
      <c r="CI77" s="527" t="n">
        <f aca="false">IF(YEAR($AJ77)=$CI$10,(($I77-$AL$94)*$AK$94+($I77-$AN$94)*$AM$94+($I77-$AP$94)*$AO$94+($I77-$AR$94)*$AQ$94+($I77-$AT$94)*$AS$94+($I77-$AV$94)*$AU$94+($I77-$AX$94)*$AW$94+($I77-$AZ$94)*$AY$94+($I77-$BB$94)*$BA$94+($I77-$BD$94)*$BC$94+($I77-$BF$94)*$BE$94+($I77-$BH$94)*$BG$94+($I77-$BJ$94)*$BI$94+($I77-$BL$94)*$BK$94+($I77-$BN$94)*$BM$94+($I77-$BP$94)*$BO$94+($I77-$BR$94)*$BQ$94+($I77-$BT$94)*$BS$94+($I77-$BV$94)*$BU$94+($I77-$BX$94)*$BW$94)*$CD77*$CE77,0)</f>
        <v>0</v>
      </c>
      <c r="CJ77" s="439" t="n">
        <f aca="false">CC77*CD77</f>
        <v>0</v>
      </c>
      <c r="CM77" s="530" t="n">
        <f aca="false">+CL33*CF77/10000</f>
        <v>0</v>
      </c>
      <c r="DJ77" s="532" t="n">
        <f aca="false">[1]Cinergy!$D99</f>
        <v>39142</v>
      </c>
      <c r="DK77" s="440" t="n">
        <f aca="false">VLOOKUP(DJ77,DL77:DM318,2)</f>
        <v>22</v>
      </c>
      <c r="DL77" s="533" t="n">
        <v>37712</v>
      </c>
      <c r="DM77" s="459" t="n">
        <v>22</v>
      </c>
      <c r="DP77" s="534" t="n">
        <f aca="false">[1]Cinergy!$D68</f>
        <v>38200</v>
      </c>
      <c r="DQ77" s="234" t="n">
        <f aca="false">[1]OPPD_NPPD!$O68+[1]NSP!$O68</f>
        <v>0</v>
      </c>
      <c r="DR77" s="234" t="n">
        <f aca="false">[1]COMED!$O68</f>
        <v>0</v>
      </c>
      <c r="DS77" s="234" t="n">
        <f aca="false">DQ77+DR77</f>
        <v>0</v>
      </c>
      <c r="DT77" s="234" t="n">
        <f aca="false">SUM([1]OPPD_NPPD!$P68:$R68)+SUM([1]NSP!$P68:$R68)</f>
        <v>0</v>
      </c>
      <c r="DU77" s="234" t="n">
        <f aca="false">SUM([1]COMED!$P68:$R68)</f>
        <v>0</v>
      </c>
      <c r="DV77" s="234" t="n">
        <f aca="false">DT77+DU77</f>
        <v>0</v>
      </c>
      <c r="DW77" s="535"/>
      <c r="DX77" s="536" t="n">
        <f aca="false">[1]OtherPosn!$D68</f>
        <v>37168</v>
      </c>
      <c r="DY77" s="234" t="n">
        <f aca="false">[1]OtherPosn!$N68</f>
        <v>2385.39233398438</v>
      </c>
      <c r="DZ77" s="234" t="n">
        <f aca="false">SUM([1]OtherPosn!$O68:$P68)</f>
        <v>0</v>
      </c>
      <c r="EO77" s="532" t="n">
        <f aca="false">EO33</f>
        <v>37803</v>
      </c>
      <c r="EP77" s="234" t="n">
        <f aca="false">EP33</f>
        <v>22</v>
      </c>
      <c r="EQ77" s="473" t="n">
        <f aca="false">O77*$EP77</f>
        <v>649</v>
      </c>
      <c r="ER77" s="473" t="n">
        <f aca="false">P77*$EP77</f>
        <v>649</v>
      </c>
      <c r="ES77" s="439" t="n">
        <f aca="false">IF(YEAR($EO77)=1999,EP77,0)</f>
        <v>0</v>
      </c>
      <c r="ET77" s="439" t="n">
        <f aca="false">IF(YEAR($EO77)=1999,EQ77,0)</f>
        <v>0</v>
      </c>
      <c r="EU77" s="439" t="n">
        <f aca="false">IF(YEAR($EO77)=1999,ER77,0)</f>
        <v>0</v>
      </c>
    </row>
    <row r="78" customFormat="false" ht="18.75" hidden="false" customHeight="true" outlineLevel="0" collapsed="false">
      <c r="A78" s="599" t="n">
        <f aca="false">[1]COMED!$D56</f>
        <v>37834</v>
      </c>
      <c r="B78" s="600" t="n">
        <f aca="false">[1]COMED!$O56</f>
        <v>-277999.78125</v>
      </c>
      <c r="C78" s="601" t="n">
        <f aca="false">B78/(CE78*CD78)</f>
        <v>-898.653611558195</v>
      </c>
      <c r="D78" s="601" t="n">
        <f aca="false">BY78+IF(YEAR(A78)=$T$20,$BY$92,0)+IF(YEAR(A78)=$T$21,$BY$93,0)+IF(YEAR(A78)=$T$22,$BY$94,0)</f>
        <v>0</v>
      </c>
      <c r="E78" s="600" t="n">
        <f aca="false">B78+(D78*CD78*CE78)</f>
        <v>-277999.78125</v>
      </c>
      <c r="F78" s="602" t="n">
        <f aca="false">C78+D78</f>
        <v>-898.653611558195</v>
      </c>
      <c r="G78" s="603" t="n">
        <f aca="false">[1]COMED!$E56</f>
        <v>49.375</v>
      </c>
      <c r="H78" s="498" t="n">
        <f aca="false">+[1]COMED!$F56</f>
        <v>-0.5</v>
      </c>
      <c r="I78" s="604" t="n">
        <f aca="false">G78+H78</f>
        <v>48.875</v>
      </c>
      <c r="J78" s="600" t="n">
        <f aca="false">H78*B78</f>
        <v>138999.890625</v>
      </c>
      <c r="K78" s="163" t="n">
        <f aca="false">(((I78-AL78)*AK78+(I78-AN78)*AM78+(I78-AP78)*AO78+(I78-AR78)*AQ78+(I78-AT78)*AS78+(I78-AV78)*AU78+(I78-AX78)*AW78+(I78-AZ78)*AY78+(I78-BB78)*BA78+(I78-BD78)*BC78+(I78-BF78)*BE78+(I78-BH78)*BG78+(I78-BJ78)*BI78+(I78-BL78)*BK78+(I78-BN78)*BM78+(I78-BP78)*BO78+(I78-BR78)*BQ78+(I78-BT78)*BS78+(I78-BV78)*BU78+(I78-BX78)*BW78)*CD78*CE78)+CG78+CH78+CI78</f>
        <v>0</v>
      </c>
      <c r="L78" s="123" t="n">
        <f aca="false">J78+K78</f>
        <v>138999.890625</v>
      </c>
      <c r="M78" s="46"/>
      <c r="N78" s="0"/>
      <c r="O78" s="0"/>
      <c r="P78" s="0"/>
      <c r="Q78" s="0"/>
      <c r="R78" s="46"/>
      <c r="S78" s="506"/>
      <c r="T78" s="505" t="n">
        <f aca="false">IF(U77=4,T77+1,T77)</f>
        <v>2003</v>
      </c>
      <c r="U78" s="506" t="n">
        <f aca="false">IF(U77=4,1,U77+1)</f>
        <v>3</v>
      </c>
      <c r="V78" s="579" t="str">
        <f aca="false">V63</f>
        <v>Q3 2003</v>
      </c>
      <c r="W78" s="579" t="n">
        <f aca="false" t="array" ref="W78:W78">SUM(IF((INT((MONTH($A$56:$A$91)-1)/3)=$U78-1)*(YEAR($A$56:$A$91)=$T78),$F$56:$F$91))</f>
        <v>-2296.60769139948</v>
      </c>
      <c r="X78" s="580" t="n">
        <f aca="false" t="array" ref="X78:X78">SUM(IF((INT((MONTH($A$56:$A$91)-1)/3)=$U78-1)*(YEAR($A$56:$A$91)=$T78),$E$56:$E$91))</f>
        <v>-724300.890625</v>
      </c>
      <c r="Y78" s="46"/>
      <c r="Z78" s="581" t="n">
        <f aca="false">A64</f>
        <v>37408</v>
      </c>
      <c r="AA78" s="582" t="n">
        <f aca="false">I64</f>
        <v>40</v>
      </c>
      <c r="AB78" s="583" t="n">
        <f aca="false">AB34</f>
        <v>-1649.64497299409</v>
      </c>
      <c r="AC78" s="584" t="n">
        <f aca="false">AC34</f>
        <v>-199.947397346989</v>
      </c>
      <c r="AD78" s="584" t="n">
        <f aca="false">AC78+AB78</f>
        <v>-1849.59237034108</v>
      </c>
      <c r="AE78" s="46"/>
      <c r="AF78" s="46"/>
      <c r="AG78" s="46"/>
      <c r="AH78" s="46"/>
      <c r="AI78" s="46"/>
      <c r="AJ78" s="512" t="n">
        <f aca="false">A78</f>
        <v>37834</v>
      </c>
      <c r="AK78" s="513" t="n">
        <f aca="false">+AK77</f>
        <v>0</v>
      </c>
      <c r="AL78" s="514" t="n">
        <f aca="false">+AL77</f>
        <v>0</v>
      </c>
      <c r="AM78" s="513" t="n">
        <f aca="false">+AM77</f>
        <v>0</v>
      </c>
      <c r="AN78" s="514" t="n">
        <f aca="false">+AN77</f>
        <v>0</v>
      </c>
      <c r="AO78" s="513" t="n">
        <f aca="false">+AO77</f>
        <v>0</v>
      </c>
      <c r="AP78" s="514" t="n">
        <f aca="false">+AP77</f>
        <v>0</v>
      </c>
      <c r="AQ78" s="513" t="n">
        <f aca="false">+AQ77</f>
        <v>0</v>
      </c>
      <c r="AR78" s="514" t="n">
        <f aca="false">+AR77</f>
        <v>0</v>
      </c>
      <c r="AS78" s="515"/>
      <c r="AT78" s="516"/>
      <c r="AU78" s="550" t="n">
        <f aca="false">+AU77</f>
        <v>0</v>
      </c>
      <c r="AV78" s="551" t="n">
        <f aca="false">+AV77</f>
        <v>0</v>
      </c>
      <c r="AW78" s="550" t="n">
        <f aca="false">+AW77</f>
        <v>0</v>
      </c>
      <c r="AX78" s="551" t="n">
        <f aca="false">+AX77</f>
        <v>0</v>
      </c>
      <c r="AY78" s="550"/>
      <c r="AZ78" s="551"/>
      <c r="BA78" s="550"/>
      <c r="BB78" s="551"/>
      <c r="BC78" s="513"/>
      <c r="BD78" s="514"/>
      <c r="BE78" s="513"/>
      <c r="BF78" s="514"/>
      <c r="BG78" s="513"/>
      <c r="BH78" s="514"/>
      <c r="BI78" s="520"/>
      <c r="BJ78" s="517"/>
      <c r="BK78" s="520"/>
      <c r="BL78" s="517"/>
      <c r="BM78" s="520"/>
      <c r="BN78" s="517"/>
      <c r="BO78" s="520"/>
      <c r="BP78" s="517"/>
      <c r="BQ78" s="520"/>
      <c r="BR78" s="517"/>
      <c r="BS78" s="520"/>
      <c r="BT78" s="517"/>
      <c r="BU78" s="520"/>
      <c r="BV78" s="517"/>
      <c r="BW78" s="520"/>
      <c r="BX78" s="517"/>
      <c r="BY78" s="556" t="n">
        <f aca="false">AK78+AM78+AO78+AQ78+AS78+AU78+AW78+AY78+BA78+BC78+BE78+BG78+BI78+BK78+BM78+BO78+BQ78+BS78+BU78+BW78</f>
        <v>0</v>
      </c>
      <c r="BZ78" s="524" t="n">
        <f aca="false">IF(AND(BY78=0,CC78=0),0,(ABS(AK78)*AL78+ABS(AM78)*AN78+ABS(AO78)*AP78+ABS(AQ78)*AR78+ABS(AS78)*AT78+ABS(AU78)*AV78+ABS(AW78)*AX78+ABS(AY78)*AZ78+ABS(BA78)*BB78+ABS(BC78)*BD78+ABS(BE78)*BF78+ABS(BG78)*BH78+ABS(BI78)*BJ78+ABS(BK78)*BL78+ABS(BM78)*BN78+ABS(BO78)*BP78+ABS(BQ78)*BR78+ABS(BS78)*BT78+ABS(BU78)*BV78+ABS(BW78)*BX78)/CC78)</f>
        <v>0</v>
      </c>
      <c r="CA78" s="222"/>
      <c r="CB78" s="525" t="n">
        <f aca="false">AJ78</f>
        <v>37834</v>
      </c>
      <c r="CC78" s="222" t="n">
        <f aca="false">ABS(AK78)+ABS(AM78)+ABS(AO78)+ABS(AQ78)+ABS(AS78)+ABS(AU78)+ABS(AW78)+ABS(AY78)+ABS(BA78)+ABS(BC78)+ABS(BE78)+ABS(BG78)+ABS(BI78)+ABS(BK78)+ABS(BM78)+ABS(BO78)+ABS(BQ78)+ABS(BS78)+ABS(BU78)+ABS(BW78)</f>
        <v>0</v>
      </c>
      <c r="CD78" s="526" t="n">
        <f aca="false">CD34</f>
        <v>336</v>
      </c>
      <c r="CE78" s="222" t="n">
        <f aca="false">CE34</f>
        <v>0.920688784530308</v>
      </c>
      <c r="CF78" s="527" t="n">
        <f aca="false">E78-B78</f>
        <v>0</v>
      </c>
      <c r="CG78" s="527" t="n">
        <f aca="false">IF(YEAR($AJ78)=$CG$10,(($I78-$AL$92)*$AK$92+($I78-$AN$92)*$AM$92+($I78-$AP$92)*$AO$92+($I78-$AR$92)*$AQ$92+($I78-$AT$92)*$AS$92+($I78-$AV$92)*$AU$92+($I78-$AX$92)*$AW$92+($I78-$AZ$92)*$AY$92+($I78-$BB$92)*$BA$92+($I78-$BD$92)*$BC$92+($I78-$BF$92)*$BE$92+($I78-$BH$92)*$BG$92+($I78-$BJ$92)*$BI$92+($I78-$BL$92)*$BK$92+($I78-$BN$92)*$BM$92+($I78-$BP$92)*$BO$92+($I78-$BR$92)*$BQ$92+($I78-$BT$92)*$BS$92+($I78-$BV$92)*$BU$92+($I78-$BX$92)*$BW$92)*$CD78*$CE78,0)</f>
        <v>0</v>
      </c>
      <c r="CH78" s="527" t="n">
        <f aca="false">IF(YEAR($AJ78)=$CH$10,(($I78-$AL$93)*$AK$93+($I78-$AN$93)*$AM$93+($I78-$AP$93)*$AO$93+($I78-$AR$93)*$AQ$93+($I78-$AT$93)*$AS$93+($I78-$AV$93)*$AU$93+($I78-$AX$93)*$AW$93+($I78-$AZ$93)*$AY$93+($I78-$BB$93)*$BA$93+($I78-$BD$93)*$BC$93+($I78-$BF$93)*$BE$93+($I78-$BH$93)*$BG$93+($I78-$BJ$93)*$BI$93+($I78-$BL$93)*$BK$93+($I78-$BN$93)*$BM$93+($I78-$BP$93)*$BO$93+($I78-$BR$93)*$BQ$93+($I78-$BT$93)*$BS$93+($I78-$BV$93)*$BU$93+($I78-$BX$93)*$BW$93)*$CD78*$CE78,0)</f>
        <v>0</v>
      </c>
      <c r="CI78" s="527" t="n">
        <f aca="false">IF(YEAR($AJ78)=$CI$10,(($I78-$AL$94)*$AK$94+($I78-$AN$94)*$AM$94+($I78-$AP$94)*$AO$94+($I78-$AR$94)*$AQ$94+($I78-$AT$94)*$AS$94+($I78-$AV$94)*$AU$94+($I78-$AX$94)*$AW$94+($I78-$AZ$94)*$AY$94+($I78-$BB$94)*$BA$94+($I78-$BD$94)*$BC$94+($I78-$BF$94)*$BE$94+($I78-$BH$94)*$BG$94+($I78-$BJ$94)*$BI$94+($I78-$BL$94)*$BK$94+($I78-$BN$94)*$BM$94+($I78-$BP$94)*$BO$94+($I78-$BR$94)*$BQ$94+($I78-$BT$94)*$BS$94+($I78-$BV$94)*$BU$94+($I78-$BX$94)*$BW$94)*$CD78*$CE78,0)</f>
        <v>0</v>
      </c>
      <c r="CJ78" s="439" t="n">
        <f aca="false">CC78*CD78</f>
        <v>0</v>
      </c>
      <c r="CM78" s="530" t="n">
        <f aca="false">+CL34*CF78/10000</f>
        <v>0</v>
      </c>
      <c r="DJ78" s="532" t="n">
        <f aca="false">[1]Cinergy!$D100</f>
        <v>39173</v>
      </c>
      <c r="DK78" s="440" t="n">
        <f aca="false">VLOOKUP(DJ78,DL78:DM319,2)</f>
        <v>21</v>
      </c>
      <c r="DL78" s="533" t="n">
        <v>37742</v>
      </c>
      <c r="DM78" s="459" t="n">
        <v>21</v>
      </c>
      <c r="DP78" s="534" t="n">
        <f aca="false">[1]Cinergy!$D69</f>
        <v>38231</v>
      </c>
      <c r="DQ78" s="234" t="n">
        <f aca="false">[1]OPPD_NPPD!$O69+[1]NSP!$O69</f>
        <v>0</v>
      </c>
      <c r="DR78" s="234" t="n">
        <f aca="false">[1]COMED!$O69</f>
        <v>0</v>
      </c>
      <c r="DS78" s="234" t="n">
        <f aca="false">DQ78+DR78</f>
        <v>0</v>
      </c>
      <c r="DT78" s="234" t="n">
        <f aca="false">SUM([1]OPPD_NPPD!$P69:$R69)+SUM([1]NSP!$P69:$R69)</f>
        <v>0</v>
      </c>
      <c r="DU78" s="234" t="n">
        <f aca="false">SUM([1]COMED!$P69:$R69)</f>
        <v>0</v>
      </c>
      <c r="DV78" s="234" t="n">
        <f aca="false">DT78+DU78</f>
        <v>0</v>
      </c>
      <c r="DW78" s="535"/>
      <c r="DX78" s="536" t="n">
        <f aca="false">[1]OtherPosn!$D69</f>
        <v>37169</v>
      </c>
      <c r="DY78" s="234" t="n">
        <f aca="false">[1]OtherPosn!$N69</f>
        <v>2385.39233398438</v>
      </c>
      <c r="DZ78" s="234" t="n">
        <f aca="false">SUM([1]OtherPosn!$O69:$P69)</f>
        <v>0</v>
      </c>
      <c r="EO78" s="532" t="n">
        <f aca="false">EO34</f>
        <v>37834</v>
      </c>
      <c r="EP78" s="234" t="n">
        <f aca="false">EP34</f>
        <v>21</v>
      </c>
      <c r="EQ78" s="473" t="n">
        <f aca="false">O78*$EP78</f>
        <v>0</v>
      </c>
      <c r="ER78" s="473" t="n">
        <f aca="false">P78*$EP78</f>
        <v>0</v>
      </c>
      <c r="ES78" s="439" t="n">
        <f aca="false">IF(YEAR($EO78)=1999,EP78,0)</f>
        <v>0</v>
      </c>
      <c r="ET78" s="439" t="n">
        <f aca="false">IF(YEAR($EO78)=1999,EQ78,0)</f>
        <v>0</v>
      </c>
      <c r="EU78" s="439" t="n">
        <f aca="false">IF(YEAR($EO78)=1999,ER78,0)</f>
        <v>0</v>
      </c>
    </row>
    <row r="79" customFormat="false" ht="18.75" hidden="false" customHeight="true" outlineLevel="0" collapsed="false">
      <c r="A79" s="605" t="n">
        <f aca="false">[1]COMED!$D57</f>
        <v>37865</v>
      </c>
      <c r="B79" s="606" t="n">
        <f aca="false">[1]COMED!$O57</f>
        <v>-153781.765625</v>
      </c>
      <c r="C79" s="607" t="n">
        <f aca="false">B79/(CE79*CD79)</f>
        <v>-499.255161954735</v>
      </c>
      <c r="D79" s="607" t="n">
        <f aca="false">BY79+IF(YEAR(A79)=$T$20,$BY$92,0)+IF(YEAR(A79)=$T$21,$BY$93,0)+IF(YEAR(A79)=$T$22,$BY$94,0)</f>
        <v>0</v>
      </c>
      <c r="E79" s="606" t="n">
        <f aca="false">B79+(D79*CD79*CE79)</f>
        <v>-153781.765625</v>
      </c>
      <c r="F79" s="608" t="n">
        <f aca="false">C79+D79</f>
        <v>-499.255161954735</v>
      </c>
      <c r="G79" s="609" t="n">
        <f aca="false">[1]COMED!$E57</f>
        <v>27.149995803833</v>
      </c>
      <c r="H79" s="498" t="n">
        <f aca="false">+[1]COMED!$F57</f>
        <v>0</v>
      </c>
      <c r="I79" s="610" t="n">
        <f aca="false">G79+H79</f>
        <v>27.149995803833</v>
      </c>
      <c r="J79" s="606" t="n">
        <f aca="false">H79*B79</f>
        <v>-0</v>
      </c>
      <c r="K79" s="611" t="n">
        <f aca="false">(((I79-AL79)*AK79+(I79-AN79)*AM79+(I79-AP79)*AO79+(I79-AR79)*AQ79+(I79-AT79)*AS79+(I79-AV79)*AU79+(I79-AX79)*AW79+(I79-AZ79)*AY79+(I79-BB79)*BA79+(I79-BD79)*BC79+(I79-BF79)*BE79+(I79-BH79)*BG79+(I79-BJ79)*BI79+(I79-BL79)*BK79+(I79-BN79)*BM79+(I79-BP79)*BO79+(I79-BR79)*BQ79+(I79-BT79)*BS79+(I79-BV79)*BU79+(I79-BX79)*BW79)*CD79*CE79)+CG79+CH79+CI79</f>
        <v>0</v>
      </c>
      <c r="L79" s="612" t="n">
        <f aca="false">J79+K79</f>
        <v>0</v>
      </c>
      <c r="M79" s="46"/>
      <c r="N79" s="614"/>
      <c r="O79" s="615"/>
      <c r="P79" s="615"/>
      <c r="Q79" s="616"/>
      <c r="R79" s="46"/>
      <c r="S79" s="683" t="n">
        <f aca="false">+Master!M33</f>
        <v>28.8394773784094</v>
      </c>
      <c r="T79" s="505" t="n">
        <f aca="false">IF(MONTH($B$2)&gt;8,YEAR($B$2)+1,YEAR($B$2))</f>
        <v>2002</v>
      </c>
      <c r="U79" s="506"/>
      <c r="V79" s="575" t="str">
        <f aca="false">V64</f>
        <v>Bal 2002</v>
      </c>
      <c r="W79" s="575" t="n">
        <f aca="false" t="array" ref="W79:W79">SUM(IF((YEAR($A$56:$A$91)=$T79),$F$56:$F$91))</f>
        <v>-6298.08354465236</v>
      </c>
      <c r="X79" s="576" t="n">
        <f aca="false" t="array" ref="X79:X79">SUM(IF((YEAR($A$56:$A$91)=$T79),$E$56:$E$91))</f>
        <v>-2099277.90234375</v>
      </c>
      <c r="Y79" s="46"/>
      <c r="Z79" s="577" t="n">
        <f aca="false">A65</f>
        <v>37438</v>
      </c>
      <c r="AA79" s="578" t="n">
        <f aca="false">I65</f>
        <v>53.625</v>
      </c>
      <c r="AB79" s="579" t="n">
        <f aca="false">AB35</f>
        <v>-1133.76513842871</v>
      </c>
      <c r="AC79" s="579" t="n">
        <f aca="false">AC35</f>
        <v>-849.658508345421</v>
      </c>
      <c r="AD79" s="579" t="n">
        <f aca="false">AC79+AB79</f>
        <v>-1983.42364677413</v>
      </c>
      <c r="AE79" s="46"/>
      <c r="AF79" s="46"/>
      <c r="AG79" s="46"/>
      <c r="AH79" s="46"/>
      <c r="AI79" s="46"/>
      <c r="AJ79" s="512" t="n">
        <f aca="false">A79</f>
        <v>37865</v>
      </c>
      <c r="AK79" s="513"/>
      <c r="AL79" s="514"/>
      <c r="AM79" s="513"/>
      <c r="AN79" s="514"/>
      <c r="AO79" s="513"/>
      <c r="AP79" s="514"/>
      <c r="AQ79" s="513"/>
      <c r="AR79" s="514"/>
      <c r="AS79" s="515"/>
      <c r="AT79" s="516"/>
      <c r="AU79" s="550" t="n">
        <f aca="false">+AU78</f>
        <v>0</v>
      </c>
      <c r="AV79" s="551" t="n">
        <f aca="false">+AV78</f>
        <v>0</v>
      </c>
      <c r="AW79" s="550" t="n">
        <f aca="false">+AW78</f>
        <v>0</v>
      </c>
      <c r="AX79" s="551" t="n">
        <f aca="false">+AX78</f>
        <v>0</v>
      </c>
      <c r="AY79" s="550"/>
      <c r="AZ79" s="551"/>
      <c r="BA79" s="550"/>
      <c r="BB79" s="551"/>
      <c r="BC79" s="513"/>
      <c r="BD79" s="514"/>
      <c r="BE79" s="513"/>
      <c r="BF79" s="514"/>
      <c r="BG79" s="513"/>
      <c r="BH79" s="514"/>
      <c r="BI79" s="520"/>
      <c r="BJ79" s="517"/>
      <c r="BK79" s="520"/>
      <c r="BL79" s="517"/>
      <c r="BM79" s="520"/>
      <c r="BN79" s="517"/>
      <c r="BO79" s="520"/>
      <c r="BP79" s="517"/>
      <c r="BQ79" s="520"/>
      <c r="BR79" s="517"/>
      <c r="BS79" s="520"/>
      <c r="BT79" s="517"/>
      <c r="BU79" s="520"/>
      <c r="BV79" s="517"/>
      <c r="BW79" s="520"/>
      <c r="BX79" s="517"/>
      <c r="BY79" s="556" t="n">
        <f aca="false">AK79+AM79+AO79+AQ79+AS79+AU79+AW79+AY79+BA79+BC79+BE79+BG79+BI79+BK79+BM79+BO79+BQ79+BS79+BU79+BW79</f>
        <v>0</v>
      </c>
      <c r="BZ79" s="524" t="n">
        <f aca="false">IF(AND(BY79=0,CC79=0),0,(ABS(AK79)*AL79+ABS(AM79)*AN79+ABS(AO79)*AP79+ABS(AQ79)*AR79+ABS(AS79)*AT79+ABS(AU79)*AV79+ABS(AW79)*AX79+ABS(AY79)*AZ79+ABS(BA79)*BB79+ABS(BC79)*BD79+ABS(BE79)*BF79+ABS(BG79)*BH79+ABS(BI79)*BJ79+ABS(BK79)*BL79+ABS(BM79)*BN79+ABS(BO79)*BP79+ABS(BQ79)*BR79+ABS(BS79)*BT79+ABS(BU79)*BV79+ABS(BW79)*BX79)/CC79)</f>
        <v>0</v>
      </c>
      <c r="CA79" s="222"/>
      <c r="CB79" s="525" t="n">
        <f aca="false">AJ79</f>
        <v>37865</v>
      </c>
      <c r="CC79" s="222" t="n">
        <f aca="false">ABS(AK79)+ABS(AM79)+ABS(AO79)+ABS(AQ79)+ABS(AS79)+ABS(AU79)+ABS(AW79)+ABS(AY79)+ABS(BA79)+ABS(BC79)+ABS(BE79)+ABS(BG79)+ABS(BI79)+ABS(BK79)+ABS(BM79)+ABS(BO79)+ABS(BQ79)+ABS(BS79)+ABS(BU79)+ABS(BW79)</f>
        <v>0</v>
      </c>
      <c r="CD79" s="526" t="n">
        <f aca="false">CD35</f>
        <v>336</v>
      </c>
      <c r="CE79" s="222" t="n">
        <f aca="false">CE35</f>
        <v>0.916733288190573</v>
      </c>
      <c r="CF79" s="527" t="n">
        <f aca="false">E79-B79</f>
        <v>0</v>
      </c>
      <c r="CG79" s="527" t="n">
        <f aca="false">IF(YEAR($AJ79)=$CG$10,(($I79-$AL$92)*$AK$92+($I79-$AN$92)*$AM$92+($I79-$AP$92)*$AO$92+($I79-$AR$92)*$AQ$92+($I79-$AT$92)*$AS$92+($I79-$AV$92)*$AU$92+($I79-$AX$92)*$AW$92+($I79-$AZ$92)*$AY$92+($I79-$BB$92)*$BA$92+($I79-$BD$92)*$BC$92+($I79-$BF$92)*$BE$92+($I79-$BH$92)*$BG$92+($I79-$BJ$92)*$BI$92+($I79-$BL$92)*$BK$92+($I79-$BN$92)*$BM$92+($I79-$BP$92)*$BO$92+($I79-$BR$92)*$BQ$92+($I79-$BT$92)*$BS$92+($I79-$BV$92)*$BU$92+($I79-$BX$92)*$BW$92)*$CD79*$CE79,0)</f>
        <v>0</v>
      </c>
      <c r="CH79" s="527" t="n">
        <f aca="false">IF(YEAR($AJ79)=$CH$10,(($I79-$AL$93)*$AK$93+($I79-$AN$93)*$AM$93+($I79-$AP$93)*$AO$93+($I79-$AR$93)*$AQ$93+($I79-$AT$93)*$AS$93+($I79-$AV$93)*$AU$93+($I79-$AX$93)*$AW$93+($I79-$AZ$93)*$AY$93+($I79-$BB$93)*$BA$93+($I79-$BD$93)*$BC$93+($I79-$BF$93)*$BE$93+($I79-$BH$93)*$BG$93+($I79-$BJ$93)*$BI$93+($I79-$BL$93)*$BK$93+($I79-$BN$93)*$BM$93+($I79-$BP$93)*$BO$93+($I79-$BR$93)*$BQ$93+($I79-$BT$93)*$BS$93+($I79-$BV$93)*$BU$93+($I79-$BX$93)*$BW$93)*$CD79*$CE79,0)</f>
        <v>0</v>
      </c>
      <c r="CI79" s="527" t="n">
        <f aca="false">IF(YEAR($AJ79)=$CI$10,(($I79-$AL$94)*$AK$94+($I79-$AN$94)*$AM$94+($I79-$AP$94)*$AO$94+($I79-$AR$94)*$AQ$94+($I79-$AT$94)*$AS$94+($I79-$AV$94)*$AU$94+($I79-$AX$94)*$AW$94+($I79-$AZ$94)*$AY$94+($I79-$BB$94)*$BA$94+($I79-$BD$94)*$BC$94+($I79-$BF$94)*$BE$94+($I79-$BH$94)*$BG$94+($I79-$BJ$94)*$BI$94+($I79-$BL$94)*$BK$94+($I79-$BN$94)*$BM$94+($I79-$BP$94)*$BO$94+($I79-$BR$94)*$BQ$94+($I79-$BT$94)*$BS$94+($I79-$BV$94)*$BU$94+($I79-$BX$94)*$BW$94)*$CD79*$CE79,0)</f>
        <v>0</v>
      </c>
      <c r="CJ79" s="439" t="n">
        <f aca="false">CC79*CD79</f>
        <v>0</v>
      </c>
      <c r="CM79" s="530" t="n">
        <f aca="false">+CL35*CF79/10000</f>
        <v>0</v>
      </c>
      <c r="DJ79" s="532" t="n">
        <f aca="false">[1]Cinergy!$D101</f>
        <v>39203</v>
      </c>
      <c r="DK79" s="440" t="n">
        <f aca="false">VLOOKUP(DJ79,DL79:DM320,2)</f>
        <v>22</v>
      </c>
      <c r="DL79" s="533" t="n">
        <v>37773</v>
      </c>
      <c r="DM79" s="459" t="n">
        <v>21</v>
      </c>
      <c r="DP79" s="534" t="n">
        <f aca="false">[1]Cinergy!$D70</f>
        <v>38261</v>
      </c>
      <c r="DQ79" s="234" t="n">
        <f aca="false">[1]OPPD_NPPD!$O70+[1]NSP!$O70</f>
        <v>0</v>
      </c>
      <c r="DR79" s="234" t="n">
        <f aca="false">[1]COMED!$O70</f>
        <v>0</v>
      </c>
      <c r="DS79" s="234" t="n">
        <f aca="false">DQ79+DR79</f>
        <v>0</v>
      </c>
      <c r="DT79" s="234" t="n">
        <f aca="false">SUM([1]OPPD_NPPD!$P70:$R70)+SUM([1]NSP!$P70:$R70)</f>
        <v>0</v>
      </c>
      <c r="DU79" s="234" t="n">
        <f aca="false">SUM([1]COMED!$P70:$R70)</f>
        <v>0</v>
      </c>
      <c r="DV79" s="234" t="n">
        <f aca="false">DT79+DU79</f>
        <v>0</v>
      </c>
      <c r="DW79" s="535"/>
      <c r="DX79" s="536" t="n">
        <f aca="false">[1]OtherPosn!$D70</f>
        <v>37172</v>
      </c>
      <c r="DY79" s="234" t="n">
        <f aca="false">[1]OtherPosn!$N70</f>
        <v>2385.39233398438</v>
      </c>
      <c r="DZ79" s="234" t="n">
        <f aca="false">SUM([1]OtherPosn!$O70:$P70)</f>
        <v>0</v>
      </c>
      <c r="EO79" s="532" t="n">
        <f aca="false">EO35</f>
        <v>37865</v>
      </c>
      <c r="EP79" s="234" t="n">
        <f aca="false">EP35</f>
        <v>21</v>
      </c>
      <c r="EQ79" s="473" t="n">
        <f aca="false">O79*$EP79</f>
        <v>0</v>
      </c>
      <c r="ER79" s="473" t="n">
        <f aca="false">P79*$EP79</f>
        <v>0</v>
      </c>
      <c r="ES79" s="439" t="n">
        <f aca="false">IF(YEAR($EO79)=1999,EP79,0)</f>
        <v>0</v>
      </c>
      <c r="ET79" s="439" t="n">
        <f aca="false">IF(YEAR($EO79)=1999,EQ79,0)</f>
        <v>0</v>
      </c>
      <c r="EU79" s="439" t="n">
        <f aca="false">IF(YEAR($EO79)=1999,ER79,0)</f>
        <v>0</v>
      </c>
    </row>
    <row r="80" customFormat="false" ht="18.75" hidden="false" customHeight="true" outlineLevel="0" collapsed="false">
      <c r="A80" s="599" t="n">
        <f aca="false">[1]COMED!$D58</f>
        <v>37895</v>
      </c>
      <c r="B80" s="600" t="n">
        <f aca="false">[1]COMED!$O58</f>
        <v>-167670.328125</v>
      </c>
      <c r="C80" s="601" t="n">
        <f aca="false">B80/(CE80*CD80)</f>
        <v>-499.222460748844</v>
      </c>
      <c r="D80" s="601" t="n">
        <f aca="false">BY80+IF(YEAR(A80)=$T$20,$BY$92,0)+IF(YEAR(A80)=$T$21,$BY$93,0)+IF(YEAR(A80)=$T$22,$BY$94,0)</f>
        <v>0</v>
      </c>
      <c r="E80" s="600" t="n">
        <f aca="false">B80+(D80*CD80*CE80)</f>
        <v>-167670.328125</v>
      </c>
      <c r="F80" s="602" t="n">
        <f aca="false">C80+D80</f>
        <v>-499.222460748844</v>
      </c>
      <c r="G80" s="603" t="n">
        <f aca="false">[1]COMED!$E58</f>
        <v>28.7715682983398</v>
      </c>
      <c r="H80" s="498" t="n">
        <f aca="false">+[1]COMED!$F58</f>
        <v>-0.365001320838928</v>
      </c>
      <c r="I80" s="604" t="n">
        <f aca="false">G80+H80</f>
        <v>28.4065669775009</v>
      </c>
      <c r="J80" s="600" t="n">
        <f aca="false">H80*B80</f>
        <v>61199.8912311215</v>
      </c>
      <c r="K80" s="163" t="n">
        <f aca="false">(((I80-AL80)*AK80+(I80-AN80)*AM80+(I80-AP80)*AO80+(I80-AR80)*AQ80+(I80-AT80)*AS80+(I80-AV80)*AU80+(I80-AX80)*AW80+(I80-AZ80)*AY80+(I80-BB80)*BA80+(I80-BD80)*BC80+(I80-BF80)*BE80+(I80-BH80)*BG80+(I80-BJ80)*BI80+(I80-BL80)*BK80+(I80-BN80)*BM80+(I80-BP80)*BO80+(I80-BR80)*BQ80+(I80-BT80)*BS80+(I80-BV80)*BU80+(I80-BX80)*BW80)*CD80*CE80)+CG80+CH80+CI80</f>
        <v>0</v>
      </c>
      <c r="L80" s="123" t="n">
        <f aca="false">J80+K80</f>
        <v>61199.8912311215</v>
      </c>
      <c r="M80" s="46"/>
      <c r="N80" s="618"/>
      <c r="O80" s="619"/>
      <c r="P80" s="620"/>
      <c r="Q80" s="621"/>
      <c r="R80" s="46"/>
      <c r="S80" s="506"/>
      <c r="T80" s="505" t="n">
        <f aca="false">T79+1</f>
        <v>2003</v>
      </c>
      <c r="U80" s="506"/>
      <c r="V80" s="613" t="n">
        <f aca="false">V65</f>
        <v>2003</v>
      </c>
      <c r="W80" s="579" t="n">
        <f aca="false" t="array" ref="W80:W80">SUM(IF((YEAR($A$56:$A$91)=$T80),$F$56:$F$91))</f>
        <v>-7689.42875251109</v>
      </c>
      <c r="X80" s="580" t="n">
        <f aca="false" t="array" ref="X80:X80">SUM(IF((YEAR($A$56:$A$91)=$T80),$E$56:$E$91))</f>
        <v>-2426190.3125</v>
      </c>
      <c r="Y80" s="46"/>
      <c r="Z80" s="581" t="n">
        <f aca="false">A66</f>
        <v>37469</v>
      </c>
      <c r="AA80" s="582" t="n">
        <f aca="false">I66</f>
        <v>53.625</v>
      </c>
      <c r="AB80" s="583" t="n">
        <f aca="false">AB36</f>
        <v>-1165.26152109775</v>
      </c>
      <c r="AC80" s="584" t="n">
        <f aca="false">AC36</f>
        <v>-849.597460297794</v>
      </c>
      <c r="AD80" s="584" t="n">
        <f aca="false">AC80+AB80</f>
        <v>-2014.85898139555</v>
      </c>
      <c r="AE80" s="46"/>
      <c r="AF80" s="46"/>
      <c r="AG80" s="46"/>
      <c r="AH80" s="46"/>
      <c r="AI80" s="46"/>
      <c r="AJ80" s="512" t="n">
        <f aca="false">A80</f>
        <v>37895</v>
      </c>
      <c r="AK80" s="513"/>
      <c r="AL80" s="514"/>
      <c r="AM80" s="513"/>
      <c r="AN80" s="514"/>
      <c r="AO80" s="513"/>
      <c r="AP80" s="514"/>
      <c r="AQ80" s="513"/>
      <c r="AR80" s="514"/>
      <c r="AS80" s="515"/>
      <c r="AT80" s="516"/>
      <c r="AU80" s="550" t="n">
        <f aca="false">+AU79</f>
        <v>0</v>
      </c>
      <c r="AV80" s="551" t="n">
        <f aca="false">+AV79</f>
        <v>0</v>
      </c>
      <c r="AW80" s="550" t="n">
        <f aca="false">+AW79</f>
        <v>0</v>
      </c>
      <c r="AX80" s="551" t="n">
        <f aca="false">+AX79</f>
        <v>0</v>
      </c>
      <c r="AY80" s="550"/>
      <c r="AZ80" s="551"/>
      <c r="BA80" s="550"/>
      <c r="BB80" s="551"/>
      <c r="BC80" s="520"/>
      <c r="BD80" s="517"/>
      <c r="BE80" s="520"/>
      <c r="BF80" s="517"/>
      <c r="BG80" s="520"/>
      <c r="BH80" s="517"/>
      <c r="BI80" s="520"/>
      <c r="BJ80" s="517"/>
      <c r="BK80" s="520"/>
      <c r="BL80" s="517"/>
      <c r="BM80" s="520"/>
      <c r="BN80" s="517"/>
      <c r="BO80" s="520"/>
      <c r="BP80" s="517"/>
      <c r="BQ80" s="520"/>
      <c r="BR80" s="517"/>
      <c r="BS80" s="520"/>
      <c r="BT80" s="517"/>
      <c r="BU80" s="520"/>
      <c r="BV80" s="517"/>
      <c r="BW80" s="520"/>
      <c r="BX80" s="517"/>
      <c r="BY80" s="556" t="n">
        <f aca="false">AK80+AM80+AO80+AQ80+AS80+AU80+AW80+AY80+BA80+BC80+BE80+BG80+BI80+BK80+BM80+BO80+BQ80+BS80+BU80+BW80</f>
        <v>0</v>
      </c>
      <c r="BZ80" s="524" t="n">
        <f aca="false">IF(AND(BY80=0,CC80=0),0,(ABS(AK80)*AL80+ABS(AM80)*AN80+ABS(AO80)*AP80+ABS(AQ80)*AR80+ABS(AS80)*AT80+ABS(AU80)*AV80+ABS(AW80)*AX80+ABS(AY80)*AZ80+ABS(BA80)*BB80+ABS(BC80)*BD80+ABS(BE80)*BF80+ABS(BG80)*BH80+ABS(BI80)*BJ80+ABS(BK80)*BL80+ABS(BM80)*BN80+ABS(BO80)*BP80+ABS(BQ80)*BR80+ABS(BS80)*BT80+ABS(BU80)*BV80+ABS(BW80)*BX80)/CC80)</f>
        <v>0</v>
      </c>
      <c r="CA80" s="222"/>
      <c r="CB80" s="525" t="n">
        <f aca="false">AJ80</f>
        <v>37895</v>
      </c>
      <c r="CC80" s="222" t="n">
        <f aca="false">ABS(AK80)+ABS(AM80)+ABS(AO80)+ABS(AQ80)+ABS(AS80)+ABS(AU80)+ABS(AW80)+ABS(AY80)+ABS(BA80)+ABS(BC80)+ABS(BE80)+ABS(BG80)+ABS(BI80)+ABS(BK80)+ABS(BM80)+ABS(BO80)+ABS(BQ80)+ABS(BS80)+ABS(BU80)+ABS(BW80)</f>
        <v>0</v>
      </c>
      <c r="CD80" s="526" t="n">
        <f aca="false">CD36</f>
        <v>368</v>
      </c>
      <c r="CE80" s="222" t="n">
        <f aca="false">CE36</f>
        <v>0.912671058430691</v>
      </c>
      <c r="CF80" s="527" t="n">
        <f aca="false">E80-B80</f>
        <v>0</v>
      </c>
      <c r="CG80" s="527" t="n">
        <f aca="false">IF(YEAR($AJ80)=$CG$10,(($I80-$AL$92)*$AK$92+($I80-$AN$92)*$AM$92+($I80-$AP$92)*$AO$92+($I80-$AR$92)*$AQ$92+($I80-$AT$92)*$AS$92+($I80-$AV$92)*$AU$92+($I80-$AX$92)*$AW$92+($I80-$AZ$92)*$AY$92+($I80-$BB$92)*$BA$92+($I80-$BD$92)*$BC$92+($I80-$BF$92)*$BE$92+($I80-$BH$92)*$BG$92+($I80-$BJ$92)*$BI$92+($I80-$BL$92)*$BK$92+($I80-$BN$92)*$BM$92+($I80-$BP$92)*$BO$92+($I80-$BR$92)*$BQ$92+($I80-$BT$92)*$BS$92+($I80-$BV$92)*$BU$92+($I80-$BX$92)*$BW$92)*$CD80*$CE80,0)</f>
        <v>0</v>
      </c>
      <c r="CH80" s="527" t="n">
        <f aca="false">IF(YEAR($AJ80)=$CH$10,(($I80-$AL$93)*$AK$93+($I80-$AN$93)*$AM$93+($I80-$AP$93)*$AO$93+($I80-$AR$93)*$AQ$93+($I80-$AT$93)*$AS$93+($I80-$AV$93)*$AU$93+($I80-$AX$93)*$AW$93+($I80-$AZ$93)*$AY$93+($I80-$BB$93)*$BA$93+($I80-$BD$93)*$BC$93+($I80-$BF$93)*$BE$93+($I80-$BH$93)*$BG$93+($I80-$BJ$93)*$BI$93+($I80-$BL$93)*$BK$93+($I80-$BN$93)*$BM$93+($I80-$BP$93)*$BO$93+($I80-$BR$93)*$BQ$93+($I80-$BT$93)*$BS$93+($I80-$BV$93)*$BU$93+($I80-$BX$93)*$BW$93)*$CD80*$CE80,0)</f>
        <v>0</v>
      </c>
      <c r="CI80" s="527" t="n">
        <f aca="false">IF(YEAR($AJ80)=$CI$10,(($I80-$AL$94)*$AK$94+($I80-$AN$94)*$AM$94+($I80-$AP$94)*$AO$94+($I80-$AR$94)*$AQ$94+($I80-$AT$94)*$AS$94+($I80-$AV$94)*$AU$94+($I80-$AX$94)*$AW$94+($I80-$AZ$94)*$AY$94+($I80-$BB$94)*$BA$94+($I80-$BD$94)*$BC$94+($I80-$BF$94)*$BE$94+($I80-$BH$94)*$BG$94+($I80-$BJ$94)*$BI$94+($I80-$BL$94)*$BK$94+($I80-$BN$94)*$BM$94+($I80-$BP$94)*$BO$94+($I80-$BR$94)*$BQ$94+($I80-$BT$94)*$BS$94+($I80-$BV$94)*$BU$94+($I80-$BX$94)*$BW$94)*$CD80*$CE80,0)</f>
        <v>0</v>
      </c>
      <c r="CJ80" s="439" t="n">
        <f aca="false">CC80*CD80</f>
        <v>0</v>
      </c>
      <c r="CM80" s="530" t="n">
        <f aca="false">+CL36*CF80/10000</f>
        <v>0</v>
      </c>
      <c r="DJ80" s="532" t="n">
        <f aca="false">[1]Cinergy!$D102</f>
        <v>39234</v>
      </c>
      <c r="DK80" s="440" t="n">
        <f aca="false">VLOOKUP(DJ80,DL80:DM321,2)</f>
        <v>21</v>
      </c>
      <c r="DL80" s="533" t="n">
        <v>37803</v>
      </c>
      <c r="DM80" s="459" t="n">
        <v>22</v>
      </c>
      <c r="DP80" s="534" t="n">
        <f aca="false">[1]Cinergy!$D71</f>
        <v>38292</v>
      </c>
      <c r="DQ80" s="234" t="n">
        <f aca="false">[1]OPPD_NPPD!$O71+[1]NSP!$O71</f>
        <v>0</v>
      </c>
      <c r="DR80" s="234" t="n">
        <f aca="false">[1]COMED!$O71</f>
        <v>0</v>
      </c>
      <c r="DS80" s="234" t="n">
        <f aca="false">DQ80+DR80</f>
        <v>0</v>
      </c>
      <c r="DT80" s="234" t="n">
        <f aca="false">SUM([1]OPPD_NPPD!$P71:$R71)+SUM([1]NSP!$P71:$R71)</f>
        <v>0</v>
      </c>
      <c r="DU80" s="234" t="n">
        <f aca="false">SUM([1]COMED!$P71:$R71)</f>
        <v>0</v>
      </c>
      <c r="DV80" s="234" t="n">
        <f aca="false">DT80+DU80</f>
        <v>0</v>
      </c>
      <c r="DW80" s="535"/>
      <c r="DX80" s="536" t="n">
        <f aca="false">[1]OtherPosn!$D71</f>
        <v>37195</v>
      </c>
      <c r="DY80" s="234" t="n">
        <f aca="false">[1]OtherPosn!$N71</f>
        <v>40551.66796875</v>
      </c>
      <c r="DZ80" s="234" t="n">
        <f aca="false">SUM([1]OtherPosn!$O71:$P71)</f>
        <v>0</v>
      </c>
      <c r="EO80" s="532" t="n">
        <f aca="false">EO36</f>
        <v>37895</v>
      </c>
      <c r="EP80" s="234" t="n">
        <f aca="false">EP36</f>
        <v>23</v>
      </c>
      <c r="EQ80" s="473" t="n">
        <f aca="false">O80*$EP80</f>
        <v>0</v>
      </c>
      <c r="ER80" s="473" t="n">
        <f aca="false">P80*$EP80</f>
        <v>0</v>
      </c>
    </row>
    <row r="81" customFormat="false" ht="18.75" hidden="false" customHeight="true" outlineLevel="0" collapsed="false">
      <c r="A81" s="605" t="n">
        <f aca="false">[1]COMED!$D59</f>
        <v>37926</v>
      </c>
      <c r="B81" s="606" t="n">
        <f aca="false">[1]COMED!$O59</f>
        <v>-137899.078125</v>
      </c>
      <c r="C81" s="607" t="n">
        <f aca="false">B81/(CE81*CD81)</f>
        <v>-499.21446481663</v>
      </c>
      <c r="D81" s="607" t="n">
        <f aca="false">BY81+IF(YEAR(A81)=$T$20,$BY$92,0)+IF(YEAR(A81)=$T$21,$BY$93,0)+IF(YEAR(A81)=$T$22,$BY$94,0)</f>
        <v>0</v>
      </c>
      <c r="E81" s="606" t="n">
        <f aca="false">B81+(D81*CD81*CE81)</f>
        <v>-137899.078125</v>
      </c>
      <c r="F81" s="608" t="n">
        <f aca="false">C81+D81</f>
        <v>-499.21446481663</v>
      </c>
      <c r="G81" s="609" t="n">
        <f aca="false">[1]COMED!$E59</f>
        <v>28.8715629577637</v>
      </c>
      <c r="H81" s="498" t="n">
        <f aca="false">+[1]COMED!$F59</f>
        <v>-0.365001320838928</v>
      </c>
      <c r="I81" s="610" t="n">
        <f aca="false">G81+H81</f>
        <v>28.5065616369247</v>
      </c>
      <c r="J81" s="606" t="n">
        <f aca="false">H81*B81</f>
        <v>50333.3456580956</v>
      </c>
      <c r="K81" s="611" t="n">
        <f aca="false">(((I81-AL81)*AK81+(I81-AN81)*AM81+(I81-AP81)*AO81+(I81-AR81)*AQ81+(I81-AT81)*AS81+(I81-AV81)*AU81+(I81-AX81)*AW81+(I81-AZ81)*AY81+(I81-BB81)*BA81+(I81-BD81)*BC81+(I81-BF81)*BE81+(I81-BH81)*BG81+(I81-BJ81)*BI81+(I81-BL81)*BK81+(I81-BN81)*BM81+(I81-BP81)*BO81+(I81-BR81)*BQ81+(I81-BT81)*BS81+(I81-BV81)*BU81+(I81-BX81)*BW81)*CD81*CE81)+CG81+CH81+CI81</f>
        <v>0</v>
      </c>
      <c r="L81" s="612" t="n">
        <f aca="false">J81+K81</f>
        <v>50333.3456580956</v>
      </c>
      <c r="M81" s="46"/>
      <c r="N81" s="628" t="s">
        <v>291</v>
      </c>
      <c r="O81" s="615" t="e">
        <f aca="false">(VLOOKUP(DATE(1999,10,1),$EO$12:$ER$38,3)+VLOOKUP(DATE(1999,11,1),$EO$12:$ER$38,3)+VLOOKUP(DATE(1999,12,1),$EO$12:$ER$38,3))/(VLOOKUP(DATE(1999,10,1),$EO$12:$ER$38,2)+VLOOKUP(DATE(1999,11,1),$EO$12:$ER$38,2)+VLOOKUP(DATE(1999,12,1),$EO$12:$ER$38,2))</f>
        <v>#N/A</v>
      </c>
      <c r="P81" s="508" t="e">
        <f aca="false">(VLOOKUP(DATE(1999,10,1),$EO$12:$ER$38,4)+VLOOKUP(DATE(1999,11,1),$EO$12:$ER$38,4)+VLOOKUP(DATE(1999,12,1),$EO$12:$ER$38,4))/(VLOOKUP(DATE(1999,10,1),$EO$12:$ER$38,2)+VLOOKUP(DATE(1999,11,1),$EO$12:$ER$38,2)+VLOOKUP(DATE(1999,12,1),$EO$12:$ER$38,2))</f>
        <v>#N/A</v>
      </c>
      <c r="Q81" s="616"/>
      <c r="R81" s="46"/>
      <c r="S81" s="506"/>
      <c r="T81" s="505" t="n">
        <f aca="false">T80+1</f>
        <v>2004</v>
      </c>
      <c r="U81" s="506"/>
      <c r="V81" s="617" t="n">
        <f aca="false">V66</f>
        <v>2004</v>
      </c>
      <c r="W81" s="575" t="n">
        <f aca="false" t="array" ref="W81:W81">SUM(IF((YEAR($A$56:$A$91)=$T81),$F$56:$F$91))</f>
        <v>0</v>
      </c>
      <c r="X81" s="576" t="n">
        <f aca="false" t="array" ref="X81:X81">SUM(IF((YEAR($A$56:$A$91)=$T81),$E$56:$E$91))</f>
        <v>0</v>
      </c>
      <c r="Y81" s="46"/>
      <c r="Z81" s="577" t="n">
        <f aca="false">A67</f>
        <v>37500</v>
      </c>
      <c r="AA81" s="578" t="n">
        <f aca="false">I67</f>
        <v>27.2499942779541</v>
      </c>
      <c r="AB81" s="579" t="n">
        <f aca="false">AB37</f>
        <v>-849.506710585405</v>
      </c>
      <c r="AC81" s="579" t="n">
        <f aca="false">AC37</f>
        <v>299.815016469527</v>
      </c>
      <c r="AD81" s="579" t="n">
        <f aca="false">AC81+AB81</f>
        <v>-549.691694115878</v>
      </c>
      <c r="AE81" s="46"/>
      <c r="AF81" s="46"/>
      <c r="AG81" s="46"/>
      <c r="AH81" s="46"/>
      <c r="AI81" s="46"/>
      <c r="AJ81" s="512" t="n">
        <f aca="false">A81</f>
        <v>37926</v>
      </c>
      <c r="AK81" s="513" t="n">
        <f aca="false">+AK80</f>
        <v>0</v>
      </c>
      <c r="AL81" s="514" t="n">
        <f aca="false">+AL80</f>
        <v>0</v>
      </c>
      <c r="AM81" s="513" t="n">
        <f aca="false">+AM80</f>
        <v>0</v>
      </c>
      <c r="AN81" s="514" t="n">
        <f aca="false">+AN80</f>
        <v>0</v>
      </c>
      <c r="AO81" s="513" t="n">
        <f aca="false">+AO80</f>
        <v>0</v>
      </c>
      <c r="AP81" s="514" t="n">
        <f aca="false">+AP80</f>
        <v>0</v>
      </c>
      <c r="AQ81" s="513" t="n">
        <f aca="false">+AQ80</f>
        <v>0</v>
      </c>
      <c r="AR81" s="514" t="n">
        <f aca="false">+AR80</f>
        <v>0</v>
      </c>
      <c r="AS81" s="515"/>
      <c r="AT81" s="516"/>
      <c r="AU81" s="550" t="n">
        <f aca="false">+AU80</f>
        <v>0</v>
      </c>
      <c r="AV81" s="551" t="n">
        <f aca="false">+AV80</f>
        <v>0</v>
      </c>
      <c r="AW81" s="550" t="n">
        <f aca="false">+AW80</f>
        <v>0</v>
      </c>
      <c r="AX81" s="551" t="n">
        <f aca="false">+AX80</f>
        <v>0</v>
      </c>
      <c r="AY81" s="550"/>
      <c r="AZ81" s="551"/>
      <c r="BA81" s="550"/>
      <c r="BB81" s="551"/>
      <c r="BC81" s="520"/>
      <c r="BD81" s="517"/>
      <c r="BE81" s="520"/>
      <c r="BF81" s="517"/>
      <c r="BG81" s="520"/>
      <c r="BH81" s="517"/>
      <c r="BI81" s="520"/>
      <c r="BJ81" s="517"/>
      <c r="BK81" s="520"/>
      <c r="BL81" s="517"/>
      <c r="BM81" s="520"/>
      <c r="BN81" s="517"/>
      <c r="BO81" s="520"/>
      <c r="BP81" s="517"/>
      <c r="BQ81" s="520"/>
      <c r="BR81" s="517"/>
      <c r="BS81" s="520"/>
      <c r="BT81" s="517"/>
      <c r="BU81" s="520"/>
      <c r="BV81" s="517"/>
      <c r="BW81" s="520"/>
      <c r="BX81" s="517"/>
      <c r="BY81" s="556" t="n">
        <f aca="false">AK81+AM81+AO81+AQ81+AS81+AU81+AW81+AY81+BA81+BC81+BE81+BG81+BI81+BK81+BM81+BO81+BQ81+BS81+BU81+BW81</f>
        <v>0</v>
      </c>
      <c r="BZ81" s="524" t="n">
        <f aca="false">IF(AND(BY81=0,CC81=0),0,(ABS(AK81)*AL81+ABS(AM81)*AN81+ABS(AO81)*AP81+ABS(AQ81)*AR81+ABS(AS81)*AT81+ABS(AU81)*AV81+ABS(AW81)*AX81+ABS(AY81)*AZ81+ABS(BA81)*BB81+ABS(BC81)*BD81+ABS(BE81)*BF81+ABS(BG81)*BH81+ABS(BI81)*BJ81+ABS(BK81)*BL81+ABS(BM81)*BN81+ABS(BO81)*BP81+ABS(BQ81)*BR81+ABS(BS81)*BT81+ABS(BU81)*BV81+ABS(BW81)*BX81)/CC81)</f>
        <v>0</v>
      </c>
      <c r="CA81" s="222"/>
      <c r="CB81" s="525" t="n">
        <f aca="false">AJ81</f>
        <v>37926</v>
      </c>
      <c r="CC81" s="222" t="n">
        <f aca="false">ABS(AK81)+ABS(AM81)+ABS(AO81)+ABS(AQ81)+ABS(AS81)+ABS(AU81)+ABS(AW81)+ABS(AY81)+ABS(BA81)+ABS(BC81)+ABS(BE81)+ABS(BG81)+ABS(BI81)+ABS(BK81)+ABS(BM81)+ABS(BO81)+ABS(BQ81)+ABS(BS81)+ABS(BU81)+ABS(BW81)</f>
        <v>0</v>
      </c>
      <c r="CD81" s="526" t="n">
        <f aca="false">CD37</f>
        <v>304</v>
      </c>
      <c r="CE81" s="222" t="n">
        <f aca="false">CE37</f>
        <v>0.908658343334863</v>
      </c>
      <c r="CF81" s="527" t="n">
        <f aca="false">E81-B81</f>
        <v>0</v>
      </c>
      <c r="CG81" s="527" t="n">
        <f aca="false">IF(YEAR($AJ81)=$CG$10,(($I81-$AL$92)*$AK$92+($I81-$AN$92)*$AM$92+($I81-$AP$92)*$AO$92+($I81-$AR$92)*$AQ$92+($I81-$AT$92)*$AS$92+($I81-$AV$92)*$AU$92+($I81-$AX$92)*$AW$92+($I81-$AZ$92)*$AY$92+($I81-$BB$92)*$BA$92+($I81-$BD$92)*$BC$92+($I81-$BF$92)*$BE$92+($I81-$BH$92)*$BG$92+($I81-$BJ$92)*$BI$92+($I81-$BL$92)*$BK$92+($I81-$BN$92)*$BM$92+($I81-$BP$92)*$BO$92+($I81-$BR$92)*$BQ$92+($I81-$BT$92)*$BS$92+($I81-$BV$92)*$BU$92+($I81-$BX$92)*$BW$92)*$CD81*$CE81,0)</f>
        <v>0</v>
      </c>
      <c r="CH81" s="527" t="n">
        <f aca="false">IF(YEAR($AJ81)=$CH$10,(($I81-$AL$93)*$AK$93+($I81-$AN$93)*$AM$93+($I81-$AP$93)*$AO$93+($I81-$AR$93)*$AQ$93+($I81-$AT$93)*$AS$93+($I81-$AV$93)*$AU$93+($I81-$AX$93)*$AW$93+($I81-$AZ$93)*$AY$93+($I81-$BB$93)*$BA$93+($I81-$BD$93)*$BC$93+($I81-$BF$93)*$BE$93+($I81-$BH$93)*$BG$93+($I81-$BJ$93)*$BI$93+($I81-$BL$93)*$BK$93+($I81-$BN$93)*$BM$93+($I81-$BP$93)*$BO$93+($I81-$BR$93)*$BQ$93+($I81-$BT$93)*$BS$93+($I81-$BV$93)*$BU$93+($I81-$BX$93)*$BW$93)*$CD81*$CE81,0)</f>
        <v>0</v>
      </c>
      <c r="CI81" s="527" t="n">
        <f aca="false">IF(YEAR($AJ81)=$CI$10,(($I81-$AL$94)*$AK$94+($I81-$AN$94)*$AM$94+($I81-$AP$94)*$AO$94+($I81-$AR$94)*$AQ$94+($I81-$AT$94)*$AS$94+($I81-$AV$94)*$AU$94+($I81-$AX$94)*$AW$94+($I81-$AZ$94)*$AY$94+($I81-$BB$94)*$BA$94+($I81-$BD$94)*$BC$94+($I81-$BF$94)*$BE$94+($I81-$BH$94)*$BG$94+($I81-$BJ$94)*$BI$94+($I81-$BL$94)*$BK$94+($I81-$BN$94)*$BM$94+($I81-$BP$94)*$BO$94+($I81-$BR$94)*$BQ$94+($I81-$BT$94)*$BS$94+($I81-$BV$94)*$BU$94+($I81-$BX$94)*$BW$94)*$CD81*$CE81,0)</f>
        <v>0</v>
      </c>
      <c r="CJ81" s="439" t="n">
        <f aca="false">CC81*CD81</f>
        <v>0</v>
      </c>
      <c r="CM81" s="530" t="n">
        <f aca="false">+CL37*CF81/10000</f>
        <v>0</v>
      </c>
      <c r="DJ81" s="532" t="n">
        <f aca="false">[1]Cinergy!$D103</f>
        <v>39264</v>
      </c>
      <c r="DK81" s="440" t="n">
        <f aca="false">VLOOKUP(DJ81,DL81:DM322,2)</f>
        <v>21</v>
      </c>
      <c r="DL81" s="533" t="n">
        <v>37834</v>
      </c>
      <c r="DM81" s="459" t="n">
        <v>21</v>
      </c>
      <c r="DP81" s="534" t="n">
        <f aca="false">[1]Cinergy!$D72</f>
        <v>38322</v>
      </c>
      <c r="DQ81" s="234" t="n">
        <f aca="false">[1]OPPD_NPPD!$O72+[1]NSP!$O72</f>
        <v>0</v>
      </c>
      <c r="DR81" s="234" t="n">
        <f aca="false">[1]COMED!$O72</f>
        <v>0</v>
      </c>
      <c r="DS81" s="234" t="n">
        <f aca="false">DQ81+DR81</f>
        <v>0</v>
      </c>
      <c r="DT81" s="234" t="n">
        <f aca="false">SUM([1]OPPD_NPPD!$P72:$R72)+SUM([1]NSP!$P72:$R72)</f>
        <v>0</v>
      </c>
      <c r="DU81" s="234" t="n">
        <f aca="false">SUM([1]COMED!$P72:$R72)</f>
        <v>0</v>
      </c>
      <c r="DV81" s="234" t="n">
        <f aca="false">DT81+DU81</f>
        <v>0</v>
      </c>
      <c r="DW81" s="535"/>
      <c r="DX81" s="536" t="n">
        <f aca="false">[1]OtherPosn!$D72</f>
        <v>37196</v>
      </c>
      <c r="DY81" s="234" t="n">
        <f aca="false">[1]OtherPosn!$N72</f>
        <v>49950.2890625</v>
      </c>
      <c r="DZ81" s="234" t="n">
        <f aca="false">SUM([1]OtherPosn!$O72:$P72)</f>
        <v>0</v>
      </c>
      <c r="EO81" s="532" t="n">
        <f aca="false">EO37</f>
        <v>37926</v>
      </c>
      <c r="EP81" s="234" t="n">
        <f aca="false">EP37</f>
        <v>19</v>
      </c>
      <c r="EQ81" s="473" t="e">
        <f aca="false">O81*$EP81</f>
        <v>#N/A</v>
      </c>
      <c r="ER81" s="473" t="e">
        <f aca="false">P81*$EP81</f>
        <v>#N/A</v>
      </c>
    </row>
    <row r="82" customFormat="false" ht="18.75" hidden="false" customHeight="true" outlineLevel="0" collapsed="false">
      <c r="A82" s="599" t="n">
        <f aca="false">[1]COMED!$D60</f>
        <v>37956</v>
      </c>
      <c r="B82" s="600" t="n">
        <f aca="false">[1]COMED!$O60</f>
        <v>-158935.65625</v>
      </c>
      <c r="C82" s="601" t="n">
        <f aca="false">B82/(CE82*CD82)</f>
        <v>-499.181700601896</v>
      </c>
      <c r="D82" s="601" t="n">
        <f aca="false">BY82+IF(YEAR(A82)=$T$20,$BY$92,0)+IF(YEAR(A82)=$T$21,$BY$93,0)+IF(YEAR(A82)=$T$22,$BY$94,0)</f>
        <v>0</v>
      </c>
      <c r="E82" s="600" t="n">
        <f aca="false">B82+(D82*CD82*CE82)</f>
        <v>-158935.65625</v>
      </c>
      <c r="F82" s="602" t="n">
        <f aca="false">C82+D82</f>
        <v>-499.181700601896</v>
      </c>
      <c r="G82" s="603" t="n">
        <f aca="false">[1]COMED!$E60</f>
        <v>28.9715633392334</v>
      </c>
      <c r="H82" s="498" t="n">
        <f aca="false">+[1]COMED!$F60</f>
        <v>-0.365001320838928</v>
      </c>
      <c r="I82" s="604" t="n">
        <f aca="false">G82+H82</f>
        <v>28.6065620183945</v>
      </c>
      <c r="J82" s="600" t="n">
        <f aca="false">H82*B82</f>
        <v>58011.7244596519</v>
      </c>
      <c r="K82" s="163" t="n">
        <f aca="false">(((I82-AL82)*AK82+(I82-AN82)*AM82+(I82-AP82)*AO82+(I82-AR82)*AQ82+(I82-AT82)*AS82+(I82-AV82)*AU82+(I82-AX82)*AW82+(I82-AZ82)*AY82+(I82-BB82)*BA82+(I82-BD82)*BC82+(I82-BF82)*BE82+(I82-BH82)*BG82+(I82-BJ82)*BI82+(I82-BL82)*BK82+(I82-BN82)*BM82+(I82-BP82)*BO82+(I82-BR82)*BQ82+(I82-BT82)*BS82+(I82-BV82)*BU82+(I82-BX82)*BW82)*CD82*CE82)+CG82+CH82+CI82</f>
        <v>0</v>
      </c>
      <c r="L82" s="123" t="n">
        <f aca="false">J82+K82</f>
        <v>58011.7244596519</v>
      </c>
      <c r="M82" s="46"/>
      <c r="N82" s="630" t="s">
        <v>292</v>
      </c>
      <c r="O82" s="619" t="n">
        <v>23.5</v>
      </c>
      <c r="P82" s="620" t="n">
        <v>24</v>
      </c>
      <c r="Q82" s="621"/>
      <c r="R82" s="46"/>
      <c r="S82" s="46"/>
      <c r="T82" s="46"/>
      <c r="U82" s="46"/>
      <c r="V82" s="622" t="s">
        <v>290</v>
      </c>
      <c r="W82" s="623" t="n">
        <f aca="false">SUM(D56:D91)</f>
        <v>-100</v>
      </c>
      <c r="X82" s="623" t="n">
        <f aca="false">SUM(CF56:CF91)</f>
        <v>-36526.0091479206</v>
      </c>
      <c r="Y82" s="46"/>
      <c r="Z82" s="624" t="n">
        <f aca="false">A68</f>
        <v>37530</v>
      </c>
      <c r="AA82" s="625" t="n">
        <f aca="false">I68</f>
        <v>28.2562481462955</v>
      </c>
      <c r="AB82" s="626" t="n">
        <f aca="false">AB38</f>
        <v>596.377151287315</v>
      </c>
      <c r="AC82" s="627" t="n">
        <f aca="false">AC38</f>
        <v>-499.615174618189</v>
      </c>
      <c r="AD82" s="627" t="n">
        <f aca="false">AC82+AB82</f>
        <v>96.7619766691259</v>
      </c>
      <c r="AE82" s="46"/>
      <c r="AF82" s="46"/>
      <c r="AG82" s="46"/>
      <c r="AH82" s="46"/>
      <c r="AI82" s="46"/>
      <c r="AJ82" s="512" t="n">
        <f aca="false">A82</f>
        <v>37956</v>
      </c>
      <c r="AK82" s="513" t="n">
        <f aca="false">+AK81</f>
        <v>0</v>
      </c>
      <c r="AL82" s="514" t="n">
        <f aca="false">+AL81</f>
        <v>0</v>
      </c>
      <c r="AM82" s="513" t="n">
        <f aca="false">+AM81</f>
        <v>0</v>
      </c>
      <c r="AN82" s="514" t="n">
        <f aca="false">+AN81</f>
        <v>0</v>
      </c>
      <c r="AO82" s="513" t="n">
        <f aca="false">+AO81</f>
        <v>0</v>
      </c>
      <c r="AP82" s="514" t="n">
        <f aca="false">+AP81</f>
        <v>0</v>
      </c>
      <c r="AQ82" s="513" t="n">
        <f aca="false">+AQ81</f>
        <v>0</v>
      </c>
      <c r="AR82" s="514" t="n">
        <f aca="false">+AR81</f>
        <v>0</v>
      </c>
      <c r="AS82" s="515"/>
      <c r="AT82" s="516"/>
      <c r="AU82" s="550" t="n">
        <f aca="false">+AU81</f>
        <v>0</v>
      </c>
      <c r="AV82" s="551" t="n">
        <f aca="false">+AV81</f>
        <v>0</v>
      </c>
      <c r="AW82" s="550" t="n">
        <f aca="false">+AW81</f>
        <v>0</v>
      </c>
      <c r="AX82" s="551" t="n">
        <f aca="false">+AX81</f>
        <v>0</v>
      </c>
      <c r="AY82" s="550"/>
      <c r="AZ82" s="551"/>
      <c r="BA82" s="550"/>
      <c r="BB82" s="551"/>
      <c r="BC82" s="520"/>
      <c r="BD82" s="517"/>
      <c r="BE82" s="520"/>
      <c r="BF82" s="517"/>
      <c r="BG82" s="520"/>
      <c r="BH82" s="517"/>
      <c r="BI82" s="520"/>
      <c r="BJ82" s="517"/>
      <c r="BK82" s="520"/>
      <c r="BL82" s="517"/>
      <c r="BM82" s="520"/>
      <c r="BN82" s="517"/>
      <c r="BO82" s="520"/>
      <c r="BP82" s="517"/>
      <c r="BQ82" s="520"/>
      <c r="BR82" s="517"/>
      <c r="BS82" s="520"/>
      <c r="BT82" s="517"/>
      <c r="BU82" s="520"/>
      <c r="BV82" s="517"/>
      <c r="BW82" s="520"/>
      <c r="BX82" s="517"/>
      <c r="BY82" s="556" t="n">
        <f aca="false">AK82+AM82+AO82+AQ82+AS82+AU82+AW82+AY82+BA82+BC82+BE82+BG82+BI82+BK82+BM82+BO82+BQ82+BS82+BU82+BW82</f>
        <v>0</v>
      </c>
      <c r="BZ82" s="524" t="n">
        <f aca="false">IF(AND(BY82=0,CC82=0),0,(ABS(AK82)*AL82+ABS(AM82)*AN82+ABS(AO82)*AP82+ABS(AQ82)*AR82+ABS(AS82)*AT82+ABS(AU82)*AV82+ABS(AW82)*AX82+ABS(AY82)*AZ82+ABS(BA82)*BB82+ABS(BC82)*BD82+ABS(BE82)*BF82+ABS(BG82)*BH82+ABS(BI82)*BJ82+ABS(BK82)*BL82+ABS(BM82)*BN82+ABS(BO82)*BP82+ABS(BQ82)*BR82+ABS(BS82)*BT82+ABS(BU82)*BV82+ABS(BW82)*BX82)/CC82)</f>
        <v>0</v>
      </c>
      <c r="CB82" s="525" t="n">
        <f aca="false">AJ82</f>
        <v>37956</v>
      </c>
      <c r="CC82" s="222" t="n">
        <f aca="false">ABS(AK82)+ABS(AM82)+ABS(AO82)+ABS(AQ82)+ABS(AS82)+ABS(AU82)+ABS(AW82)+ABS(AY82)+ABS(BA82)+ABS(BC82)+ABS(BE82)+ABS(BG82)+ABS(BI82)+ABS(BK82)+ABS(BM82)+ABS(BO82)+ABS(BQ82)+ABS(BS82)+ABS(BU82)+ABS(BW82)</f>
        <v>0</v>
      </c>
      <c r="CD82" s="526" t="n">
        <f aca="false">CD38</f>
        <v>352</v>
      </c>
      <c r="CE82" s="222" t="n">
        <f aca="false">CE38</f>
        <v>0.904523844054776</v>
      </c>
      <c r="CF82" s="527" t="n">
        <f aca="false">E82-B82</f>
        <v>0</v>
      </c>
      <c r="CG82" s="527" t="n">
        <f aca="false">IF(YEAR($AJ82)=$CG$10,(($I82-$AL$92)*$AK$92+($I82-$AN$92)*$AM$92+($I82-$AP$92)*$AO$92+($I82-$AR$92)*$AQ$92+($I82-$AT$92)*$AS$92+($I82-$AV$92)*$AU$92+($I82-$AX$92)*$AW$92+($I82-$AZ$92)*$AY$92+($I82-$BB$92)*$BA$92+($I82-$BD$92)*$BC$92+($I82-$BF$92)*$BE$92+($I82-$BH$92)*$BG$92+($I82-$BJ$92)*$BI$92+($I82-$BL$92)*$BK$92+($I82-$BN$92)*$BM$92+($I82-$BP$92)*$BO$92+($I82-$BR$92)*$BQ$92+($I82-$BT$92)*$BS$92+($I82-$BV$92)*$BU$92+($I82-$BX$92)*$BW$92)*$CD82*$CE82,0)</f>
        <v>0</v>
      </c>
      <c r="CH82" s="527" t="n">
        <f aca="false">IF(YEAR($AJ82)=$CH$10,(($I82-$AL$93)*$AK$93+($I82-$AN$93)*$AM$93+($I82-$AP$93)*$AO$93+($I82-$AR$93)*$AQ$93+($I82-$AT$93)*$AS$93+($I82-$AV$93)*$AU$93+($I82-$AX$93)*$AW$93+($I82-$AZ$93)*$AY$93+($I82-$BB$93)*$BA$93+($I82-$BD$93)*$BC$93+($I82-$BF$93)*$BE$93+($I82-$BH$93)*$BG$93+($I82-$BJ$93)*$BI$93+($I82-$BL$93)*$BK$93+($I82-$BN$93)*$BM$93+($I82-$BP$93)*$BO$93+($I82-$BR$93)*$BQ$93+($I82-$BT$93)*$BS$93+($I82-$BV$93)*$BU$93+($I82-$BX$93)*$BW$93)*$CD82*$CE82,0)</f>
        <v>0</v>
      </c>
      <c r="CI82" s="527" t="n">
        <f aca="false">IF(YEAR($AJ82)=$CI$10,(($I82-$AL$94)*$AK$94+($I82-$AN$94)*$AM$94+($I82-$AP$94)*$AO$94+($I82-$AR$94)*$AQ$94+($I82-$AT$94)*$AS$94+($I82-$AV$94)*$AU$94+($I82-$AX$94)*$AW$94+($I82-$AZ$94)*$AY$94+($I82-$BB$94)*$BA$94+($I82-$BD$94)*$BC$94+($I82-$BF$94)*$BE$94+($I82-$BH$94)*$BG$94+($I82-$BJ$94)*$BI$94+($I82-$BL$94)*$BK$94+($I82-$BN$94)*$BM$94+($I82-$BP$94)*$BO$94+($I82-$BR$94)*$BQ$94+($I82-$BT$94)*$BS$94+($I82-$BV$94)*$BU$94+($I82-$BX$94)*$BW$94)*$CD82*$CE82,0)</f>
        <v>0</v>
      </c>
      <c r="CJ82" s="439" t="n">
        <f aca="false">CC82*CD82</f>
        <v>0</v>
      </c>
      <c r="CM82" s="530" t="n">
        <f aca="false">+CL38*CF82/10000</f>
        <v>0</v>
      </c>
      <c r="DJ82" s="532" t="n">
        <f aca="false">[1]Cinergy!$D104</f>
        <v>39295</v>
      </c>
      <c r="DK82" s="440" t="n">
        <f aca="false">VLOOKUP(DJ82,DL82:DM323,2)</f>
        <v>23</v>
      </c>
      <c r="DL82" s="533" t="n">
        <v>37865</v>
      </c>
      <c r="DM82" s="459" t="n">
        <v>21</v>
      </c>
      <c r="DP82" s="534" t="n">
        <f aca="false">[1]Cinergy!$D73</f>
        <v>38353</v>
      </c>
      <c r="DQ82" s="234" t="n">
        <f aca="false">[1]OPPD_NPPD!$O73+[1]NSP!$O73</f>
        <v>0</v>
      </c>
      <c r="DR82" s="234" t="n">
        <f aca="false">[1]COMED!$O73</f>
        <v>-14260.447265625</v>
      </c>
      <c r="DS82" s="234" t="n">
        <f aca="false">DQ82+DR82</f>
        <v>-14260.447265625</v>
      </c>
      <c r="DT82" s="234" t="n">
        <f aca="false">SUM([1]OPPD_NPPD!$P73:$R73)+SUM([1]NSP!$P73:$R73)</f>
        <v>0</v>
      </c>
      <c r="DU82" s="234" t="n">
        <f aca="false">SUM([1]COMED!$P73:$R73)</f>
        <v>0</v>
      </c>
      <c r="DV82" s="234" t="n">
        <f aca="false">DT82+DU82</f>
        <v>0</v>
      </c>
      <c r="DW82" s="535"/>
      <c r="DX82" s="536" t="n">
        <f aca="false">[1]OtherPosn!$D73</f>
        <v>37226</v>
      </c>
      <c r="DY82" s="234" t="n">
        <f aca="false">[1]OtherPosn!$N73</f>
        <v>47431.5234375</v>
      </c>
      <c r="DZ82" s="234" t="n">
        <f aca="false">SUM([1]OtherPosn!$O73:$P73)</f>
        <v>0</v>
      </c>
      <c r="EO82" s="532" t="n">
        <f aca="false">EO38</f>
        <v>37956</v>
      </c>
      <c r="EP82" s="234" t="n">
        <f aca="false">EP38</f>
        <v>22</v>
      </c>
      <c r="EQ82" s="473" t="n">
        <f aca="false">O82*$EP82</f>
        <v>517</v>
      </c>
      <c r="ER82" s="473" t="n">
        <f aca="false">P82*$EP82</f>
        <v>528</v>
      </c>
    </row>
    <row r="83" customFormat="false" ht="18.75" hidden="false" customHeight="true" outlineLevel="0" collapsed="false">
      <c r="A83" s="605" t="n">
        <f aca="false">[1]COMED!$D61</f>
        <v>37987</v>
      </c>
      <c r="B83" s="606" t="n">
        <f aca="false">[1]COMED!$O61</f>
        <v>0</v>
      </c>
      <c r="C83" s="607" t="n">
        <f aca="false">B83/(CE83*CD83)</f>
        <v>0</v>
      </c>
      <c r="D83" s="607" t="n">
        <f aca="false">BY83+IF(YEAR(A83)=$T$20,$BY$92,0)+IF(YEAR(A83)=$T$21,$BY$93,0)+IF(YEAR(A83)=$T$22,$BY$94,0)</f>
        <v>0</v>
      </c>
      <c r="E83" s="606" t="n">
        <f aca="false">B83+(D83*CD83*CE83)</f>
        <v>0</v>
      </c>
      <c r="F83" s="608" t="n">
        <f aca="false">C83+D83</f>
        <v>0</v>
      </c>
      <c r="G83" s="609" t="n">
        <f aca="false">[1]COMED!$E61</f>
        <v>30.4087142944336</v>
      </c>
      <c r="H83" s="498" t="n">
        <f aca="false">+[1]COMED!$F61</f>
        <v>1.81652250574871E-007</v>
      </c>
      <c r="I83" s="610" t="n">
        <f aca="false">G83+H83</f>
        <v>30.4087144760858</v>
      </c>
      <c r="J83" s="606" t="n">
        <f aca="false">H83*B83</f>
        <v>0</v>
      </c>
      <c r="K83" s="611" t="n">
        <f aca="false">(((I83-AL83)*AK83+(I83-AN83)*AM83+(I83-AP83)*AO83+(I83-AR83)*AQ83+(I83-AT83)*AS83+(I83-AV83)*AU83+(I83-AX83)*AW83+(I83-AZ83)*AY83+(I83-BB83)*BA83+(I83-BD83)*BC83+(I83-BF83)*BE83+(I83-BH83)*BG83+(I83-BJ83)*BI83+(I83-BL83)*BK83+(I83-BN83)*BM83+(I83-BP83)*BO83+(I83-BR83)*BQ83+(I83-BT83)*BS83+(I83-BV83)*BU83+(I83-BX83)*BW83)*CD83*CE83)+CG83+CH83+CI83</f>
        <v>0</v>
      </c>
      <c r="L83" s="612" t="n">
        <f aca="false">J83+K83</f>
        <v>0</v>
      </c>
      <c r="M83" s="46"/>
      <c r="N83" s="614"/>
      <c r="O83" s="615"/>
      <c r="P83" s="615"/>
      <c r="Q83" s="61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512" t="n">
        <f aca="false">A83</f>
        <v>37987</v>
      </c>
      <c r="AK83" s="513"/>
      <c r="AL83" s="514"/>
      <c r="AM83" s="513"/>
      <c r="AN83" s="514"/>
      <c r="AO83" s="513"/>
      <c r="AP83" s="514"/>
      <c r="AQ83" s="513"/>
      <c r="AR83" s="514"/>
      <c r="AS83" s="515"/>
      <c r="AT83" s="516"/>
      <c r="AU83" s="550"/>
      <c r="AV83" s="551"/>
      <c r="AW83" s="550"/>
      <c r="AX83" s="551"/>
      <c r="AY83" s="550"/>
      <c r="AZ83" s="551"/>
      <c r="BA83" s="550"/>
      <c r="BB83" s="551"/>
      <c r="BC83" s="520"/>
      <c r="BD83" s="517"/>
      <c r="BE83" s="520"/>
      <c r="BF83" s="517"/>
      <c r="BG83" s="520"/>
      <c r="BH83" s="517"/>
      <c r="BI83" s="520"/>
      <c r="BJ83" s="517"/>
      <c r="BK83" s="520"/>
      <c r="BL83" s="517"/>
      <c r="BM83" s="520"/>
      <c r="BN83" s="517"/>
      <c r="BO83" s="520"/>
      <c r="BP83" s="517"/>
      <c r="BQ83" s="520"/>
      <c r="BR83" s="517"/>
      <c r="BS83" s="520"/>
      <c r="BT83" s="517"/>
      <c r="BU83" s="520"/>
      <c r="BV83" s="517"/>
      <c r="BW83" s="520"/>
      <c r="BX83" s="517"/>
      <c r="BY83" s="556" t="n">
        <f aca="false">AK83+AM83+AO83+AQ83+AS83+AU83+AW83+AY83+BA83+BC83+BE83+BG83+BI83+BK83+BM83+BO83+BQ83+BS83+BU83+BW83</f>
        <v>0</v>
      </c>
      <c r="BZ83" s="524" t="n">
        <f aca="false">IF(AND(BY83=0,CC83=0),0,(ABS(AK83)*AL83+ABS(AM83)*AN83+ABS(AO83)*AP83+ABS(AQ83)*AR83+ABS(AS83)*AT83+ABS(AU83)*AV83+ABS(AW83)*AX83+ABS(AY83)*AZ83+ABS(BA83)*BB83+ABS(BC83)*BD83+ABS(BE83)*BF83+ABS(BG83)*BH83+ABS(BI83)*BJ83+ABS(BK83)*BL83+ABS(BM83)*BN83+ABS(BO83)*BP83+ABS(BQ83)*BR83+ABS(BS83)*BT83+ABS(BU83)*BV83+ABS(BW83)*BX83)/CC83)</f>
        <v>0</v>
      </c>
      <c r="CB83" s="525" t="n">
        <f aca="false">AJ83</f>
        <v>37987</v>
      </c>
      <c r="CC83" s="222" t="n">
        <f aca="false">ABS(AK83)+ABS(AM83)+ABS(AO83)+ABS(AQ83)+ABS(AS83)+ABS(AU83)+ABS(AW83)+ABS(AY83)+ABS(BA83)+ABS(BC83)+ABS(BE83)+ABS(BG83)+ABS(BI83)+ABS(BK83)+ABS(BM83)+ABS(BO83)+ABS(BQ83)+ABS(BS83)+ABS(BU83)+ABS(BW83)</f>
        <v>0</v>
      </c>
      <c r="CD83" s="526" t="n">
        <f aca="false">CD39</f>
        <v>336</v>
      </c>
      <c r="CE83" s="222" t="n">
        <f aca="false">CE39</f>
        <v>0.900327040464172</v>
      </c>
      <c r="CF83" s="527" t="n">
        <f aca="false">E83-B83</f>
        <v>0</v>
      </c>
      <c r="CG83" s="527" t="n">
        <f aca="false">IF(YEAR($AJ83)=$CG$10,(($I83-$AL$92)*$AK$92+($I83-$AN$92)*$AM$92+($I83-$AP$92)*$AO$92+($I83-$AR$92)*$AQ$92+($I83-$AT$92)*$AS$92+($I83-$AV$92)*$AU$92+($I83-$AX$92)*$AW$92+($I83-$AZ$92)*$AY$92+($I83-$BB$92)*$BA$92+($I83-$BD$92)*$BC$92+($I83-$BF$92)*$BE$92+($I83-$BH$92)*$BG$92+($I83-$BJ$92)*$BI$92+($I83-$BL$92)*$BK$92+($I83-$BN$92)*$BM$92+($I83-$BP$92)*$BO$92+($I83-$BR$92)*$BQ$92+($I83-$BT$92)*$BS$92+($I83-$BV$92)*$BU$92+($I83-$BX$92)*$BW$92)*$CD83*$CE83,0)</f>
        <v>0</v>
      </c>
      <c r="CH83" s="527" t="n">
        <f aca="false">IF(YEAR($AJ83)=$CH$10,(($I83-$AL$93)*$AK$93+($I83-$AN$93)*$AM$93+($I83-$AP$93)*$AO$93+($I83-$AR$93)*$AQ$93+($I83-$AT$93)*$AS$93+($I83-$AV$93)*$AU$93+($I83-$AX$93)*$AW$93+($I83-$AZ$93)*$AY$93+($I83-$BB$93)*$BA$93+($I83-$BD$93)*$BC$93+($I83-$BF$93)*$BE$93+($I83-$BH$93)*$BG$93+($I83-$BJ$93)*$BI$93+($I83-$BL$93)*$BK$93+($I83-$BN$93)*$BM$93+($I83-$BP$93)*$BO$93+($I83-$BR$93)*$BQ$93+($I83-$BT$93)*$BS$93+($I83-$BV$93)*$BU$93+($I83-$BX$93)*$BW$93)*$CD83*$CE83,0)</f>
        <v>0</v>
      </c>
      <c r="CI83" s="527" t="n">
        <f aca="false">IF(YEAR($AJ83)=$CI$10,(($I83-$AL$94)*$AK$94+($I83-$AN$94)*$AM$94+($I83-$AP$94)*$AO$94+($I83-$AR$94)*$AQ$94+($I83-$AT$94)*$AS$94+($I83-$AV$94)*$AU$94+($I83-$AX$94)*$AW$94+($I83-$AZ$94)*$AY$94+($I83-$BB$94)*$BA$94+($I83-$BD$94)*$BC$94+($I83-$BF$94)*$BE$94+($I83-$BH$94)*$BG$94+($I83-$BJ$94)*$BI$94+($I83-$BL$94)*$BK$94+($I83-$BN$94)*$BM$94+($I83-$BP$94)*$BO$94+($I83-$BR$94)*$BQ$94+($I83-$BT$94)*$BS$94+($I83-$BV$94)*$BU$94+($I83-$BX$94)*$BW$94)*$CD83*$CE83,0)</f>
        <v>0</v>
      </c>
      <c r="CJ83" s="439" t="n">
        <f aca="false">CC83*CD83</f>
        <v>0</v>
      </c>
      <c r="CM83" s="530" t="n">
        <f aca="false">+CL39*CF83/10000</f>
        <v>0</v>
      </c>
      <c r="DJ83" s="532" t="n">
        <f aca="false">[1]Cinergy!$D105</f>
        <v>39326</v>
      </c>
      <c r="DK83" s="440" t="n">
        <f aca="false">VLOOKUP(DJ83,DL83:DM324,2)</f>
        <v>19</v>
      </c>
      <c r="DL83" s="533" t="n">
        <v>37895</v>
      </c>
      <c r="DM83" s="459" t="n">
        <v>23</v>
      </c>
      <c r="DP83" s="534" t="n">
        <f aca="false">[1]Cinergy!$D74</f>
        <v>38384</v>
      </c>
      <c r="DQ83" s="234" t="n">
        <f aca="false">[1]OPPD_NPPD!$O74+[1]NSP!$O74</f>
        <v>0</v>
      </c>
      <c r="DR83" s="234" t="n">
        <f aca="false">[1]COMED!$O74</f>
        <v>-13519.8544921875</v>
      </c>
      <c r="DS83" s="234" t="n">
        <f aca="false">DQ83+DR83</f>
        <v>-13519.8544921875</v>
      </c>
      <c r="DT83" s="234" t="n">
        <f aca="false">SUM([1]OPPD_NPPD!$P74:$R74)+SUM([1]NSP!$P74:$R74)</f>
        <v>0</v>
      </c>
      <c r="DU83" s="234" t="n">
        <f aca="false">SUM([1]COMED!$P74:$R74)</f>
        <v>0</v>
      </c>
      <c r="DV83" s="234" t="n">
        <f aca="false">DT83+DU83</f>
        <v>0</v>
      </c>
      <c r="DW83" s="535"/>
      <c r="DX83" s="536" t="n">
        <f aca="false">[1]OtherPosn!$D74</f>
        <v>37257</v>
      </c>
      <c r="DY83" s="234" t="n">
        <f aca="false">[1]OtherPosn!$N74</f>
        <v>69367.5234375</v>
      </c>
      <c r="DZ83" s="234" t="n">
        <f aca="false">SUM([1]OtherPosn!$O74:$P74)</f>
        <v>0</v>
      </c>
      <c r="EO83" s="0"/>
      <c r="EP83" s="0"/>
      <c r="EQ83" s="473"/>
      <c r="ER83" s="473"/>
    </row>
    <row r="84" customFormat="false" ht="18.75" hidden="false" customHeight="false" outlineLevel="0" collapsed="false">
      <c r="A84" s="599" t="n">
        <f aca="false">[1]COMED!$D62</f>
        <v>38018</v>
      </c>
      <c r="B84" s="600" t="n">
        <f aca="false">[1]COMED!$O62</f>
        <v>0</v>
      </c>
      <c r="C84" s="601" t="n">
        <f aca="false">B84/(CE84*CD84)</f>
        <v>0</v>
      </c>
      <c r="D84" s="601" t="n">
        <f aca="false">BY84+IF(YEAR(A84)=$T$20,$BY$92,0)+IF(YEAR(A84)=$T$21,$BY$93,0)+IF(YEAR(A84)=$T$22,$BY$94,0)</f>
        <v>0</v>
      </c>
      <c r="E84" s="600" t="n">
        <f aca="false">B84+(D84*CD84*CE84)</f>
        <v>0</v>
      </c>
      <c r="F84" s="602" t="n">
        <f aca="false">C84+D84</f>
        <v>0</v>
      </c>
      <c r="G84" s="603" t="n">
        <f aca="false">[1]COMED!$E62</f>
        <v>29.8107109069824</v>
      </c>
      <c r="H84" s="498" t="n">
        <f aca="false">+[1]COMED!$F62</f>
        <v>1.81652250574871E-007</v>
      </c>
      <c r="I84" s="604" t="n">
        <f aca="false">G84+H84</f>
        <v>29.8107110886347</v>
      </c>
      <c r="J84" s="600" t="n">
        <f aca="false">H84*B84</f>
        <v>0</v>
      </c>
      <c r="K84" s="163" t="n">
        <f aca="false">(((I84-AL84)*AK84+(I84-AN84)*AM84+(I84-AP84)*AO84+(I84-AR84)*AQ84+(I84-AT84)*AS84+(I84-AV84)*AU84+(I84-AX84)*AW84+(I84-AZ84)*AY84+(I84-BB84)*BA84+(I84-BD84)*BC84+(I84-BF84)*BE84+(I84-BH84)*BG84+(I84-BJ84)*BI84+(I84-BL84)*BK84+(I84-BN84)*BM84+(I84-BP84)*BO84+(I84-BR84)*BQ84+(I84-BT84)*BS84+(I84-BV84)*BU84+(I84-BX84)*BW84)*CD84*CE84)+CG84+CH84+CI84</f>
        <v>0</v>
      </c>
      <c r="L84" s="123" t="n">
        <f aca="false">J84+K84</f>
        <v>0</v>
      </c>
      <c r="M84" s="46"/>
      <c r="N84" s="618"/>
      <c r="O84" s="620"/>
      <c r="P84" s="620"/>
      <c r="Q84" s="621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512" t="n">
        <f aca="false">A84</f>
        <v>38018</v>
      </c>
      <c r="AK84" s="513"/>
      <c r="AL84" s="514"/>
      <c r="AM84" s="513"/>
      <c r="AN84" s="514"/>
      <c r="AO84" s="513"/>
      <c r="AP84" s="514"/>
      <c r="AQ84" s="513"/>
      <c r="AR84" s="514"/>
      <c r="AS84" s="515"/>
      <c r="AT84" s="516"/>
      <c r="AU84" s="550"/>
      <c r="AV84" s="551"/>
      <c r="AW84" s="550"/>
      <c r="AX84" s="551"/>
      <c r="AY84" s="550"/>
      <c r="AZ84" s="551"/>
      <c r="BA84" s="550"/>
      <c r="BB84" s="551"/>
      <c r="BC84" s="520"/>
      <c r="BD84" s="517"/>
      <c r="BE84" s="520"/>
      <c r="BF84" s="517"/>
      <c r="BG84" s="520"/>
      <c r="BH84" s="517"/>
      <c r="BI84" s="520"/>
      <c r="BJ84" s="517"/>
      <c r="BK84" s="520"/>
      <c r="BL84" s="517"/>
      <c r="BM84" s="520"/>
      <c r="BN84" s="517"/>
      <c r="BO84" s="520"/>
      <c r="BP84" s="517"/>
      <c r="BQ84" s="520"/>
      <c r="BR84" s="517"/>
      <c r="BS84" s="520"/>
      <c r="BT84" s="517"/>
      <c r="BU84" s="520"/>
      <c r="BV84" s="517"/>
      <c r="BW84" s="520"/>
      <c r="BX84" s="517"/>
      <c r="BY84" s="556" t="n">
        <f aca="false">AK84+AM84+AO84+AQ84+AS84+AU84+AW84+AY84+BA84+BC84+BE84+BG84+BI84+BK84+BM84+BO84+BQ84+BS84+BU84+BW84</f>
        <v>0</v>
      </c>
      <c r="BZ84" s="524" t="n">
        <f aca="false">IF(AND(BY84=0,CC84=0),0,(ABS(AK84)*AL84+ABS(AM84)*AN84+ABS(AO84)*AP84+ABS(AQ84)*AR84+ABS(AS84)*AT84+ABS(AU84)*AV84+ABS(AW84)*AX84+ABS(AY84)*AZ84+ABS(BA84)*BB84+ABS(BC84)*BD84+ABS(BE84)*BF84+ABS(BG84)*BH84+ABS(BI84)*BJ84+ABS(BK84)*BL84+ABS(BM84)*BN84+ABS(BO84)*BP84+ABS(BQ84)*BR84+ABS(BS84)*BT84+ABS(BU84)*BV84+ABS(BW84)*BX84)/CC84)</f>
        <v>0</v>
      </c>
      <c r="CB84" s="525" t="n">
        <f aca="false">AJ84</f>
        <v>38018</v>
      </c>
      <c r="CC84" s="222" t="n">
        <f aca="false">ABS(AK84)+ABS(AM84)+ABS(AO84)+ABS(AQ84)+ABS(AS84)+ABS(AU84)+ABS(AW84)+ABS(AY84)+ABS(BA84)+ABS(BC84)+ABS(BE84)+ABS(BG84)+ABS(BI84)+ABS(BK84)+ABS(BM84)+ABS(BO84)+ABS(BQ84)+ABS(BS84)+ABS(BU84)+ABS(BW84)</f>
        <v>0</v>
      </c>
      <c r="CD84" s="526" t="n">
        <f aca="false">CD40</f>
        <v>320</v>
      </c>
      <c r="CE84" s="222" t="n">
        <f aca="false">CE40</f>
        <v>0.89631232112195</v>
      </c>
      <c r="CF84" s="527" t="n">
        <f aca="false">E84-B84</f>
        <v>0</v>
      </c>
      <c r="CG84" s="527" t="n">
        <f aca="false">IF(YEAR($AJ84)=$CG$10,(($I84-$AL$92)*$AK$92+($I84-$AN$92)*$AM$92+($I84-$AP$92)*$AO$92+($I84-$AR$92)*$AQ$92+($I84-$AT$92)*$AS$92+($I84-$AV$92)*$AU$92+($I84-$AX$92)*$AW$92+($I84-$AZ$92)*$AY$92+($I84-$BB$92)*$BA$92+($I84-$BD$92)*$BC$92+($I84-$BF$92)*$BE$92+($I84-$BH$92)*$BG$92+($I84-$BJ$92)*$BI$92+($I84-$BL$92)*$BK$92+($I84-$BN$92)*$BM$92+($I84-$BP$92)*$BO$92+($I84-$BR$92)*$BQ$92+($I84-$BT$92)*$BS$92+($I84-$BV$92)*$BU$92+($I84-$BX$92)*$BW$92)*$CD84*$CE84,0)</f>
        <v>0</v>
      </c>
      <c r="CH84" s="527" t="n">
        <f aca="false">IF(YEAR($AJ84)=$CH$10,(($I84-$AL$93)*$AK$93+($I84-$AN$93)*$AM$93+($I84-$AP$93)*$AO$93+($I84-$AR$93)*$AQ$93+($I84-$AT$93)*$AS$93+($I84-$AV$93)*$AU$93+($I84-$AX$93)*$AW$93+($I84-$AZ$93)*$AY$93+($I84-$BB$93)*$BA$93+($I84-$BD$93)*$BC$93+($I84-$BF$93)*$BE$93+($I84-$BH$93)*$BG$93+($I84-$BJ$93)*$BI$93+($I84-$BL$93)*$BK$93+($I84-$BN$93)*$BM$93+($I84-$BP$93)*$BO$93+($I84-$BR$93)*$BQ$93+($I84-$BT$93)*$BS$93+($I84-$BV$93)*$BU$93+($I84-$BX$93)*$BW$93)*$CD84*$CE84,0)</f>
        <v>0</v>
      </c>
      <c r="CI84" s="527" t="n">
        <f aca="false">IF(YEAR($AJ84)=$CI$10,(($I84-$AL$94)*$AK$94+($I84-$AN$94)*$AM$94+($I84-$AP$94)*$AO$94+($I84-$AR$94)*$AQ$94+($I84-$AT$94)*$AS$94+($I84-$AV$94)*$AU$94+($I84-$AX$94)*$AW$94+($I84-$AZ$94)*$AY$94+($I84-$BB$94)*$BA$94+($I84-$BD$94)*$BC$94+($I84-$BF$94)*$BE$94+($I84-$BH$94)*$BG$94+($I84-$BJ$94)*$BI$94+($I84-$BL$94)*$BK$94+($I84-$BN$94)*$BM$94+($I84-$BP$94)*$BO$94+($I84-$BR$94)*$BQ$94+($I84-$BT$94)*$BS$94+($I84-$BV$94)*$BU$94+($I84-$BX$94)*$BW$94)*$CD84*$CE84,0)</f>
        <v>0</v>
      </c>
      <c r="CJ84" s="439" t="n">
        <f aca="false">CC84*CD84</f>
        <v>0</v>
      </c>
      <c r="CM84" s="530" t="n">
        <f aca="false">+CL40*CF84/10000</f>
        <v>0</v>
      </c>
      <c r="DJ84" s="532" t="n">
        <f aca="false">[1]Cinergy!$D106</f>
        <v>39356</v>
      </c>
      <c r="DK84" s="440" t="n">
        <f aca="false">VLOOKUP(DJ84,DL84:DM325,2)</f>
        <v>23</v>
      </c>
      <c r="DL84" s="533" t="n">
        <v>37926</v>
      </c>
      <c r="DM84" s="459" t="n">
        <v>19</v>
      </c>
      <c r="DP84" s="534" t="n">
        <f aca="false">[1]Cinergy!$D75</f>
        <v>38412</v>
      </c>
      <c r="DQ84" s="234" t="n">
        <f aca="false">[1]OPPD_NPPD!$O75+[1]NSP!$O75</f>
        <v>0</v>
      </c>
      <c r="DR84" s="234" t="n">
        <f aca="false">[1]COMED!$O75</f>
        <v>-15470.18359375</v>
      </c>
      <c r="DS84" s="234" t="n">
        <f aca="false">DQ84+DR84</f>
        <v>-15470.18359375</v>
      </c>
      <c r="DT84" s="234" t="n">
        <f aca="false">SUM([1]OPPD_NPPD!$P75:$R75)+SUM([1]NSP!$P75:$R75)</f>
        <v>0</v>
      </c>
      <c r="DU84" s="234" t="n">
        <f aca="false">SUM([1]COMED!$P75:$R75)</f>
        <v>0</v>
      </c>
      <c r="DV84" s="234" t="n">
        <f aca="false">DT84+DU84</f>
        <v>0</v>
      </c>
      <c r="DW84" s="535"/>
      <c r="DX84" s="536" t="n">
        <f aca="false">[1]OtherPosn!$D75</f>
        <v>37288</v>
      </c>
      <c r="DY84" s="234" t="n">
        <f aca="false">[1]OtherPosn!$N75</f>
        <v>62893.38671875</v>
      </c>
      <c r="DZ84" s="234" t="n">
        <f aca="false">SUM([1]OtherPosn!$O75:$P75)</f>
        <v>0</v>
      </c>
    </row>
    <row r="85" customFormat="false" ht="18" hidden="false" customHeight="false" outlineLevel="0" collapsed="false">
      <c r="A85" s="605" t="n">
        <f aca="false">[1]COMED!$D63</f>
        <v>38047</v>
      </c>
      <c r="B85" s="606" t="n">
        <f aca="false">[1]COMED!$O63</f>
        <v>0</v>
      </c>
      <c r="C85" s="607" t="n">
        <f aca="false">B85/(CE85*CD85)</f>
        <v>0</v>
      </c>
      <c r="D85" s="607" t="n">
        <f aca="false">BY85+IF(YEAR(A85)=$T$20,$BY$92,0)+IF(YEAR(A85)=$T$21,$BY$93,0)+IF(YEAR(A85)=$T$22,$BY$94,0)</f>
        <v>0</v>
      </c>
      <c r="E85" s="606" t="n">
        <f aca="false">B85+(D85*CD85*CE85)</f>
        <v>0</v>
      </c>
      <c r="F85" s="608" t="n">
        <f aca="false">C85+D85</f>
        <v>0</v>
      </c>
      <c r="G85" s="609" t="n">
        <f aca="false">[1]COMED!$E63</f>
        <v>29.0226802825928</v>
      </c>
      <c r="H85" s="498" t="n">
        <f aca="false">+[1]COMED!$F63</f>
        <v>-0.250000443569448</v>
      </c>
      <c r="I85" s="610" t="n">
        <f aca="false">G85+H85</f>
        <v>28.7726798390233</v>
      </c>
      <c r="J85" s="606" t="n">
        <f aca="false">H85*B85</f>
        <v>-0</v>
      </c>
      <c r="K85" s="611" t="n">
        <f aca="false">(((I85-AL85)*AK85+(I85-AN85)*AM85+(I85-AP85)*AO85+(I85-AR85)*AQ85+(I85-AT85)*AS85+(I85-AV85)*AU85+(I85-AX85)*AW85+(I85-AZ85)*AY85+(I85-BB85)*BA85+(I85-BD85)*BC85+(I85-BF85)*BE85+(I85-BH85)*BG85+(I85-BJ85)*BI85+(I85-BL85)*BK85+(I85-BN85)*BM85+(I85-BP85)*BO85+(I85-BR85)*BQ85+(I85-BT85)*BS85+(I85-BV85)*BU85+(I85-BX85)*BW85)*CD85*CE85)+CG85+CH85+CI85</f>
        <v>0</v>
      </c>
      <c r="L85" s="612" t="n">
        <f aca="false">J85+K85</f>
        <v>0</v>
      </c>
      <c r="M85" s="46"/>
      <c r="N85" s="614" t="s">
        <v>293</v>
      </c>
      <c r="O85" s="615" t="e">
        <f aca="false">ET54</f>
        <v>#DIV/0!</v>
      </c>
      <c r="P85" s="615" t="e">
        <f aca="false">EU54</f>
        <v>#DIV/0!</v>
      </c>
      <c r="Q85" s="61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512" t="n">
        <f aca="false">A85</f>
        <v>38047</v>
      </c>
      <c r="AK85" s="513"/>
      <c r="AL85" s="514"/>
      <c r="AM85" s="513"/>
      <c r="AN85" s="514"/>
      <c r="AO85" s="513"/>
      <c r="AP85" s="514"/>
      <c r="AQ85" s="513"/>
      <c r="AR85" s="514"/>
      <c r="AS85" s="515"/>
      <c r="AT85" s="516"/>
      <c r="AU85" s="550"/>
      <c r="AV85" s="551"/>
      <c r="AW85" s="550"/>
      <c r="AX85" s="551"/>
      <c r="AY85" s="513"/>
      <c r="AZ85" s="517"/>
      <c r="BA85" s="520"/>
      <c r="BB85" s="517"/>
      <c r="BC85" s="520"/>
      <c r="BD85" s="517"/>
      <c r="BE85" s="520"/>
      <c r="BF85" s="517"/>
      <c r="BG85" s="520"/>
      <c r="BH85" s="517"/>
      <c r="BI85" s="520"/>
      <c r="BJ85" s="517"/>
      <c r="BK85" s="520"/>
      <c r="BL85" s="517"/>
      <c r="BM85" s="520"/>
      <c r="BN85" s="517"/>
      <c r="BO85" s="520"/>
      <c r="BP85" s="517"/>
      <c r="BQ85" s="520"/>
      <c r="BR85" s="517"/>
      <c r="BS85" s="520"/>
      <c r="BT85" s="517"/>
      <c r="BU85" s="520"/>
      <c r="BV85" s="517"/>
      <c r="BW85" s="520"/>
      <c r="BX85" s="517"/>
      <c r="BY85" s="556" t="n">
        <f aca="false">AK85+AM85+AO85+AQ85+AS85+AU85+AW85+AY85+BA85+BC85+BE85+BG85+BI85+BK85+BM85+BO85+BQ85+BS85+BU85+BW85</f>
        <v>0</v>
      </c>
      <c r="BZ85" s="524" t="n">
        <f aca="false">IF(AND(BY85=0,CC85=0),0,(ABS(AK85)*AL85+ABS(AM85)*AN85+ABS(AO85)*AP85+ABS(AQ85)*AR85+ABS(AS85)*AT85+ABS(AU85)*AV85+ABS(AW85)*AX85+ABS(AY85)*AZ85+ABS(BA85)*BB85+ABS(BC85)*BD85+ABS(BE85)*BF85+ABS(BG85)*BH85+ABS(BI85)*BJ85+ABS(BK85)*BL85+ABS(BM85)*BN85+ABS(BO85)*BP85+ABS(BQ85)*BR85+ABS(BS85)*BT85+ABS(BU85)*BV85+ABS(BW85)*BX85)/CC85)</f>
        <v>0</v>
      </c>
      <c r="CB85" s="525" t="n">
        <f aca="false">AJ85</f>
        <v>38047</v>
      </c>
      <c r="CC85" s="222" t="n">
        <f aca="false">ABS(AK85)+ABS(AM85)+ABS(AO85)+ABS(AQ85)+ABS(AS85)+ABS(AU85)+ABS(AW85)+ABS(AY85)+ABS(BA85)+ABS(BC85)+ABS(BE85)+ABS(BG85)+ABS(BI85)+ABS(BK85)+ABS(BM85)+ABS(BO85)+ABS(BQ85)+ABS(BS85)+ABS(BU85)+ABS(BW85)</f>
        <v>0</v>
      </c>
      <c r="CD85" s="526" t="n">
        <f aca="false">CD41</f>
        <v>368</v>
      </c>
      <c r="CE85" s="222" t="n">
        <f aca="false">CE41</f>
        <v>0.89210655360418</v>
      </c>
      <c r="CF85" s="527" t="n">
        <f aca="false">E85-B85</f>
        <v>0</v>
      </c>
      <c r="CG85" s="527" t="n">
        <f aca="false">IF(YEAR($AJ85)=$CG$10,(($I85-$AL$92)*$AK$92+($I85-$AN$92)*$AM$92+($I85-$AP$92)*$AO$92+($I85-$AR$92)*$AQ$92+($I85-$AT$92)*$AS$92+($I85-$AV$92)*$AU$92+($I85-$AX$92)*$AW$92+($I85-$AZ$92)*$AY$92+($I85-$BB$92)*$BA$92+($I85-$BD$92)*$BC$92+($I85-$BF$92)*$BE$92+($I85-$BH$92)*$BG$92+($I85-$BJ$92)*$BI$92+($I85-$BL$92)*$BK$92+($I85-$BN$92)*$BM$92+($I85-$BP$92)*$BO$92+($I85-$BR$92)*$BQ$92+($I85-$BT$92)*$BS$92+($I85-$BV$92)*$BU$92+($I85-$BX$92)*$BW$92)*$CD85*$CE85,0)</f>
        <v>0</v>
      </c>
      <c r="CH85" s="527" t="n">
        <f aca="false">IF(YEAR($AJ85)=$CH$10,(($I85-$AL$93)*$AK$93+($I85-$AN$93)*$AM$93+($I85-$AP$93)*$AO$93+($I85-$AR$93)*$AQ$93+($I85-$AT$93)*$AS$93+($I85-$AV$93)*$AU$93+($I85-$AX$93)*$AW$93+($I85-$AZ$93)*$AY$93+($I85-$BB$93)*$BA$93+($I85-$BD$93)*$BC$93+($I85-$BF$93)*$BE$93+($I85-$BH$93)*$BG$93+($I85-$BJ$93)*$BI$93+($I85-$BL$93)*$BK$93+($I85-$BN$93)*$BM$93+($I85-$BP$93)*$BO$93+($I85-$BR$93)*$BQ$93+($I85-$BT$93)*$BS$93+($I85-$BV$93)*$BU$93+($I85-$BX$93)*$BW$93)*$CD85*$CE85,0)</f>
        <v>0</v>
      </c>
      <c r="CI85" s="527" t="n">
        <f aca="false">IF(YEAR($AJ85)=$CI$10,(($I85-$AL$94)*$AK$94+($I85-$AN$94)*$AM$94+($I85-$AP$94)*$AO$94+($I85-$AR$94)*$AQ$94+($I85-$AT$94)*$AS$94+($I85-$AV$94)*$AU$94+($I85-$AX$94)*$AW$94+($I85-$AZ$94)*$AY$94+($I85-$BB$94)*$BA$94+($I85-$BD$94)*$BC$94+($I85-$BF$94)*$BE$94+($I85-$BH$94)*$BG$94+($I85-$BJ$94)*$BI$94+($I85-$BL$94)*$BK$94+($I85-$BN$94)*$BM$94+($I85-$BP$94)*$BO$94+($I85-$BR$94)*$BQ$94+($I85-$BT$94)*$BS$94+($I85-$BV$94)*$BU$94+($I85-$BX$94)*$BW$94)*$CD85*$CE85,0)</f>
        <v>0</v>
      </c>
      <c r="CJ85" s="439" t="n">
        <f aca="false">CC85*CD85</f>
        <v>0</v>
      </c>
      <c r="CM85" s="530" t="n">
        <f aca="false">+CL41*CF85/10000</f>
        <v>0</v>
      </c>
      <c r="DJ85" s="532" t="n">
        <f aca="false">[1]Cinergy!$D107</f>
        <v>39387</v>
      </c>
      <c r="DK85" s="440" t="n">
        <f aca="false">VLOOKUP(DJ85,DL85:DM326,2)</f>
        <v>21</v>
      </c>
      <c r="DL85" s="533" t="n">
        <v>37956</v>
      </c>
      <c r="DM85" s="459" t="n">
        <v>22</v>
      </c>
      <c r="DP85" s="534" t="n">
        <f aca="false">[1]Cinergy!$D76</f>
        <v>38443</v>
      </c>
      <c r="DQ85" s="234" t="n">
        <f aca="false">[1]OPPD_NPPD!$O76+[1]NSP!$O76</f>
        <v>0</v>
      </c>
      <c r="DR85" s="234" t="n">
        <f aca="false">[1]COMED!$O76</f>
        <v>-14056.44140625</v>
      </c>
      <c r="DS85" s="234" t="n">
        <f aca="false">DQ85+DR85</f>
        <v>-14056.44140625</v>
      </c>
      <c r="DT85" s="234" t="n">
        <f aca="false">SUM([1]OPPD_NPPD!$P76:$R76)+SUM([1]NSP!$P76:$R76)</f>
        <v>0</v>
      </c>
      <c r="DU85" s="234" t="n">
        <f aca="false">SUM([1]COMED!$P76:$R76)</f>
        <v>0</v>
      </c>
      <c r="DV85" s="234" t="n">
        <f aca="false">DT85+DU85</f>
        <v>0</v>
      </c>
      <c r="DW85" s="535"/>
      <c r="DX85" s="536" t="n">
        <f aca="false">[1]OtherPosn!$D76</f>
        <v>37316</v>
      </c>
      <c r="DY85" s="234" t="n">
        <f aca="false">[1]OtherPosn!$N76</f>
        <v>49390.75</v>
      </c>
      <c r="DZ85" s="234" t="n">
        <f aca="false">SUM([1]OtherPosn!$O76:$P76)</f>
        <v>0</v>
      </c>
    </row>
    <row r="86" customFormat="false" ht="18.75" hidden="false" customHeight="false" outlineLevel="0" collapsed="false">
      <c r="A86" s="599" t="n">
        <f aca="false">[1]COMED!$D64</f>
        <v>38078</v>
      </c>
      <c r="B86" s="600" t="n">
        <f aca="false">[1]COMED!$O64</f>
        <v>0</v>
      </c>
      <c r="C86" s="601" t="n">
        <f aca="false">B86/(CE86*CD86)</f>
        <v>0</v>
      </c>
      <c r="D86" s="601" t="n">
        <f aca="false">BY86+IF(YEAR(A86)=$T$20,$BY$92,0)+IF(YEAR(A86)=$T$21,$BY$93,0)+IF(YEAR(A86)=$T$22,$BY$94,0)</f>
        <v>0</v>
      </c>
      <c r="E86" s="600" t="n">
        <f aca="false">B86+(D86*CD86*CE86)</f>
        <v>0</v>
      </c>
      <c r="F86" s="602" t="n">
        <f aca="false">C86+D86</f>
        <v>0</v>
      </c>
      <c r="G86" s="603" t="n">
        <f aca="false">[1]COMED!$E64</f>
        <v>29.2226734161377</v>
      </c>
      <c r="H86" s="498" t="n">
        <f aca="false">+[1]COMED!$F64</f>
        <v>-0.250000443569448</v>
      </c>
      <c r="I86" s="604" t="n">
        <f aca="false">G86+H86</f>
        <v>28.9726729725682</v>
      </c>
      <c r="J86" s="600" t="n">
        <f aca="false">H86*B86</f>
        <v>-0</v>
      </c>
      <c r="K86" s="163" t="n">
        <f aca="false">(((I86-AL86)*AK86+(I86-AN86)*AM86+(I86-AP86)*AO86+(I86-AR86)*AQ86+(I86-AT86)*AS86+(I86-AV86)*AU86+(I86-AX86)*AW86+(I86-AZ86)*AY86+(I86-BB86)*BA86+(I86-BD86)*BC86+(I86-BF86)*BE86+(I86-BH86)*BG86+(I86-BJ86)*BI86+(I86-BL86)*BK86+(I86-BN86)*BM86+(I86-BP86)*BO86+(I86-BR86)*BQ86+(I86-BT86)*BS86+(I86-BV86)*BU86+(I86-BX86)*BW86)*CD86*CE86)+CG86+CH86+CI86</f>
        <v>0</v>
      </c>
      <c r="L86" s="123" t="n">
        <f aca="false">J86+K86</f>
        <v>0</v>
      </c>
      <c r="M86" s="46"/>
      <c r="N86" s="618" t="s">
        <v>294</v>
      </c>
      <c r="O86" s="620" t="n">
        <v>36</v>
      </c>
      <c r="P86" s="620" t="n">
        <v>39.5</v>
      </c>
      <c r="Q86" s="621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512" t="n">
        <f aca="false">A86</f>
        <v>38078</v>
      </c>
      <c r="AK86" s="513"/>
      <c r="AL86" s="514"/>
      <c r="AM86" s="513"/>
      <c r="AN86" s="514"/>
      <c r="AO86" s="513"/>
      <c r="AP86" s="514"/>
      <c r="AQ86" s="513"/>
      <c r="AR86" s="514"/>
      <c r="AS86" s="515"/>
      <c r="AT86" s="516"/>
      <c r="AU86" s="550"/>
      <c r="AV86" s="551"/>
      <c r="AW86" s="550"/>
      <c r="AX86" s="551"/>
      <c r="AY86" s="513"/>
      <c r="AZ86" s="517"/>
      <c r="BA86" s="520"/>
      <c r="BB86" s="517"/>
      <c r="BC86" s="520"/>
      <c r="BD86" s="517"/>
      <c r="BE86" s="520"/>
      <c r="BF86" s="517"/>
      <c r="BG86" s="520"/>
      <c r="BH86" s="517"/>
      <c r="BI86" s="520"/>
      <c r="BJ86" s="517"/>
      <c r="BK86" s="520"/>
      <c r="BL86" s="517"/>
      <c r="BM86" s="520"/>
      <c r="BN86" s="517"/>
      <c r="BO86" s="520"/>
      <c r="BP86" s="517"/>
      <c r="BQ86" s="520"/>
      <c r="BR86" s="517"/>
      <c r="BS86" s="520"/>
      <c r="BT86" s="517"/>
      <c r="BU86" s="520"/>
      <c r="BV86" s="517"/>
      <c r="BW86" s="520"/>
      <c r="BX86" s="517"/>
      <c r="BY86" s="556" t="n">
        <f aca="false">AK86+AM86+AO86+AQ86+AS86+AU86+AW86+AY86+BA86+BC86+BE86+BG86+BI86+BK86+BM86+BO86+BQ86+BS86+BU86+BW86</f>
        <v>0</v>
      </c>
      <c r="BZ86" s="524" t="n">
        <f aca="false">IF(AND(BY86=0,CC86=0),0,(ABS(AK86)*AL86+ABS(AM86)*AN86+ABS(AO86)*AP86+ABS(AQ86)*AR86+ABS(AS86)*AT86+ABS(AU86)*AV86+ABS(AW86)*AX86+ABS(AY86)*AZ86+ABS(BA86)*BB86+ABS(BC86)*BD86+ABS(BE86)*BF86+ABS(BG86)*BH86+ABS(BI86)*BJ86+ABS(BK86)*BL86+ABS(BM86)*BN86+ABS(BO86)*BP86+ABS(BQ86)*BR86+ABS(BS86)*BT86+ABS(BU86)*BV86+ABS(BW86)*BX86)/CC86)</f>
        <v>0</v>
      </c>
      <c r="CB86" s="525" t="n">
        <f aca="false">AJ86</f>
        <v>38078</v>
      </c>
      <c r="CC86" s="222" t="n">
        <f aca="false">ABS(AK86)+ABS(AM86)+ABS(AO86)+ABS(AQ86)+ABS(AS86)+ABS(AU86)+ABS(AW86)+ABS(AY86)+ABS(BA86)+ABS(BC86)+ABS(BE86)+ABS(BG86)+ABS(BI86)+ABS(BK86)+ABS(BM86)+ABS(BO86)+ABS(BQ86)+ABS(BS86)+ABS(BU86)+ABS(BW86)</f>
        <v>0</v>
      </c>
      <c r="CD86" s="526" t="n">
        <f aca="false">CD42</f>
        <v>352</v>
      </c>
      <c r="CE86" s="222" t="n">
        <f aca="false">CE42</f>
        <v>0.887971862487145</v>
      </c>
      <c r="CF86" s="527" t="n">
        <f aca="false">E86-B86</f>
        <v>0</v>
      </c>
      <c r="CG86" s="527" t="n">
        <f aca="false">IF(YEAR($AJ86)=$CG$10,(($I86-$AL$92)*$AK$92+($I86-$AN$92)*$AM$92+($I86-$AP$92)*$AO$92+($I86-$AR$92)*$AQ$92+($I86-$AT$92)*$AS$92+($I86-$AV$92)*$AU$92+($I86-$AX$92)*$AW$92+($I86-$AZ$92)*$AY$92+($I86-$BB$92)*$BA$92+($I86-$BD$92)*$BC$92+($I86-$BF$92)*$BE$92+($I86-$BH$92)*$BG$92+($I86-$BJ$92)*$BI$92+($I86-$BL$92)*$BK$92+($I86-$BN$92)*$BM$92+($I86-$BP$92)*$BO$92+($I86-$BR$92)*$BQ$92+($I86-$BT$92)*$BS$92+($I86-$BV$92)*$BU$92+($I86-$BX$92)*$BW$92)*$CD86*$CE86,0)</f>
        <v>0</v>
      </c>
      <c r="CH86" s="527" t="n">
        <f aca="false">IF(YEAR($AJ86)=$CH$10,(($I86-$AL$93)*$AK$93+($I86-$AN$93)*$AM$93+($I86-$AP$93)*$AO$93+($I86-$AR$93)*$AQ$93+($I86-$AT$93)*$AS$93+($I86-$AV$93)*$AU$93+($I86-$AX$93)*$AW$93+($I86-$AZ$93)*$AY$93+($I86-$BB$93)*$BA$93+($I86-$BD$93)*$BC$93+($I86-$BF$93)*$BE$93+($I86-$BH$93)*$BG$93+($I86-$BJ$93)*$BI$93+($I86-$BL$93)*$BK$93+($I86-$BN$93)*$BM$93+($I86-$BP$93)*$BO$93+($I86-$BR$93)*$BQ$93+($I86-$BT$93)*$BS$93+($I86-$BV$93)*$BU$93+($I86-$BX$93)*$BW$93)*$CD86*$CE86,0)</f>
        <v>0</v>
      </c>
      <c r="CI86" s="527" t="n">
        <f aca="false">IF(YEAR($AJ86)=$CI$10,(($I86-$AL$94)*$AK$94+($I86-$AN$94)*$AM$94+($I86-$AP$94)*$AO$94+($I86-$AR$94)*$AQ$94+($I86-$AT$94)*$AS$94+($I86-$AV$94)*$AU$94+($I86-$AX$94)*$AW$94+($I86-$AZ$94)*$AY$94+($I86-$BB$94)*$BA$94+($I86-$BD$94)*$BC$94+($I86-$BF$94)*$BE$94+($I86-$BH$94)*$BG$94+($I86-$BJ$94)*$BI$94+($I86-$BL$94)*$BK$94+($I86-$BN$94)*$BM$94+($I86-$BP$94)*$BO$94+($I86-$BR$94)*$BQ$94+($I86-$BT$94)*$BS$94+($I86-$BV$94)*$BU$94+($I86-$BX$94)*$BW$94)*$CD86*$CE86,0)</f>
        <v>0</v>
      </c>
      <c r="CJ86" s="439" t="n">
        <f aca="false">CC86*CD86</f>
        <v>0</v>
      </c>
      <c r="CM86" s="530" t="n">
        <f aca="false">+CL42*CF86/10000</f>
        <v>0</v>
      </c>
      <c r="DJ86" s="532" t="n">
        <f aca="false">[1]Cinergy!$D108</f>
        <v>39417</v>
      </c>
      <c r="DK86" s="440" t="n">
        <f aca="false">VLOOKUP(DJ86,DL86:DM327,2)</f>
        <v>20</v>
      </c>
      <c r="DL86" s="533" t="n">
        <v>37987</v>
      </c>
      <c r="DM86" s="459" t="n">
        <v>21</v>
      </c>
      <c r="DP86" s="534" t="n">
        <f aca="false">[1]Cinergy!$D77</f>
        <v>38473</v>
      </c>
      <c r="DQ86" s="234" t="n">
        <f aca="false">[1]OPPD_NPPD!$O77+[1]NSP!$O77</f>
        <v>0</v>
      </c>
      <c r="DR86" s="234" t="n">
        <f aca="false">[1]COMED!$O77</f>
        <v>-13985.68359375</v>
      </c>
      <c r="DS86" s="234" t="n">
        <f aca="false">DQ86+DR86</f>
        <v>-13985.68359375</v>
      </c>
      <c r="DT86" s="234" t="n">
        <f aca="false">SUM([1]OPPD_NPPD!$P77:$R77)+SUM([1]NSP!$P77:$R77)</f>
        <v>0</v>
      </c>
      <c r="DU86" s="234" t="n">
        <f aca="false">SUM([1]COMED!$P77:$R77)</f>
        <v>0</v>
      </c>
      <c r="DV86" s="234" t="n">
        <f aca="false">DT86+DU86</f>
        <v>0</v>
      </c>
      <c r="DW86" s="535"/>
      <c r="DX86" s="536" t="n">
        <f aca="false">[1]OtherPosn!$D77</f>
        <v>37347</v>
      </c>
      <c r="DY86" s="234" t="n">
        <f aca="false">[1]OtherPosn!$N77</f>
        <v>51581.5390625</v>
      </c>
      <c r="DZ86" s="234" t="n">
        <f aca="false">SUM([1]OtherPosn!$O77:$P77)</f>
        <v>0</v>
      </c>
    </row>
    <row r="87" customFormat="false" ht="18" hidden="false" customHeight="false" outlineLevel="0" collapsed="false">
      <c r="A87" s="605" t="n">
        <f aca="false">[1]COMED!$D65</f>
        <v>38108</v>
      </c>
      <c r="B87" s="606" t="n">
        <f aca="false">[1]COMED!$O65</f>
        <v>0</v>
      </c>
      <c r="C87" s="607" t="n">
        <f aca="false">B87/(CE87*CD87)</f>
        <v>0</v>
      </c>
      <c r="D87" s="607" t="n">
        <f aca="false">BY87+IF(YEAR(A87)=$T$20,$BY$92,0)+IF(YEAR(A87)=$T$21,$BY$93,0)+IF(YEAR(A87)=$T$22,$BY$94,0)</f>
        <v>0</v>
      </c>
      <c r="E87" s="606" t="n">
        <f aca="false">B87+(D87*CD87*CE87)</f>
        <v>0</v>
      </c>
      <c r="F87" s="608" t="n">
        <f aca="false">C87+D87</f>
        <v>0</v>
      </c>
      <c r="G87" s="609" t="n">
        <f aca="false">[1]COMED!$E65</f>
        <v>29.375</v>
      </c>
      <c r="H87" s="498" t="n">
        <f aca="false">+[1]COMED!$F65</f>
        <v>0</v>
      </c>
      <c r="I87" s="610" t="n">
        <f aca="false">G87+H87</f>
        <v>29.375</v>
      </c>
      <c r="J87" s="606" t="n">
        <f aca="false">H87*B87</f>
        <v>0</v>
      </c>
      <c r="K87" s="611" t="n">
        <f aca="false">(((I87-AL87)*AK87+(I87-AN87)*AM87+(I87-AP87)*AO87+(I87-AR87)*AQ87+(I87-AT87)*AS87+(I87-AV87)*AU87+(I87-AX87)*AW87+(I87-AZ87)*AY87+(I87-BB87)*BA87+(I87-BD87)*BC87+(I87-BF87)*BE87+(I87-BH87)*BG87+(I87-BJ87)*BI87+(I87-BL87)*BK87+(I87-BN87)*BM87+(I87-BP87)*BO87+(I87-BR87)*BQ87+(I87-BT87)*BS87+(I87-BV87)*BU87+(I87-BX87)*BW87)*CD87*CE87)+CG87+CH87+CI87</f>
        <v>0</v>
      </c>
      <c r="L87" s="612" t="n">
        <f aca="false">J87+K87</f>
        <v>0</v>
      </c>
      <c r="M87" s="46"/>
      <c r="N87" s="614"/>
      <c r="O87" s="615"/>
      <c r="P87" s="615"/>
      <c r="Q87" s="61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512" t="n">
        <f aca="false">A87</f>
        <v>38108</v>
      </c>
      <c r="AK87" s="513"/>
      <c r="AL87" s="514"/>
      <c r="AM87" s="513"/>
      <c r="AN87" s="514"/>
      <c r="AO87" s="513"/>
      <c r="AP87" s="514"/>
      <c r="AQ87" s="513"/>
      <c r="AR87" s="514"/>
      <c r="AS87" s="515"/>
      <c r="AT87" s="516"/>
      <c r="AU87" s="513"/>
      <c r="AV87" s="517"/>
      <c r="AW87" s="520"/>
      <c r="AX87" s="517"/>
      <c r="AY87" s="513"/>
      <c r="AZ87" s="517"/>
      <c r="BA87" s="520"/>
      <c r="BB87" s="517"/>
      <c r="BC87" s="520"/>
      <c r="BD87" s="517"/>
      <c r="BE87" s="520"/>
      <c r="BF87" s="517"/>
      <c r="BG87" s="520"/>
      <c r="BH87" s="517"/>
      <c r="BI87" s="520"/>
      <c r="BJ87" s="517"/>
      <c r="BK87" s="520"/>
      <c r="BL87" s="517"/>
      <c r="BM87" s="520"/>
      <c r="BN87" s="517"/>
      <c r="BO87" s="520"/>
      <c r="BP87" s="517"/>
      <c r="BQ87" s="520"/>
      <c r="BR87" s="517"/>
      <c r="BS87" s="520"/>
      <c r="BT87" s="517"/>
      <c r="BU87" s="520"/>
      <c r="BV87" s="517"/>
      <c r="BW87" s="520"/>
      <c r="BX87" s="517"/>
      <c r="BY87" s="556" t="n">
        <f aca="false">AK87+AM87+AO87+AQ87+AS87+AU87+AW87+AY87+BA87+BC87+BE87+BG87+BI87+BK87+BM87+BO87+BQ87+BS87+BU87+BW87</f>
        <v>0</v>
      </c>
      <c r="BZ87" s="524" t="n">
        <f aca="false">IF(AND(BY87=0,CC87=0),0,(ABS(AK87)*AL87+ABS(AM87)*AN87+ABS(AO87)*AP87+ABS(AQ87)*AR87+ABS(AS87)*AT87+ABS(AU87)*AV87+ABS(AW87)*AX87+ABS(AY87)*AZ87+ABS(BA87)*BB87+ABS(BC87)*BD87+ABS(BE87)*BF87+ABS(BG87)*BH87+ABS(BI87)*BJ87+ABS(BK87)*BL87+ABS(BM87)*BN87+ABS(BO87)*BP87+ABS(BQ87)*BR87+ABS(BS87)*BT87+ABS(BU87)*BV87+ABS(BW87)*BX87)/CC87)</f>
        <v>0</v>
      </c>
      <c r="CB87" s="525" t="n">
        <f aca="false">AJ87</f>
        <v>38108</v>
      </c>
      <c r="CC87" s="222" t="n">
        <f aca="false">ABS(AK87)+ABS(AM87)+ABS(AO87)+ABS(AQ87)+ABS(AS87)+ABS(AU87)+ABS(AW87)+ABS(AY87)+ABS(BA87)+ABS(BC87)+ABS(BE87)+ABS(BG87)+ABS(BI87)+ABS(BK87)+ABS(BM87)+ABS(BO87)+ABS(BQ87)+ABS(BS87)+ABS(BU87)+ABS(BW87)</f>
        <v>0</v>
      </c>
      <c r="CD87" s="526" t="n">
        <f aca="false">CD43</f>
        <v>320</v>
      </c>
      <c r="CE87" s="222" t="n">
        <f aca="false">CE43</f>
        <v>0.883796963637421</v>
      </c>
      <c r="CF87" s="527" t="n">
        <f aca="false">E87-B87</f>
        <v>0</v>
      </c>
      <c r="CG87" s="527" t="n">
        <f aca="false">IF(YEAR($AJ87)=$CG$10,(($I87-$AL$92)*$AK$92+($I87-$AN$92)*$AM$92+($I87-$AP$92)*$AO$92+($I87-$AR$92)*$AQ$92+($I87-$AT$92)*$AS$92+($I87-$AV$92)*$AU$92+($I87-$AX$92)*$AW$92+($I87-$AZ$92)*$AY$92+($I87-$BB$92)*$BA$92+($I87-$BD$92)*$BC$92+($I87-$BF$92)*$BE$92+($I87-$BH$92)*$BG$92+($I87-$BJ$92)*$BI$92+($I87-$BL$92)*$BK$92+($I87-$BN$92)*$BM$92+($I87-$BP$92)*$BO$92+($I87-$BR$92)*$BQ$92+($I87-$BT$92)*$BS$92+($I87-$BV$92)*$BU$92+($I87-$BX$92)*$BW$92)*$CD87*$CE87,0)</f>
        <v>0</v>
      </c>
      <c r="CH87" s="527" t="n">
        <f aca="false">IF(YEAR($AJ87)=$CH$10,(($I87-$AL$93)*$AK$93+($I87-$AN$93)*$AM$93+($I87-$AP$93)*$AO$93+($I87-$AR$93)*$AQ$93+($I87-$AT$93)*$AS$93+($I87-$AV$93)*$AU$93+($I87-$AX$93)*$AW$93+($I87-$AZ$93)*$AY$93+($I87-$BB$93)*$BA$93+($I87-$BD$93)*$BC$93+($I87-$BF$93)*$BE$93+($I87-$BH$93)*$BG$93+($I87-$BJ$93)*$BI$93+($I87-$BL$93)*$BK$93+($I87-$BN$93)*$BM$93+($I87-$BP$93)*$BO$93+($I87-$BR$93)*$BQ$93+($I87-$BT$93)*$BS$93+($I87-$BV$93)*$BU$93+($I87-$BX$93)*$BW$93)*$CD87*$CE87,0)</f>
        <v>0</v>
      </c>
      <c r="CI87" s="527" t="n">
        <f aca="false">IF(YEAR($AJ87)=$CI$10,(($I87-$AL$94)*$AK$94+($I87-$AN$94)*$AM$94+($I87-$AP$94)*$AO$94+($I87-$AR$94)*$AQ$94+($I87-$AT$94)*$AS$94+($I87-$AV$94)*$AU$94+($I87-$AX$94)*$AW$94+($I87-$AZ$94)*$AY$94+($I87-$BB$94)*$BA$94+($I87-$BD$94)*$BC$94+($I87-$BF$94)*$BE$94+($I87-$BH$94)*$BG$94+($I87-$BJ$94)*$BI$94+($I87-$BL$94)*$BK$94+($I87-$BN$94)*$BM$94+($I87-$BP$94)*$BO$94+($I87-$BR$94)*$BQ$94+($I87-$BT$94)*$BS$94+($I87-$BV$94)*$BU$94+($I87-$BX$94)*$BW$94)*$CD87*$CE87,0)</f>
        <v>0</v>
      </c>
      <c r="CJ87" s="439" t="n">
        <f aca="false">CC87*CD87</f>
        <v>0</v>
      </c>
      <c r="CM87" s="530" t="n">
        <f aca="false">+CL43*CF87/10000</f>
        <v>0</v>
      </c>
      <c r="DJ87" s="532" t="n">
        <f aca="false">[1]Cinergy!$D109</f>
        <v>39448</v>
      </c>
      <c r="DK87" s="440" t="n">
        <f aca="false">VLOOKUP(DJ87,DL87:DM328,2)</f>
        <v>22</v>
      </c>
      <c r="DL87" s="533" t="n">
        <v>38018</v>
      </c>
      <c r="DM87" s="459" t="n">
        <v>20</v>
      </c>
      <c r="DP87" s="534" t="n">
        <f aca="false">[1]Cinergy!$D78</f>
        <v>38504</v>
      </c>
      <c r="DQ87" s="234" t="n">
        <f aca="false">[1]OPPD_NPPD!$O78+[1]NSP!$O78</f>
        <v>0</v>
      </c>
      <c r="DR87" s="234" t="n">
        <f aca="false">[1]COMED!$O78</f>
        <v>-14580.1669921875</v>
      </c>
      <c r="DS87" s="234" t="n">
        <f aca="false">DQ87+DR87</f>
        <v>-14580.1669921875</v>
      </c>
      <c r="DT87" s="234" t="n">
        <f aca="false">SUM([1]OPPD_NPPD!$P78:$R78)+SUM([1]NSP!$P78:$R78)</f>
        <v>0</v>
      </c>
      <c r="DU87" s="234" t="n">
        <f aca="false">SUM([1]COMED!$P78:$R78)</f>
        <v>0</v>
      </c>
      <c r="DV87" s="234" t="n">
        <f aca="false">DT87+DU87</f>
        <v>0</v>
      </c>
      <c r="DW87" s="535"/>
      <c r="DX87" s="536" t="n">
        <f aca="false">[1]OtherPosn!$D78</f>
        <v>37377</v>
      </c>
      <c r="DY87" s="234" t="n">
        <f aca="false">[1]OtherPosn!$N78</f>
        <v>68566.265625</v>
      </c>
      <c r="DZ87" s="234" t="n">
        <f aca="false">SUM([1]OtherPosn!$O78:$P78)</f>
        <v>0</v>
      </c>
    </row>
    <row r="88" customFormat="false" ht="18.75" hidden="false" customHeight="false" outlineLevel="0" collapsed="false">
      <c r="A88" s="599" t="n">
        <f aca="false">[1]COMED!$D66</f>
        <v>38139</v>
      </c>
      <c r="B88" s="600" t="n">
        <f aca="false">[1]COMED!$O66</f>
        <v>0</v>
      </c>
      <c r="C88" s="601" t="n">
        <f aca="false">B88/(CE88*CD88)</f>
        <v>0</v>
      </c>
      <c r="D88" s="601" t="n">
        <f aca="false">BY88+IF(YEAR(A88)=$T$20,$BY$92,0)+IF(YEAR(A88)=$T$21,$BY$93,0)+IF(YEAR(A88)=$T$22,$BY$94,0)</f>
        <v>0</v>
      </c>
      <c r="E88" s="600" t="n">
        <f aca="false">B88+(D88*CD88*CE88)</f>
        <v>0</v>
      </c>
      <c r="F88" s="602" t="n">
        <f aca="false">C88+D88</f>
        <v>0</v>
      </c>
      <c r="G88" s="603" t="n">
        <f aca="false">[1]COMED!$E66</f>
        <v>37.4500045776367</v>
      </c>
      <c r="H88" s="498" t="n">
        <f aca="false">+[1]COMED!$F66</f>
        <v>-0.5</v>
      </c>
      <c r="I88" s="604" t="n">
        <f aca="false">G88+H88</f>
        <v>36.9500045776367</v>
      </c>
      <c r="J88" s="600" t="n">
        <f aca="false">H88*B88</f>
        <v>-0</v>
      </c>
      <c r="K88" s="163" t="n">
        <f aca="false">(((I88-AL88)*AK88+(I88-AN88)*AM88+(I88-AP88)*AO88+(I88-AR88)*AQ88+(I88-AT88)*AS88+(I88-AV88)*AU88+(I88-AX88)*AW88+(I88-AZ88)*AY88+(I88-BB88)*BA88+(I88-BD88)*BC88+(I88-BF88)*BE88+(I88-BH88)*BG88+(I88-BJ88)*BI88+(I88-BL88)*BK88+(I88-BN88)*BM88+(I88-BP88)*BO88+(I88-BR88)*BQ88+(I88-BT88)*BS88+(I88-BV88)*BU88+(I88-BX88)*BW88)*CD88*CE88)+CG88+CH88+CI88</f>
        <v>0</v>
      </c>
      <c r="L88" s="123" t="n">
        <f aca="false">J88+K88</f>
        <v>0</v>
      </c>
      <c r="M88" s="46"/>
      <c r="N88" s="618"/>
      <c r="O88" s="620"/>
      <c r="P88" s="620"/>
      <c r="Q88" s="621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512" t="n">
        <f aca="false">A88</f>
        <v>38139</v>
      </c>
      <c r="AK88" s="513"/>
      <c r="AL88" s="514"/>
      <c r="AM88" s="513"/>
      <c r="AN88" s="514"/>
      <c r="AO88" s="513"/>
      <c r="AP88" s="514"/>
      <c r="AQ88" s="513"/>
      <c r="AR88" s="514"/>
      <c r="AS88" s="515"/>
      <c r="AT88" s="516"/>
      <c r="AU88" s="513"/>
      <c r="AV88" s="517"/>
      <c r="AW88" s="520"/>
      <c r="AX88" s="517"/>
      <c r="AY88" s="513"/>
      <c r="AZ88" s="517"/>
      <c r="BA88" s="520"/>
      <c r="BB88" s="517"/>
      <c r="BC88" s="520"/>
      <c r="BD88" s="517"/>
      <c r="BE88" s="520"/>
      <c r="BF88" s="517"/>
      <c r="BG88" s="520"/>
      <c r="BH88" s="517"/>
      <c r="BI88" s="520"/>
      <c r="BJ88" s="517"/>
      <c r="BK88" s="520"/>
      <c r="BL88" s="517"/>
      <c r="BM88" s="520"/>
      <c r="BN88" s="517"/>
      <c r="BO88" s="520"/>
      <c r="BP88" s="517"/>
      <c r="BQ88" s="520"/>
      <c r="BR88" s="517"/>
      <c r="BS88" s="520"/>
      <c r="BT88" s="517"/>
      <c r="BU88" s="520"/>
      <c r="BV88" s="517"/>
      <c r="BW88" s="520"/>
      <c r="BX88" s="517"/>
      <c r="BY88" s="556" t="n">
        <f aca="false">AK88+AM88+AO88+AQ88+AS88+AU88+AW88+AY88+BA88+BC88+BE88+BG88+BI88+BK88+BM88+BO88+BQ88+BS88+BU88+BW88</f>
        <v>0</v>
      </c>
      <c r="BZ88" s="524" t="n">
        <f aca="false">IF(AND(BY88=0,CC88=0),0,(ABS(AK88)*AL88+ABS(AM88)*AN88+ABS(AO88)*AP88+ABS(AQ88)*AR88+ABS(AS88)*AT88+ABS(AU88)*AV88+ABS(AW88)*AX88+ABS(AY88)*AZ88+ABS(BA88)*BB88+ABS(BC88)*BD88+ABS(BE88)*BF88+ABS(BG88)*BH88+ABS(BI88)*BJ88+ABS(BK88)*BL88+ABS(BM88)*BN88+ABS(BO88)*BP88+ABS(BQ88)*BR88+ABS(BS88)*BT88+ABS(BU88)*BV88+ABS(BW88)*BX88)/CC88)</f>
        <v>0</v>
      </c>
      <c r="CB88" s="525" t="n">
        <f aca="false">AJ88</f>
        <v>38139</v>
      </c>
      <c r="CC88" s="222" t="n">
        <f aca="false">ABS(AK88)+ABS(AM88)+ABS(AO88)+ABS(AQ88)+ABS(AS88)+ABS(AU88)+ABS(AW88)+ABS(AY88)+ABS(BA88)+ABS(BC88)+ABS(BE88)+ABS(BG88)+ABS(BI88)+ABS(BK88)+ABS(BM88)+ABS(BO88)+ABS(BQ88)+ABS(BS88)+ABS(BU88)+ABS(BW88)</f>
        <v>0</v>
      </c>
      <c r="CD88" s="526" t="n">
        <f aca="false">CD44</f>
        <v>352</v>
      </c>
      <c r="CE88" s="222" t="n">
        <f aca="false">CE44</f>
        <v>0.879667284283552</v>
      </c>
      <c r="CF88" s="527" t="n">
        <f aca="false">E88-B88</f>
        <v>0</v>
      </c>
      <c r="CG88" s="527" t="n">
        <f aca="false">IF(YEAR($AJ88)=$CG$10,(($I88-$AL$92)*$AK$92+($I88-$AN$92)*$AM$92+($I88-$AP$92)*$AO$92+($I88-$AR$92)*$AQ$92+($I88-$AT$92)*$AS$92+($I88-$AV$92)*$AU$92+($I88-$AX$92)*$AW$92+($I88-$AZ$92)*$AY$92+($I88-$BB$92)*$BA$92+($I88-$BD$92)*$BC$92+($I88-$BF$92)*$BE$92+($I88-$BH$92)*$BG$92+($I88-$BJ$92)*$BI$92+($I88-$BL$92)*$BK$92+($I88-$BN$92)*$BM$92+($I88-$BP$92)*$BO$92+($I88-$BR$92)*$BQ$92+($I88-$BT$92)*$BS$92+($I88-$BV$92)*$BU$92+($I88-$BX$92)*$BW$92)*$CD88*$CE88,0)</f>
        <v>0</v>
      </c>
      <c r="CH88" s="527" t="n">
        <f aca="false">IF(YEAR($AJ88)=$CH$10,(($I88-$AL$93)*$AK$93+($I88-$AN$93)*$AM$93+($I88-$AP$93)*$AO$93+($I88-$AR$93)*$AQ$93+($I88-$AT$93)*$AS$93+($I88-$AV$93)*$AU$93+($I88-$AX$93)*$AW$93+($I88-$AZ$93)*$AY$93+($I88-$BB$93)*$BA$93+($I88-$BD$93)*$BC$93+($I88-$BF$93)*$BE$93+($I88-$BH$93)*$BG$93+($I88-$BJ$93)*$BI$93+($I88-$BL$93)*$BK$93+($I88-$BN$93)*$BM$93+($I88-$BP$93)*$BO$93+($I88-$BR$93)*$BQ$93+($I88-$BT$93)*$BS$93+($I88-$BV$93)*$BU$93+($I88-$BX$93)*$BW$93)*$CD88*$CE88,0)</f>
        <v>0</v>
      </c>
      <c r="CI88" s="527" t="n">
        <f aca="false">IF(YEAR($AJ88)=$CI$10,(($I88-$AL$94)*$AK$94+($I88-$AN$94)*$AM$94+($I88-$AP$94)*$AO$94+($I88-$AR$94)*$AQ$94+($I88-$AT$94)*$AS$94+($I88-$AV$94)*$AU$94+($I88-$AX$94)*$AW$94+($I88-$AZ$94)*$AY$94+($I88-$BB$94)*$BA$94+($I88-$BD$94)*$BC$94+($I88-$BF$94)*$BE$94+($I88-$BH$94)*$BG$94+($I88-$BJ$94)*$BI$94+($I88-$BL$94)*$BK$94+($I88-$BN$94)*$BM$94+($I88-$BP$94)*$BO$94+($I88-$BR$94)*$BQ$94+($I88-$BT$94)*$BS$94+($I88-$BV$94)*$BU$94+($I88-$BX$94)*$BW$94)*$CD88*$CE88,0)</f>
        <v>0</v>
      </c>
      <c r="CJ88" s="439" t="n">
        <f aca="false">CC88*CD88</f>
        <v>0</v>
      </c>
      <c r="CM88" s="530" t="n">
        <f aca="false">+CL44*CF88/10000</f>
        <v>0</v>
      </c>
      <c r="DJ88" s="532" t="n">
        <f aca="false">[1]Cinergy!$D110</f>
        <v>39479</v>
      </c>
      <c r="DK88" s="440" t="n">
        <f aca="false">VLOOKUP(DJ88,DL88:DM329,2)</f>
        <v>21</v>
      </c>
      <c r="DL88" s="533" t="n">
        <v>38047</v>
      </c>
      <c r="DM88" s="459" t="n">
        <v>23</v>
      </c>
      <c r="DP88" s="534" t="n">
        <f aca="false">[1]Cinergy!$D79</f>
        <v>38534</v>
      </c>
      <c r="DQ88" s="234" t="n">
        <f aca="false">[1]OPPD_NPPD!$O79+[1]NSP!$O79</f>
        <v>0</v>
      </c>
      <c r="DR88" s="234" t="n">
        <f aca="false">[1]COMED!$O79</f>
        <v>-13187.482421875</v>
      </c>
      <c r="DS88" s="234" t="n">
        <f aca="false">DQ88+DR88</f>
        <v>-13187.482421875</v>
      </c>
      <c r="DT88" s="234" t="n">
        <f aca="false">SUM([1]OPPD_NPPD!$P79:$R79)+SUM([1]NSP!$P79:$R79)</f>
        <v>0</v>
      </c>
      <c r="DU88" s="234" t="n">
        <f aca="false">SUM([1]COMED!$P79:$R79)</f>
        <v>0</v>
      </c>
      <c r="DV88" s="234" t="n">
        <f aca="false">DT88+DU88</f>
        <v>0</v>
      </c>
      <c r="DW88" s="535"/>
      <c r="DX88" s="536" t="n">
        <f aca="false">[1]OtherPosn!$D79</f>
        <v>37408</v>
      </c>
      <c r="DY88" s="234" t="n">
        <f aca="false">[1]OtherPosn!$N79</f>
        <v>62138.125</v>
      </c>
      <c r="DZ88" s="234" t="n">
        <f aca="false">SUM([1]OtherPosn!$O79:$P79)</f>
        <v>0</v>
      </c>
    </row>
    <row r="89" customFormat="false" ht="18.75" hidden="false" customHeight="false" outlineLevel="0" collapsed="false">
      <c r="A89" s="605" t="n">
        <f aca="false">[1]COMED!$D67</f>
        <v>38169</v>
      </c>
      <c r="B89" s="606" t="n">
        <f aca="false">[1]COMED!$O67</f>
        <v>0</v>
      </c>
      <c r="C89" s="607" t="n">
        <f aca="false">B89/(CE89*CD89)</f>
        <v>0</v>
      </c>
      <c r="D89" s="607" t="n">
        <f aca="false">BY89+IF(YEAR(A89)=$T$20,$BY$92,0)+IF(YEAR(A89)=$T$21,$BY$93,0)+IF(YEAR(A89)=$T$22,$BY$94,0)</f>
        <v>0</v>
      </c>
      <c r="E89" s="606" t="n">
        <f aca="false">B89+(D89*CD89*CE89)</f>
        <v>0</v>
      </c>
      <c r="F89" s="608" t="n">
        <f aca="false">C89+D89</f>
        <v>0</v>
      </c>
      <c r="G89" s="609" t="n">
        <f aca="false">[1]COMED!$E67</f>
        <v>48.0249977111816</v>
      </c>
      <c r="H89" s="498" t="n">
        <f aca="false">+[1]COMED!$F67</f>
        <v>-0.5</v>
      </c>
      <c r="I89" s="610" t="n">
        <f aca="false">G89+H89</f>
        <v>47.5249977111816</v>
      </c>
      <c r="J89" s="606" t="n">
        <f aca="false">H89*B89</f>
        <v>-0</v>
      </c>
      <c r="K89" s="611" t="n">
        <f aca="false">(((I89-AL89)*AK89+(I89-AN89)*AM89+(I89-AP89)*AO89+(I89-AR89)*AQ89+(I89-AT89)*AS89+(I89-AV89)*AU89+(I89-AX89)*AW89+(I89-AZ89)*AY89+(I89-BB89)*BA89+(I89-BD89)*BC89+(I89-BF89)*BE89+(I89-BH89)*BG89+(I89-BJ89)*BI89+(I89-BL89)*BK89+(I89-BN89)*BM89+(I89-BP89)*BO89+(I89-BR89)*BQ89+(I89-BT89)*BS89+(I89-BV89)*BU89+(I89-BX89)*BW89)*CD89*CE89)+CG89+CH89+CI89</f>
        <v>0</v>
      </c>
      <c r="L89" s="612" t="n">
        <f aca="false">J89+K89</f>
        <v>0</v>
      </c>
      <c r="M89" s="46"/>
      <c r="N89" s="618" t="s">
        <v>295</v>
      </c>
      <c r="O89" s="620" t="n">
        <v>1</v>
      </c>
      <c r="P89" s="620" t="n">
        <v>4</v>
      </c>
      <c r="Q89" s="621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512" t="n">
        <f aca="false">A89</f>
        <v>38169</v>
      </c>
      <c r="AK89" s="513"/>
      <c r="AL89" s="514"/>
      <c r="AM89" s="513"/>
      <c r="AN89" s="514"/>
      <c r="AO89" s="513"/>
      <c r="AP89" s="514"/>
      <c r="AQ89" s="513"/>
      <c r="AR89" s="514"/>
      <c r="AS89" s="515"/>
      <c r="AT89" s="516"/>
      <c r="AU89" s="513"/>
      <c r="AV89" s="517"/>
      <c r="AW89" s="520"/>
      <c r="AX89" s="517"/>
      <c r="AY89" s="520"/>
      <c r="AZ89" s="517"/>
      <c r="BA89" s="520"/>
      <c r="BB89" s="517"/>
      <c r="BC89" s="520"/>
      <c r="BD89" s="517"/>
      <c r="BE89" s="520"/>
      <c r="BF89" s="517"/>
      <c r="BG89" s="520"/>
      <c r="BH89" s="517"/>
      <c r="BI89" s="520"/>
      <c r="BJ89" s="517"/>
      <c r="BK89" s="520"/>
      <c r="BL89" s="517"/>
      <c r="BM89" s="520"/>
      <c r="BN89" s="517"/>
      <c r="BO89" s="520"/>
      <c r="BP89" s="517"/>
      <c r="BQ89" s="520"/>
      <c r="BR89" s="517"/>
      <c r="BS89" s="520"/>
      <c r="BT89" s="517"/>
      <c r="BU89" s="520"/>
      <c r="BV89" s="517"/>
      <c r="BW89" s="520"/>
      <c r="BX89" s="517"/>
      <c r="BY89" s="556" t="n">
        <f aca="false">AK89+AM89+AO89+AQ89+AS89+AU89+AW89+AY89+BA89+BC89+BE89+BG89+BI89+BK89+BM89+BO89+BQ89+BS89+BU89+BW89</f>
        <v>0</v>
      </c>
      <c r="BZ89" s="524" t="n">
        <f aca="false">IF(AND(BY89=0,CC89=0),0,(ABS(AK89)*AL89+ABS(AM89)*AN89+ABS(AO89)*AP89+ABS(AQ89)*AR89+ABS(AS89)*AT89+ABS(AU89)*AV89+ABS(AW89)*AX89+ABS(AY89)*AZ89+ABS(BA89)*BB89+ABS(BC89)*BD89+ABS(BE89)*BF89+ABS(BG89)*BH89+ABS(BI89)*BJ89+ABS(BK89)*BL89+ABS(BM89)*BN89+ABS(BO89)*BP89+ABS(BQ89)*BR89+ABS(BS89)*BT89+ABS(BU89)*BV89+ABS(BW89)*BX89)/CC89)</f>
        <v>0</v>
      </c>
      <c r="CB89" s="525" t="n">
        <f aca="false">AJ89</f>
        <v>38169</v>
      </c>
      <c r="CC89" s="222" t="n">
        <f aca="false">ABS(AK89)+ABS(AM89)+ABS(AO89)+ABS(AQ89)+ABS(AS89)+ABS(AU89)+ABS(AW89)+ABS(AY89)+ABS(BA89)+ABS(BC89)+ABS(BE89)+ABS(BG89)+ABS(BI89)+ABS(BK89)+ABS(BM89)+ABS(BO89)+ABS(BQ89)+ABS(BS89)+ABS(BU89)+ABS(BW89)</f>
        <v>0</v>
      </c>
      <c r="CD89" s="526" t="n">
        <f aca="false">CD45</f>
        <v>352</v>
      </c>
      <c r="CE89" s="222" t="n">
        <f aca="false">CE45</f>
        <v>0.875461244436829</v>
      </c>
      <c r="CF89" s="527" t="n">
        <f aca="false">E89-B89</f>
        <v>0</v>
      </c>
      <c r="CG89" s="527" t="n">
        <f aca="false">IF(YEAR($AJ89)=$CG$10,(($I89-$AL$92)*$AK$92+($I89-$AN$92)*$AM$92+($I89-$AP$92)*$AO$92+($I89-$AR$92)*$AQ$92+($I89-$AT$92)*$AS$92+($I89-$AV$92)*$AU$92+($I89-$AX$92)*$AW$92+($I89-$AZ$92)*$AY$92+($I89-$BB$92)*$BA$92+($I89-$BD$92)*$BC$92+($I89-$BF$92)*$BE$92+($I89-$BH$92)*$BG$92+($I89-$BJ$92)*$BI$92+($I89-$BL$92)*$BK$92+($I89-$BN$92)*$BM$92+($I89-$BP$92)*$BO$92+($I89-$BR$92)*$BQ$92+($I89-$BT$92)*$BS$92+($I89-$BV$92)*$BU$92+($I89-$BX$92)*$BW$92)*$CD89*$CE89,0)</f>
        <v>0</v>
      </c>
      <c r="CH89" s="527" t="n">
        <f aca="false">IF(YEAR($AJ89)=$CH$10,(($I89-$AL$93)*$AK$93+($I89-$AN$93)*$AM$93+($I89-$AP$93)*$AO$93+($I89-$AR$93)*$AQ$93+($I89-$AT$93)*$AS$93+($I89-$AV$93)*$AU$93+($I89-$AX$93)*$AW$93+($I89-$AZ$93)*$AY$93+($I89-$BB$93)*$BA$93+($I89-$BD$93)*$BC$93+($I89-$BF$93)*$BE$93+($I89-$BH$93)*$BG$93+($I89-$BJ$93)*$BI$93+($I89-$BL$93)*$BK$93+($I89-$BN$93)*$BM$93+($I89-$BP$93)*$BO$93+($I89-$BR$93)*$BQ$93+($I89-$BT$93)*$BS$93+($I89-$BV$93)*$BU$93+($I89-$BX$93)*$BW$93)*$CD89*$CE89,0)</f>
        <v>0</v>
      </c>
      <c r="CI89" s="527" t="n">
        <f aca="false">IF(YEAR($AJ89)=$CI$10,(($I89-$AL$94)*$AK$94+($I89-$AN$94)*$AM$94+($I89-$AP$94)*$AO$94+($I89-$AR$94)*$AQ$94+($I89-$AT$94)*$AS$94+($I89-$AV$94)*$AU$94+($I89-$AX$94)*$AW$94+($I89-$AZ$94)*$AY$94+($I89-$BB$94)*$BA$94+($I89-$BD$94)*$BC$94+($I89-$BF$94)*$BE$94+($I89-$BH$94)*$BG$94+($I89-$BJ$94)*$BI$94+($I89-$BL$94)*$BK$94+($I89-$BN$94)*$BM$94+($I89-$BP$94)*$BO$94+($I89-$BR$94)*$BQ$94+($I89-$BT$94)*$BS$94+($I89-$BV$94)*$BU$94+($I89-$BX$94)*$BW$94)*$CD89*$CE89,0)</f>
        <v>0</v>
      </c>
      <c r="CJ89" s="439" t="n">
        <f aca="false">CC89*CD89</f>
        <v>0</v>
      </c>
      <c r="CM89" s="530"/>
      <c r="DJ89" s="532" t="n">
        <f aca="false">[1]Cinergy!$D111</f>
        <v>39508</v>
      </c>
      <c r="DK89" s="440" t="n">
        <f aca="false">VLOOKUP(DJ89,DL89:DM330,2)</f>
        <v>21</v>
      </c>
      <c r="DL89" s="533" t="n">
        <v>38078</v>
      </c>
      <c r="DM89" s="459" t="n">
        <v>22</v>
      </c>
      <c r="DP89" s="534" t="n">
        <f aca="false">[1]Cinergy!$D80</f>
        <v>38565</v>
      </c>
      <c r="DQ89" s="234" t="n">
        <f aca="false">[1]OPPD_NPPD!$O80+[1]NSP!$O80</f>
        <v>0</v>
      </c>
      <c r="DR89" s="234" t="n">
        <f aca="false">[1]COMED!$O80</f>
        <v>-15089.1669921875</v>
      </c>
      <c r="DS89" s="234" t="n">
        <f aca="false">DQ89+DR89</f>
        <v>-15089.1669921875</v>
      </c>
      <c r="DT89" s="234" t="n">
        <f aca="false">SUM([1]OPPD_NPPD!$P80:$R80)+SUM([1]NSP!$P80:$R80)</f>
        <v>0</v>
      </c>
      <c r="DU89" s="234" t="n">
        <f aca="false">SUM([1]COMED!$P80:$R80)</f>
        <v>0</v>
      </c>
      <c r="DV89" s="234" t="n">
        <f aca="false">DT89+DU89</f>
        <v>0</v>
      </c>
      <c r="DW89" s="535"/>
      <c r="DX89" s="536" t="n">
        <f aca="false">[1]OtherPosn!$D80</f>
        <v>37438</v>
      </c>
      <c r="DY89" s="234" t="n">
        <f aca="false">[1]OtherPosn!$N80</f>
        <v>579172.3125</v>
      </c>
      <c r="DZ89" s="234" t="n">
        <f aca="false">SUM([1]OtherPosn!$O80:$P80)</f>
        <v>0</v>
      </c>
    </row>
    <row r="90" customFormat="false" ht="18.75" hidden="false" customHeight="false" outlineLevel="0" collapsed="false">
      <c r="A90" s="599" t="n">
        <f aca="false">[1]COMED!$D68</f>
        <v>38200</v>
      </c>
      <c r="B90" s="600" t="n">
        <f aca="false">[1]COMED!$O68</f>
        <v>0</v>
      </c>
      <c r="C90" s="601" t="n">
        <f aca="false">B90/(CE90*CD90)</f>
        <v>0</v>
      </c>
      <c r="D90" s="601" t="n">
        <f aca="false">BY90+IF(YEAR(A90)=$T$20,$BY$92,0)+IF(YEAR(A90)=$T$21,$BY$93,0)+IF(YEAR(A90)=$T$22,$BY$94,0)</f>
        <v>0</v>
      </c>
      <c r="E90" s="600" t="n">
        <f aca="false">B90+(D90*CD90*CE90)</f>
        <v>0</v>
      </c>
      <c r="F90" s="602" t="n">
        <f aca="false">C90+D90</f>
        <v>0</v>
      </c>
      <c r="G90" s="603" t="n">
        <f aca="false">[1]COMED!$E68</f>
        <v>48.0249977111816</v>
      </c>
      <c r="H90" s="498" t="n">
        <f aca="false">+[1]COMED!$F68</f>
        <v>-0.5</v>
      </c>
      <c r="I90" s="604" t="n">
        <f aca="false">G90+H90</f>
        <v>47.5249977111816</v>
      </c>
      <c r="J90" s="600" t="n">
        <f aca="false">H90*B90</f>
        <v>-0</v>
      </c>
      <c r="K90" s="163" t="n">
        <f aca="false">(((I90-AL90)*AK90+(I90-AN90)*AM90+(I90-AP90)*AO90+(I90-AR90)*AQ90+(I90-AT90)*AS90+(I90-AV90)*AU90+(I90-AX90)*AW90+(I90-AZ90)*AY90+(I90-BB90)*BA90+(I90-BD90)*BC90+(I90-BF90)*BE90+(I90-BH90)*BG90+(I90-BJ90)*BI90+(I90-BL90)*BK90+(I90-BN90)*BM90+(I90-BP90)*BO90+(I90-BR90)*BQ90+(I90-BT90)*BS90+(I90-BV90)*BU90+(I90-BX90)*BW90)*CD90*CE90)+CG90+CH90+CI90</f>
        <v>0</v>
      </c>
      <c r="L90" s="123" t="n">
        <f aca="false">J90+K90</f>
        <v>0</v>
      </c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512" t="n">
        <f aca="false">A90</f>
        <v>38200</v>
      </c>
      <c r="AK90" s="513"/>
      <c r="AL90" s="514"/>
      <c r="AM90" s="513"/>
      <c r="AN90" s="514"/>
      <c r="AO90" s="513"/>
      <c r="AP90" s="514"/>
      <c r="AQ90" s="513"/>
      <c r="AR90" s="514"/>
      <c r="AS90" s="515"/>
      <c r="AT90" s="516"/>
      <c r="AU90" s="520"/>
      <c r="AV90" s="517"/>
      <c r="AW90" s="520"/>
      <c r="AX90" s="517"/>
      <c r="AY90" s="520"/>
      <c r="AZ90" s="517"/>
      <c r="BA90" s="520"/>
      <c r="BB90" s="517"/>
      <c r="BC90" s="520"/>
      <c r="BD90" s="517"/>
      <c r="BE90" s="520"/>
      <c r="BF90" s="517"/>
      <c r="BG90" s="520"/>
      <c r="BH90" s="517"/>
      <c r="BI90" s="520"/>
      <c r="BJ90" s="517"/>
      <c r="BK90" s="520"/>
      <c r="BL90" s="517"/>
      <c r="BM90" s="520"/>
      <c r="BN90" s="517"/>
      <c r="BO90" s="520"/>
      <c r="BP90" s="517"/>
      <c r="BQ90" s="520"/>
      <c r="BR90" s="517"/>
      <c r="BS90" s="520"/>
      <c r="BT90" s="517"/>
      <c r="BU90" s="520"/>
      <c r="BV90" s="517"/>
      <c r="BW90" s="520"/>
      <c r="BX90" s="517"/>
      <c r="BY90" s="556" t="n">
        <f aca="false">AK90+AM90+AO90+AQ90+AS90+AU90+AW90+AY90+BA90+BC90+BE90+BG90+BI90+BK90+BM90+BO90+BQ90+BS90+BU90+BW90</f>
        <v>0</v>
      </c>
      <c r="BZ90" s="524" t="n">
        <f aca="false">IF(AND(BY90=0,CC90=0),0,(ABS(AK90)*AL90+ABS(AM90)*AN90+ABS(AO90)*AP90+ABS(AQ90)*AR90+ABS(AS90)*AT90+ABS(AU90)*AV90+ABS(AW90)*AX90+ABS(AY90)*AZ90+ABS(BA90)*BB90+ABS(BC90)*BD90+ABS(BE90)*BF90+ABS(BG90)*BH90+ABS(BI90)*BJ90+ABS(BK90)*BL90+ABS(BM90)*BN90+ABS(BO90)*BP90+ABS(BQ90)*BR90+ABS(BS90)*BT90+ABS(BU90)*BV90+ABS(BW90)*BX90)/CC90)</f>
        <v>0</v>
      </c>
      <c r="CB90" s="525" t="n">
        <f aca="false">AJ90</f>
        <v>38200</v>
      </c>
      <c r="CC90" s="222" t="n">
        <f aca="false">ABS(AK90)+ABS(AM90)+ABS(AO90)+ABS(AQ90)+ABS(AS90)+ABS(AU90)+ABS(AW90)+ABS(AY90)+ABS(BA90)+ABS(BC90)+ABS(BE90)+ABS(BG90)+ABS(BI90)+ABS(BK90)+ABS(BM90)+ABS(BO90)+ABS(BQ90)+ABS(BS90)+ABS(BU90)+ABS(BW90)</f>
        <v>0</v>
      </c>
      <c r="CD90" s="526" t="n">
        <f aca="false">CD46</f>
        <v>352</v>
      </c>
      <c r="CE90" s="222" t="n">
        <f aca="false">CE46</f>
        <v>0.871233836109965</v>
      </c>
      <c r="CF90" s="527" t="n">
        <f aca="false">E90-B90</f>
        <v>0</v>
      </c>
      <c r="CG90" s="527" t="n">
        <f aca="false">IF(YEAR($AJ90)=$CG$10,(($I90-$AL$92)*$AK$92+($I90-$AN$92)*$AM$92+($I90-$AP$92)*$AO$92+($I90-$AR$92)*$AQ$92+($I90-$AT$92)*$AS$92+($I90-$AV$92)*$AU$92+($I90-$AX$92)*$AW$92+($I90-$AZ$92)*$AY$92+($I90-$BB$92)*$BA$92+($I90-$BD$92)*$BC$92+($I90-$BF$92)*$BE$92+($I90-$BH$92)*$BG$92+($I90-$BJ$92)*$BI$92+($I90-$BL$92)*$BK$92+($I90-$BN$92)*$BM$92+($I90-$BP$92)*$BO$92+($I90-$BR$92)*$BQ$92+($I90-$BT$92)*$BS$92+($I90-$BV$92)*$BU$92+($I90-$BX$92)*$BW$92)*$CD90*$CE90,0)</f>
        <v>0</v>
      </c>
      <c r="CH90" s="527" t="n">
        <f aca="false">IF(YEAR($AJ90)=$CH$10,(($I90-$AL$93)*$AK$93+($I90-$AN$93)*$AM$93+($I90-$AP$93)*$AO$93+($I90-$AR$93)*$AQ$93+($I90-$AT$93)*$AS$93+($I90-$AV$93)*$AU$93+($I90-$AX$93)*$AW$93+($I90-$AZ$93)*$AY$93+($I90-$BB$93)*$BA$93+($I90-$BD$93)*$BC$93+($I90-$BF$93)*$BE$93+($I90-$BH$93)*$BG$93+($I90-$BJ$93)*$BI$93+($I90-$BL$93)*$BK$93+($I90-$BN$93)*$BM$93+($I90-$BP$93)*$BO$93+($I90-$BR$93)*$BQ$93+($I90-$BT$93)*$BS$93+($I90-$BV$93)*$BU$93+($I90-$BX$93)*$BW$93)*$CD90*$CE90,0)</f>
        <v>0</v>
      </c>
      <c r="CI90" s="527" t="n">
        <f aca="false">IF(YEAR($AJ90)=$CI$10,(($I90-$AL$94)*$AK$94+($I90-$AN$94)*$AM$94+($I90-$AP$94)*$AO$94+($I90-$AR$94)*$AQ$94+($I90-$AT$94)*$AS$94+($I90-$AV$94)*$AU$94+($I90-$AX$94)*$AW$94+($I90-$AZ$94)*$AY$94+($I90-$BB$94)*$BA$94+($I90-$BD$94)*$BC$94+($I90-$BF$94)*$BE$94+($I90-$BH$94)*$BG$94+($I90-$BJ$94)*$BI$94+($I90-$BL$94)*$BK$94+($I90-$BN$94)*$BM$94+($I90-$BP$94)*$BO$94+($I90-$BR$94)*$BQ$94+($I90-$BT$94)*$BS$94+($I90-$BV$94)*$BU$94+($I90-$BX$94)*$BW$94)*$CD90*$CE90,0)</f>
        <v>0</v>
      </c>
      <c r="CJ90" s="439" t="n">
        <f aca="false">CC90*CD90</f>
        <v>0</v>
      </c>
      <c r="CM90" s="530" t="n">
        <f aca="false">SUM(CM56:CM88)</f>
        <v>-31.26626383062</v>
      </c>
      <c r="DJ90" s="532" t="n">
        <f aca="false">[1]Cinergy!$D112</f>
        <v>39539</v>
      </c>
      <c r="DK90" s="440" t="n">
        <f aca="false">VLOOKUP(DJ90,DL90:DM331,2)</f>
        <v>22</v>
      </c>
      <c r="DL90" s="533" t="n">
        <v>38108</v>
      </c>
      <c r="DM90" s="459" t="n">
        <v>20</v>
      </c>
      <c r="DP90" s="534" t="n">
        <f aca="false">[1]Cinergy!$D81</f>
        <v>38596</v>
      </c>
      <c r="DQ90" s="234" t="n">
        <f aca="false">[1]OPPD_NPPD!$O81+[1]NSP!$O81</f>
        <v>0</v>
      </c>
      <c r="DR90" s="234" t="n">
        <f aca="false">[1]COMED!$O81</f>
        <v>-13710.8564453125</v>
      </c>
      <c r="DS90" s="234" t="n">
        <f aca="false">DQ90+DR90</f>
        <v>-13710.8564453125</v>
      </c>
      <c r="DT90" s="234" t="n">
        <f aca="false">SUM([1]OPPD_NPPD!$P81:$R81)+SUM([1]NSP!$P81:$R81)</f>
        <v>0</v>
      </c>
      <c r="DU90" s="234" t="n">
        <f aca="false">SUM([1]COMED!$P81:$R81)</f>
        <v>0</v>
      </c>
      <c r="DV90" s="234" t="n">
        <f aca="false">DT90+DU90</f>
        <v>0</v>
      </c>
      <c r="DW90" s="535"/>
      <c r="DX90" s="536" t="n">
        <f aca="false">[1]OtherPosn!$D81</f>
        <v>37469</v>
      </c>
      <c r="DY90" s="234" t="n">
        <f aca="false">[1]OtherPosn!$N81</f>
        <v>577141.625</v>
      </c>
      <c r="DZ90" s="234" t="n">
        <f aca="false">SUM([1]OtherPosn!$O81:$P81)</f>
        <v>0</v>
      </c>
    </row>
    <row r="91" customFormat="false" ht="18.75" hidden="false" customHeight="false" outlineLevel="0" collapsed="false">
      <c r="A91" s="631" t="n">
        <f aca="false">[1]COMED!$D69</f>
        <v>38231</v>
      </c>
      <c r="B91" s="632" t="n">
        <f aca="false">[1]COMED!$O69</f>
        <v>0</v>
      </c>
      <c r="C91" s="633" t="n">
        <f aca="false">B91/(CE91*CD91)</f>
        <v>0</v>
      </c>
      <c r="D91" s="633" t="n">
        <f aca="false">BY91+IF(YEAR(A91)=$T$20,$BY$92,0)+IF(YEAR(A91)=$T$21,$BY$93,0)+IF(YEAR(A91)=$T$22,$BY$94,0)</f>
        <v>0</v>
      </c>
      <c r="E91" s="632" t="n">
        <f aca="false">B91+(D91*CD91*CE91)</f>
        <v>0</v>
      </c>
      <c r="F91" s="634" t="n">
        <f aca="false">C91+D91</f>
        <v>0</v>
      </c>
      <c r="G91" s="635" t="n">
        <f aca="false">[1]COMED!$E69</f>
        <v>27.8249988555908</v>
      </c>
      <c r="H91" s="498" t="n">
        <f aca="false">+[1]COMED!$F69</f>
        <v>0</v>
      </c>
      <c r="I91" s="636" t="n">
        <f aca="false">G91+H91</f>
        <v>27.8249988555908</v>
      </c>
      <c r="J91" s="632" t="n">
        <f aca="false">H91*B91</f>
        <v>0</v>
      </c>
      <c r="K91" s="637" t="n">
        <f aca="false">(((I91-AL91)*AK91+(I91-AN91)*AM91+(I91-AP91)*AO91+(I91-AR91)*AQ91+(I91-AT91)*AS91+(I91-AV91)*AU91+(I91-AX91)*AW91+(I91-AZ91)*AY91+(I91-BB91)*BA91+(I91-BD91)*BC91+(I91-BF91)*BE91+(I91-BH91)*BG91+(I91-BJ91)*BI91+(I91-BL91)*BK91+(I91-BN91)*BM91+(I91-BP91)*BO91+(I91-BR91)*BQ91+(I91-BT91)*BS91+(I91-BV91)*BU91+(I91-BX91)*BW91)*CD91*CE91)+CG91+CH91+CI91</f>
        <v>0</v>
      </c>
      <c r="L91" s="638" t="n">
        <f aca="false">J91+K91</f>
        <v>0</v>
      </c>
      <c r="M91" s="46"/>
      <c r="N91" s="646" t="s">
        <v>296</v>
      </c>
      <c r="O91" s="615" t="n">
        <v>112</v>
      </c>
      <c r="P91" s="615" t="n">
        <v>122</v>
      </c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512" t="n">
        <f aca="false">A91</f>
        <v>38231</v>
      </c>
      <c r="AK91" s="513"/>
      <c r="AL91" s="514"/>
      <c r="AM91" s="513"/>
      <c r="AN91" s="514"/>
      <c r="AO91" s="513"/>
      <c r="AP91" s="514"/>
      <c r="AQ91" s="513"/>
      <c r="AR91" s="514"/>
      <c r="AS91" s="515"/>
      <c r="AT91" s="516"/>
      <c r="AU91" s="520"/>
      <c r="AV91" s="517"/>
      <c r="AW91" s="520"/>
      <c r="AX91" s="517"/>
      <c r="AY91" s="520"/>
      <c r="AZ91" s="517"/>
      <c r="BA91" s="520"/>
      <c r="BB91" s="517"/>
      <c r="BC91" s="520"/>
      <c r="BD91" s="517"/>
      <c r="BE91" s="520"/>
      <c r="BF91" s="517"/>
      <c r="BG91" s="520"/>
      <c r="BH91" s="517"/>
      <c r="BI91" s="520"/>
      <c r="BJ91" s="517"/>
      <c r="BK91" s="520"/>
      <c r="BL91" s="517"/>
      <c r="BM91" s="520"/>
      <c r="BN91" s="517"/>
      <c r="BO91" s="520"/>
      <c r="BP91" s="517"/>
      <c r="BQ91" s="520"/>
      <c r="BR91" s="517"/>
      <c r="BS91" s="520"/>
      <c r="BT91" s="517"/>
      <c r="BU91" s="520"/>
      <c r="BV91" s="517"/>
      <c r="BW91" s="520"/>
      <c r="BX91" s="517"/>
      <c r="BY91" s="556" t="n">
        <f aca="false">AK91+AM91+AO91+AQ91+AS91+AU91+AW91+AY91+BA91+BC91+BE91+BG91+BI91+BK91+BM91+BO91+BQ91+BS91+BU91+BW91</f>
        <v>0</v>
      </c>
      <c r="BZ91" s="524" t="n">
        <f aca="false">IF(AND(BY91=0,CC91=0),0,(ABS(AK91)*AL91+ABS(AM91)*AN91+ABS(AO91)*AP91+ABS(AQ91)*AR91+ABS(AS91)*AT91+ABS(AU91)*AV91+ABS(AW91)*AX91+ABS(AY91)*AZ91+ABS(BA91)*BB91+ABS(BC91)*BD91+ABS(BE91)*BF91+ABS(BG91)*BH91+ABS(BI91)*BJ91+ABS(BK91)*BL91+ABS(BM91)*BN91+ABS(BO91)*BP91+ABS(BQ91)*BR91+ABS(BS91)*BT91+ABS(BU91)*BV91+ABS(BW91)*BX91)/CC91)</f>
        <v>0</v>
      </c>
      <c r="CB91" s="525" t="n">
        <f aca="false">AJ91</f>
        <v>38231</v>
      </c>
      <c r="CC91" s="222" t="n">
        <f aca="false">ABS(AK91)+ABS(AM91)+ABS(AO91)+ABS(AQ91)+ABS(AS91)+ABS(AU91)+ABS(AW91)+ABS(AY91)+ABS(BA91)+ABS(BC91)+ABS(BE91)+ABS(BG91)+ABS(BI91)+ABS(BK91)+ABS(BM91)+ABS(BO91)+ABS(BQ91)+ABS(BS91)+ABS(BU91)+ABS(BW91)</f>
        <v>0</v>
      </c>
      <c r="CD91" s="526" t="n">
        <f aca="false">CD47</f>
        <v>336</v>
      </c>
      <c r="CE91" s="222" t="n">
        <f aca="false">CE47</f>
        <v>0.867086103347059</v>
      </c>
      <c r="CF91" s="527" t="n">
        <f aca="false">E91-B91</f>
        <v>0</v>
      </c>
      <c r="CG91" s="527" t="n">
        <f aca="false">IF(YEAR($AJ91)=$CG$10,(($I91-$AL$92)*$AK$92+($I91-$AN$92)*$AM$92+($I91-$AP$92)*$AO$92+($I91-$AR$92)*$AQ$92+($I91-$AT$92)*$AS$92+($I91-$AV$92)*$AU$92+($I91-$AX$92)*$AW$92+($I91-$AZ$92)*$AY$92+($I91-$BB$92)*$BA$92+($I91-$BD$92)*$BC$92+($I91-$BF$92)*$BE$92+($I91-$BH$92)*$BG$92+($I91-$BJ$92)*$BI$92+($I91-$BL$92)*$BK$92+($I91-$BN$92)*$BM$92+($I91-$BP$92)*$BO$92+($I91-$BR$92)*$BQ$92+($I91-$BT$92)*$BS$92+($I91-$BV$92)*$BU$92+($I91-$BX$92)*$BW$92)*$CD91*$CE91,0)</f>
        <v>0</v>
      </c>
      <c r="CH91" s="527" t="n">
        <f aca="false">IF(YEAR($AJ91)=$CH$10,(($I91-$AL$93)*$AK$93+($I91-$AN$93)*$AM$93+($I91-$AP$93)*$AO$93+($I91-$AR$93)*$AQ$93+($I91-$AT$93)*$AS$93+($I91-$AV$93)*$AU$93+($I91-$AX$93)*$AW$93+($I91-$AZ$93)*$AY$93+($I91-$BB$93)*$BA$93+($I91-$BD$93)*$BC$93+($I91-$BF$93)*$BE$93+($I91-$BH$93)*$BG$93+($I91-$BJ$93)*$BI$93+($I91-$BL$93)*$BK$93+($I91-$BN$93)*$BM$93+($I91-$BP$93)*$BO$93+($I91-$BR$93)*$BQ$93+($I91-$BT$93)*$BS$93+($I91-$BV$93)*$BU$93+($I91-$BX$93)*$BW$93)*$CD91*$CE91,0)</f>
        <v>0</v>
      </c>
      <c r="CI91" s="527" t="n">
        <f aca="false">IF(YEAR($AJ91)=$CI$10,(($I91-$AL$94)*$AK$94+($I91-$AN$94)*$AM$94+($I91-$AP$94)*$AO$94+($I91-$AR$94)*$AQ$94+($I91-$AT$94)*$AS$94+($I91-$AV$94)*$AU$94+($I91-$AX$94)*$AW$94+($I91-$AZ$94)*$AY$94+($I91-$BB$94)*$BA$94+($I91-$BD$94)*$BC$94+($I91-$BF$94)*$BE$94+($I91-$BH$94)*$BG$94+($I91-$BJ$94)*$BI$94+($I91-$BL$94)*$BK$94+($I91-$BN$94)*$BM$94+($I91-$BP$94)*$BO$94+($I91-$BR$94)*$BQ$94+($I91-$BT$94)*$BS$94+($I91-$BV$94)*$BU$94+($I91-$BX$94)*$BW$94)*$CD91*$CE91,0)</f>
        <v>0</v>
      </c>
      <c r="CJ91" s="439" t="n">
        <f aca="false">CC91*CD91</f>
        <v>0</v>
      </c>
      <c r="CM91" s="530"/>
      <c r="DJ91" s="532" t="n">
        <f aca="false">[1]Cinergy!$D113</f>
        <v>39569</v>
      </c>
      <c r="DK91" s="440" t="n">
        <f aca="false">VLOOKUP(DJ91,DL91:DM332,2)</f>
        <v>21</v>
      </c>
      <c r="DL91" s="533" t="n">
        <v>38139</v>
      </c>
      <c r="DM91" s="459" t="n">
        <v>22</v>
      </c>
      <c r="DP91" s="534" t="n">
        <f aca="false">[1]Cinergy!$D82</f>
        <v>38626</v>
      </c>
      <c r="DQ91" s="234" t="n">
        <f aca="false">[1]OPPD_NPPD!$O82+[1]NSP!$O82</f>
        <v>0</v>
      </c>
      <c r="DR91" s="234" t="n">
        <f aca="false">[1]COMED!$O82</f>
        <v>-13642.8623046875</v>
      </c>
      <c r="DS91" s="234" t="n">
        <f aca="false">DQ91+DR91</f>
        <v>-13642.8623046875</v>
      </c>
      <c r="DT91" s="234" t="n">
        <f aca="false">SUM([1]OPPD_NPPD!$P82:$R82)+SUM([1]NSP!$P82:$R82)</f>
        <v>0</v>
      </c>
      <c r="DU91" s="234" t="n">
        <f aca="false">SUM([1]COMED!$P82:$R82)</f>
        <v>0</v>
      </c>
      <c r="DV91" s="234" t="n">
        <f aca="false">DT91+DU91</f>
        <v>0</v>
      </c>
      <c r="DW91" s="535"/>
      <c r="DX91" s="536" t="n">
        <f aca="false">[1]OtherPosn!$D82</f>
        <v>37500</v>
      </c>
      <c r="DY91" s="234" t="n">
        <f aca="false">[1]OtherPosn!$N82</f>
        <v>46152.40625</v>
      </c>
      <c r="DZ91" s="234" t="n">
        <f aca="false">SUM([1]OtherPosn!$O82:$P82)</f>
        <v>0</v>
      </c>
    </row>
    <row r="92" customFormat="false" ht="18.75" hidden="false" customHeight="false" outlineLevel="0" collapsed="false">
      <c r="A92" s="639" t="n">
        <f aca="false">[1]COMED!$D70</f>
        <v>38261</v>
      </c>
      <c r="B92" s="640" t="n">
        <f aca="false">[1]COMED!$O70</f>
        <v>0</v>
      </c>
      <c r="C92" s="641" t="n">
        <f aca="false">B92/(CE48*CD48)</f>
        <v>0</v>
      </c>
      <c r="D92" s="641" t="n">
        <f aca="false">IF(YEAR(A92)=$T$20,$BY$92,0)+IF(YEAR(A92)=$T$21,$BY$93,0)+IF(YEAR(A92)=$T$22,$BY$94,0)</f>
        <v>0</v>
      </c>
      <c r="E92" s="640" t="n">
        <f aca="false">B92+(D92*CN48*CE92)</f>
        <v>0</v>
      </c>
      <c r="F92" s="642" t="n">
        <f aca="false">C92+D92</f>
        <v>0</v>
      </c>
      <c r="G92" s="643" t="n">
        <f aca="false">[1]COMED!$E70</f>
        <v>28.946569442749</v>
      </c>
      <c r="H92" s="643" t="n">
        <f aca="false">+[1]COMED!$F70</f>
        <v>-0.365001320838928</v>
      </c>
      <c r="I92" s="644" t="n">
        <f aca="false">G92+H92</f>
        <v>28.5815681219101</v>
      </c>
      <c r="J92" s="640" t="n">
        <f aca="false">H92*B92</f>
        <v>-0</v>
      </c>
      <c r="K92" s="189" t="n">
        <f aca="false">CG92+CH92+CI92</f>
        <v>0</v>
      </c>
      <c r="L92" s="645" t="n">
        <f aca="false">J92+K92</f>
        <v>0</v>
      </c>
      <c r="M92" s="46"/>
      <c r="N92" s="649" t="s">
        <v>297</v>
      </c>
      <c r="O92" s="620" t="n">
        <v>8</v>
      </c>
      <c r="P92" s="620" t="n">
        <v>12</v>
      </c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647" t="str">
        <f aca="false">V64</f>
        <v>Bal 2002</v>
      </c>
      <c r="AK92" s="513"/>
      <c r="AL92" s="514"/>
      <c r="AM92" s="513"/>
      <c r="AN92" s="514"/>
      <c r="AO92" s="513"/>
      <c r="AP92" s="514"/>
      <c r="AQ92" s="513"/>
      <c r="AR92" s="514"/>
      <c r="AS92" s="515"/>
      <c r="AT92" s="516"/>
      <c r="AU92" s="520"/>
      <c r="AV92" s="517"/>
      <c r="AW92" s="520"/>
      <c r="AX92" s="517"/>
      <c r="AY92" s="520"/>
      <c r="AZ92" s="517"/>
      <c r="BA92" s="520"/>
      <c r="BB92" s="517"/>
      <c r="BC92" s="520"/>
      <c r="BD92" s="517"/>
      <c r="BE92" s="520"/>
      <c r="BF92" s="517"/>
      <c r="BG92" s="520"/>
      <c r="BH92" s="517"/>
      <c r="BI92" s="520"/>
      <c r="BJ92" s="517"/>
      <c r="BK92" s="520"/>
      <c r="BL92" s="517"/>
      <c r="BM92" s="520"/>
      <c r="BN92" s="517"/>
      <c r="BO92" s="520"/>
      <c r="BP92" s="517"/>
      <c r="BQ92" s="520"/>
      <c r="BR92" s="517"/>
      <c r="BS92" s="520"/>
      <c r="BT92" s="517"/>
      <c r="BU92" s="520"/>
      <c r="BV92" s="517"/>
      <c r="BW92" s="520"/>
      <c r="BX92" s="517"/>
      <c r="BY92" s="556" t="n">
        <f aca="false">AK92+AM92+AO92+AQ92+AS92+AU92+AW92+AY92+BA92+BC92+BE92+BG92+BI92+BK92+BM92+BO92+BQ92+BS92+BU92+BW92</f>
        <v>0</v>
      </c>
      <c r="BZ92" s="524" t="n">
        <f aca="false">IF(AND(BY92=0,CC92=0),0,(ABS(AK92)*AL92+ABS(AM92)*AN92+ABS(AO92)*AP92+ABS(AQ92)*AR92+ABS(AS92)*AT92+ABS(AU92)*AV92+ABS(AW92)*AX92+ABS(AY92)*AZ92+ABS(BA92)*BB92+ABS(BC92)*BD92+ABS(BE92)*BF92+ABS(BG92)*BH92+ABS(BI92)*BJ92+ABS(BK92)*BL92+ABS(BM92)*BN92+ABS(BO92)*BP92+ABS(BQ92)*BR92+ABS(BS92)*BT92+ABS(BU92)*BV92+ABS(BW92)*BX92)/CC92)</f>
        <v>0</v>
      </c>
      <c r="CA92" s="222"/>
      <c r="CB92" s="525" t="str">
        <f aca="false">AJ92</f>
        <v>Bal 2002</v>
      </c>
      <c r="CC92" s="222" t="n">
        <f aca="false">ABS(AK92)+ABS(AM92)+ABS(AO92)+ABS(AQ92)+ABS(AS92)+ABS(AU92)+ABS(AW92)+ABS(AY92)+ABS(BA92)+ABS(BC92)+ABS(BE92)+ABS(BG92)+ABS(BI92)+ABS(BK92)+ABS(BM92)+ABS(BO92)+ABS(BQ92)+ABS(BS92)+ABS(BU92)+ABS(BW92)</f>
        <v>0</v>
      </c>
      <c r="CD92" s="648" t="n">
        <f aca="false">CD48</f>
        <v>4080</v>
      </c>
      <c r="CE92" s="222" t="n">
        <f aca="false">CE48</f>
        <v>0.862869076657444</v>
      </c>
      <c r="CF92" s="527" t="n">
        <f aca="false">E92-B92</f>
        <v>0</v>
      </c>
      <c r="CG92" s="527" t="n">
        <f aca="false">IF(YEAR($A92)=$CG$10,(($I92-$AL$92)*$AK$92+($I92-$AN$92)*$AM$92+($I92-$AP$92)*$AO$92+($I92-$AR$92)*$AQ$92+($I92-$AT$92)*$AS$92+($I92-$AV$92)*$AU$92+($I92-$AX$92)*$AW$92+($I92-$AZ$92)*$AY$92+($I92-$BB$92)*$BA$92+($I92-$BD$92)*$BC$92+($I92-$BF$92)*$BE$92+($I92-$BH$92)*$BG$92+($I92-$BJ$92)*$BI$92+($I92-$BL$92)*$BK$92+($I92-$BN$92)*$BM$92+($I92-$BP$92)*$BO$92+($I92-$BR$92)*$BQ$92+($I92-$BT$92)*$BS$92+($I92-$BV$92)*$BU$92+($I92-$BX$92)*$BW$92)*$CN48*$CE92,0)</f>
        <v>0</v>
      </c>
      <c r="CH92" s="527" t="n">
        <f aca="false">IF(YEAR($A92)=$CH$10,(($I92-$AL$93)*$AK$93+($I92-$AN$93)*$AM$93+($I92-$AP$93)*$AO$93+($I92-$AR$93)*$AQ$93+($I92-$AT$93)*$AS$93+($I92-$AV$93)*$AU$93+($I92-$AX$93)*$AW$93+($I92-$AZ$93)*$AY$93+($I92-$BB$93)*$BA$93+($I92-$BD$93)*$BC$93+($I92-$BF$93)*$BE$93+($I92-$BH$93)*$BG$93+($I92-$BJ$93)*$BI$93+($I92-$BL$93)*$BK$93+($I92-$BN$93)*$BM$93+($I92-$BP$93)*$BO$93+($I92-$BR$93)*$BQ$93+($I92-$BT$93)*$BS$93+($I92-$BV$93)*$BU$93+($I92-$BX$93)*$BW$93)*$CN48*$CE92,0)</f>
        <v>0</v>
      </c>
      <c r="CI92" s="527" t="n">
        <f aca="false">IF(YEAR($A92)=$CI$10,(($I92-$AL$94)*$AK$94+($I92-$AN$94)*$AM$94+($I92-$AP$94)*$AO$94+($I92-$AR$94)*$AQ$94+($I92-$AT$94)*$AS$94+($I92-$AV$94)*$AU$94+($I92-$AX$94)*$AW$94+($I92-$AZ$94)*$AY$94+($I92-$BB$94)*$BA$94+($I92-$BD$94)*$BC$94+($I92-$BF$94)*$BE$94+($I92-$BH$94)*$BG$94+($I92-$BJ$94)*$BI$94+($I92-$BL$94)*$BK$94+($I92-$BN$94)*$BM$94+($I92-$BP$94)*$BO$94+($I92-$BR$94)*$BQ$94+($I92-$BT$94)*$BS$94+($I92-$BV$94)*$BU$94+($I92-$BX$94)*$BW$94)*$CN48*$CE92,0)</f>
        <v>0</v>
      </c>
      <c r="CJ92" s="439" t="n">
        <f aca="false">CC92*CD92</f>
        <v>0</v>
      </c>
      <c r="CM92" s="530"/>
      <c r="DJ92" s="532" t="n">
        <f aca="false">[1]Cinergy!$D114</f>
        <v>39600</v>
      </c>
      <c r="DK92" s="440" t="n">
        <f aca="false">VLOOKUP(DJ92,DL92:DM333,2)</f>
        <v>21</v>
      </c>
      <c r="DL92" s="533" t="n">
        <v>38169</v>
      </c>
      <c r="DM92" s="459" t="n">
        <v>22</v>
      </c>
      <c r="DP92" s="534" t="n">
        <f aca="false">[1]Cinergy!$D83</f>
        <v>38657</v>
      </c>
      <c r="DQ92" s="234" t="n">
        <f aca="false">[1]OPPD_NPPD!$O83+[1]NSP!$O83</f>
        <v>0</v>
      </c>
      <c r="DR92" s="234" t="n">
        <f aca="false">[1]COMED!$O83</f>
        <v>-13576.9736328125</v>
      </c>
      <c r="DS92" s="234" t="n">
        <f aca="false">DQ92+DR92</f>
        <v>-13576.9736328125</v>
      </c>
      <c r="DT92" s="234" t="n">
        <f aca="false">SUM([1]OPPD_NPPD!$P83:$R83)+SUM([1]NSP!$P83:$R83)</f>
        <v>0</v>
      </c>
      <c r="DU92" s="234" t="n">
        <f aca="false">SUM([1]COMED!$P83:$R83)</f>
        <v>0</v>
      </c>
      <c r="DV92" s="234" t="n">
        <f aca="false">DT92+DU92</f>
        <v>0</v>
      </c>
      <c r="DW92" s="535"/>
      <c r="DX92" s="536" t="n">
        <f aca="false">[1]OtherPosn!$D83</f>
        <v>37530</v>
      </c>
      <c r="DY92" s="234" t="n">
        <f aca="false">[1]OtherPosn!$N83</f>
        <v>123405.1484375</v>
      </c>
      <c r="DZ92" s="234" t="n">
        <f aca="false">SUM([1]OtherPosn!$O83:$P83)</f>
        <v>0</v>
      </c>
    </row>
    <row r="93" customFormat="false" ht="18" hidden="false" customHeight="false" outlineLevel="0" collapsed="false">
      <c r="A93" s="639" t="n">
        <f aca="false">[1]COMED!$D71</f>
        <v>38292</v>
      </c>
      <c r="B93" s="640" t="n">
        <f aca="false">[1]COMED!$O71</f>
        <v>0</v>
      </c>
      <c r="C93" s="641" t="n">
        <f aca="false">B93/(CE49*CD49)</f>
        <v>0</v>
      </c>
      <c r="D93" s="641" t="n">
        <f aca="false">IF(YEAR(A93)=$T$20,$BY$92,0)+IF(YEAR(A93)=$T$21,$BY$93,0)+IF(YEAR(A93)=$T$22,$BY$94,0)</f>
        <v>0</v>
      </c>
      <c r="E93" s="640" t="n">
        <f aca="false">B93+(D93*CN48*CE93)</f>
        <v>0</v>
      </c>
      <c r="F93" s="642" t="n">
        <f aca="false">C93+D93</f>
        <v>0</v>
      </c>
      <c r="G93" s="643" t="n">
        <f aca="false">[1]COMED!$E71</f>
        <v>29.1465644836426</v>
      </c>
      <c r="H93" s="643" t="n">
        <f aca="false">+[1]COMED!$F71</f>
        <v>-0.365001320838928</v>
      </c>
      <c r="I93" s="644" t="n">
        <f aca="false">G93+H93</f>
        <v>28.7815631628037</v>
      </c>
      <c r="J93" s="640" t="n">
        <f aca="false">H93*B93</f>
        <v>-0</v>
      </c>
      <c r="K93" s="189" t="n">
        <f aca="false">CG93+CH93+CI93</f>
        <v>0</v>
      </c>
      <c r="L93" s="645" t="n">
        <f aca="false">J93+K93</f>
        <v>0</v>
      </c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650" t="n">
        <f aca="false">V65</f>
        <v>2003</v>
      </c>
      <c r="AK93" s="513"/>
      <c r="AL93" s="514"/>
      <c r="AM93" s="513"/>
      <c r="AN93" s="514"/>
      <c r="AO93" s="513"/>
      <c r="AP93" s="514"/>
      <c r="AQ93" s="513"/>
      <c r="AR93" s="514"/>
      <c r="AS93" s="515"/>
      <c r="AT93" s="516"/>
      <c r="AU93" s="520"/>
      <c r="AV93" s="517"/>
      <c r="AW93" s="520"/>
      <c r="AX93" s="517"/>
      <c r="AY93" s="520"/>
      <c r="AZ93" s="517"/>
      <c r="BA93" s="520"/>
      <c r="BB93" s="517"/>
      <c r="BC93" s="520"/>
      <c r="BD93" s="517"/>
      <c r="BE93" s="520"/>
      <c r="BF93" s="517"/>
      <c r="BG93" s="520"/>
      <c r="BH93" s="517"/>
      <c r="BI93" s="520"/>
      <c r="BJ93" s="517"/>
      <c r="BK93" s="520"/>
      <c r="BL93" s="517"/>
      <c r="BM93" s="520"/>
      <c r="BN93" s="517"/>
      <c r="BO93" s="520"/>
      <c r="BP93" s="517"/>
      <c r="BQ93" s="520"/>
      <c r="BR93" s="517"/>
      <c r="BS93" s="520"/>
      <c r="BT93" s="517"/>
      <c r="BU93" s="520"/>
      <c r="BV93" s="517"/>
      <c r="BW93" s="520"/>
      <c r="BX93" s="517"/>
      <c r="BY93" s="556" t="n">
        <f aca="false">AK93+AM93+AO93+AQ93+AS93+AU93+AW93+AY93+BA93+BC93+BE93+BG93+BI93+BK93+BM93+BO93+BQ93+BS93+BU93+BW93</f>
        <v>0</v>
      </c>
      <c r="BZ93" s="524" t="n">
        <f aca="false">IF(AND(BY93=0,CC93=0),0,(ABS(AK93)*AL93+ABS(AM93)*AN93+ABS(AO93)*AP93+ABS(AQ93)*AR93+ABS(AS93)*AT93+ABS(AU93)*AV93+ABS(AW93)*AX93+ABS(AY93)*AZ93+ABS(BA93)*BB93+ABS(BC93)*BD93+ABS(BE93)*BF93+ABS(BG93)*BH93+ABS(BI93)*BJ93+ABS(BK93)*BL93+ABS(BM93)*BN93+ABS(BO93)*BP93+ABS(BQ93)*BR93+ABS(BS93)*BT93+ABS(BU93)*BV93+ABS(BW93)*BX93)/CC93)</f>
        <v>0</v>
      </c>
      <c r="CA93" s="222"/>
      <c r="CB93" s="651" t="n">
        <f aca="false">AJ93</f>
        <v>2003</v>
      </c>
      <c r="CC93" s="222" t="n">
        <f aca="false">ABS(AK93)+ABS(AM93)+ABS(AO93)+ABS(AQ93)+ABS(AS93)+ABS(AU93)+ABS(AW93)+ABS(AY93)+ABS(BA93)+ABS(BC93)+ABS(BE93)+ABS(BG93)+ABS(BI93)+ABS(BK93)+ABS(BM93)+ABS(BO93)+ABS(BQ93)+ABS(BS93)+ABS(BU93)+ABS(BW93)</f>
        <v>0</v>
      </c>
      <c r="CD93" s="648" t="n">
        <f aca="false">CD49</f>
        <v>4080</v>
      </c>
      <c r="CE93" s="222" t="n">
        <f aca="false">CE49</f>
        <v>0.858743444902904</v>
      </c>
      <c r="CF93" s="527" t="n">
        <f aca="false">E93-B93</f>
        <v>0</v>
      </c>
      <c r="CG93" s="527" t="n">
        <f aca="false">IF(YEAR($A93)=$CG$10,(($I93-$AL$92)*$AK$92+($I93-$AN$92)*$AM$92+($I93-$AP$92)*$AO$92+($I93-$AR$92)*$AQ$92+($I93-$AT$92)*$AS$92+($I93-$AV$92)*$AU$92+($I93-$AX$92)*$AW$92+($I93-$AZ$92)*$AY$92+($I93-$BB$92)*$BA$92+($I93-$BD$92)*$BC$92+($I93-$BF$92)*$BE$92+($I93-$BH$92)*$BG$92+($I93-$BJ$92)*$BI$92+($I93-$BL$92)*$BK$92+($I93-$BN$92)*$BM$92+($I93-$BP$92)*$BO$92+($I93-$BR$92)*$BQ$92+($I93-$BT$92)*$BS$92+($I93-$BV$92)*$BU$92+($I93-$BX$92)*$BW$92)*$CN49*$CE93,0)</f>
        <v>0</v>
      </c>
      <c r="CH93" s="527" t="n">
        <f aca="false">IF(YEAR($A93)=$CH$10,(($I93-$AL$93)*$AK$93+($I93-$AN$93)*$AM$93+($I93-$AP$93)*$AO$93+($I93-$AR$93)*$AQ$93+($I93-$AT$93)*$AS$93+($I93-$AV$93)*$AU$93+($I93-$AX$93)*$AW$93+($I93-$AZ$93)*$AY$93+($I93-$BB$93)*$BA$93+($I93-$BD$93)*$BC$93+($I93-$BF$93)*$BE$93+($I93-$BH$93)*$BG$93+($I93-$BJ$93)*$BI$93+($I93-$BL$93)*$BK$93+($I93-$BN$93)*$BM$93+($I93-$BP$93)*$BO$93+($I93-$BR$93)*$BQ$93+($I93-$BT$93)*$BS$93+($I93-$BV$93)*$BU$93+($I93-$BX$93)*$BW$93)*$CN49*$CE93,0)</f>
        <v>0</v>
      </c>
      <c r="CI93" s="527" t="n">
        <f aca="false">IF(YEAR($A93)=$CI$10,(($I93-$AL$94)*$AK$94+($I93-$AN$94)*$AM$94+($I93-$AP$94)*$AO$94+($I93-$AR$94)*$AQ$94+($I93-$AT$94)*$AS$94+($I93-$AV$94)*$AU$94+($I93-$AX$94)*$AW$94+($I93-$AZ$94)*$AY$94+($I93-$BB$94)*$BA$94+($I93-$BD$94)*$BC$94+($I93-$BF$94)*$BE$94+($I93-$BH$94)*$BG$94+($I93-$BJ$94)*$BI$94+($I93-$BL$94)*$BK$94+($I93-$BN$94)*$BM$94+($I93-$BP$94)*$BO$94+($I93-$BR$94)*$BQ$94+($I93-$BT$94)*$BS$94+($I93-$BV$94)*$BU$94+($I93-$BX$94)*$BW$94)*$CN49*$CE93,0)</f>
        <v>0</v>
      </c>
      <c r="CJ93" s="439" t="n">
        <f aca="false">CC93*CD93</f>
        <v>0</v>
      </c>
      <c r="CM93" s="530"/>
      <c r="DJ93" s="532" t="n">
        <f aca="false">[1]Cinergy!$D115</f>
        <v>39630</v>
      </c>
      <c r="DK93" s="440" t="n">
        <f aca="false">VLOOKUP(DJ93,DL93:DM334,2)</f>
        <v>22</v>
      </c>
      <c r="DL93" s="533" t="n">
        <v>38200</v>
      </c>
      <c r="DM93" s="459" t="n">
        <v>22</v>
      </c>
      <c r="DP93" s="534" t="n">
        <f aca="false">[1]Cinergy!$D84</f>
        <v>38687</v>
      </c>
      <c r="DQ93" s="234" t="n">
        <f aca="false">[1]OPPD_NPPD!$O84+[1]NSP!$O84</f>
        <v>0</v>
      </c>
      <c r="DR93" s="234" t="n">
        <f aca="false">[1]COMED!$O84</f>
        <v>-13508.802734375</v>
      </c>
      <c r="DS93" s="234" t="n">
        <f aca="false">DQ93+DR93</f>
        <v>-13508.802734375</v>
      </c>
      <c r="DT93" s="234" t="n">
        <f aca="false">SUM([1]OPPD_NPPD!$P84:$R84)+SUM([1]NSP!$P84:$R84)</f>
        <v>0</v>
      </c>
      <c r="DU93" s="234" t="n">
        <f aca="false">SUM([1]COMED!$P84:$R84)</f>
        <v>0</v>
      </c>
      <c r="DV93" s="234" t="n">
        <f aca="false">DT93+DU93</f>
        <v>0</v>
      </c>
      <c r="DW93" s="535"/>
      <c r="DX93" s="536" t="n">
        <f aca="false">[1]OtherPosn!$D84</f>
        <v>37561</v>
      </c>
      <c r="DY93" s="234" t="n">
        <f aca="false">[1]OtherPosn!$N84</f>
        <v>106947.0390625</v>
      </c>
      <c r="DZ93" s="234" t="n">
        <f aca="false">SUM([1]OtherPosn!$O84:$P84)</f>
        <v>0</v>
      </c>
    </row>
    <row r="94" customFormat="false" ht="18.75" hidden="false" customHeight="false" outlineLevel="0" collapsed="false">
      <c r="A94" s="639" t="n">
        <f aca="false">[1]COMED!$D72</f>
        <v>38322</v>
      </c>
      <c r="B94" s="640" t="n">
        <f aca="false">[1]COMED!$O72</f>
        <v>0</v>
      </c>
      <c r="C94" s="641" t="n">
        <f aca="false">B94/(CE50*CD50)</f>
        <v>0</v>
      </c>
      <c r="D94" s="641" t="n">
        <f aca="false">IF(YEAR(A94)=$T$20,$BY$92,0)+IF(YEAR(A94)=$T$21,$BY$93,0)+IF(YEAR(A94)=$T$22,$BY$94,0)</f>
        <v>0</v>
      </c>
      <c r="E94" s="640" t="n">
        <f aca="false">B94+(D94*CN48*CE94)</f>
        <v>0</v>
      </c>
      <c r="F94" s="642" t="n">
        <f aca="false">C94+D94</f>
        <v>0</v>
      </c>
      <c r="G94" s="643" t="n">
        <f aca="false">[1]COMED!$E72</f>
        <v>29.9965648651123</v>
      </c>
      <c r="H94" s="643" t="n">
        <f aca="false">+[1]COMED!$F72</f>
        <v>-0.365001320838928</v>
      </c>
      <c r="I94" s="644" t="n">
        <f aca="false">G94+H94</f>
        <v>29.6315635442734</v>
      </c>
      <c r="J94" s="640" t="n">
        <f aca="false">H94*B94</f>
        <v>-0</v>
      </c>
      <c r="K94" s="189" t="n">
        <f aca="false">CG94+CH94+CI94</f>
        <v>0</v>
      </c>
      <c r="L94" s="645" t="n">
        <f aca="false">J94+K94</f>
        <v>0</v>
      </c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652" t="n">
        <f aca="false">V66</f>
        <v>2004</v>
      </c>
      <c r="AK94" s="653"/>
      <c r="AL94" s="654"/>
      <c r="AM94" s="653"/>
      <c r="AN94" s="654"/>
      <c r="AO94" s="653"/>
      <c r="AP94" s="654"/>
      <c r="AQ94" s="653"/>
      <c r="AR94" s="654"/>
      <c r="AS94" s="655"/>
      <c r="AT94" s="656"/>
      <c r="AU94" s="657"/>
      <c r="AV94" s="658"/>
      <c r="AW94" s="657"/>
      <c r="AX94" s="658"/>
      <c r="AY94" s="657"/>
      <c r="AZ94" s="658"/>
      <c r="BA94" s="657"/>
      <c r="BB94" s="658"/>
      <c r="BC94" s="657"/>
      <c r="BD94" s="658"/>
      <c r="BE94" s="657"/>
      <c r="BF94" s="658"/>
      <c r="BG94" s="657"/>
      <c r="BH94" s="658"/>
      <c r="BI94" s="657"/>
      <c r="BJ94" s="658"/>
      <c r="BK94" s="657"/>
      <c r="BL94" s="658"/>
      <c r="BM94" s="657"/>
      <c r="BN94" s="658"/>
      <c r="BO94" s="657"/>
      <c r="BP94" s="658"/>
      <c r="BQ94" s="657"/>
      <c r="BR94" s="658"/>
      <c r="BS94" s="657"/>
      <c r="BT94" s="658"/>
      <c r="BU94" s="657"/>
      <c r="BV94" s="658"/>
      <c r="BW94" s="657"/>
      <c r="BX94" s="658"/>
      <c r="BY94" s="659" t="n">
        <f aca="false">AK94+AM94+AO94+AQ94+AS94+AU94+AW94+AY94+BA94+BC94+BE94+BG94+BI94+BK94+BM94+BO94+BQ94+BS94+BU94+BW94</f>
        <v>0</v>
      </c>
      <c r="BZ94" s="660" t="n">
        <f aca="false">IF(AND(BY94=0,CC94=0),0,(ABS(AK94)*AL94+ABS(AM94)*AN94+ABS(AO94)*AP94+ABS(AQ94)*AR94+ABS(AS94)*AT94+ABS(AU94)*AV94+ABS(AW94)*AX94+ABS(AY94)*AZ94+ABS(BA94)*BB94+ABS(BC94)*BD94+ABS(BE94)*BF94+ABS(BG94)*BH94+ABS(BI94)*BJ94+ABS(BK94)*BL94+ABS(BM94)*BN94+ABS(BO94)*BP94+ABS(BQ94)*BR94+ABS(BS94)*BT94+ABS(BU94)*BV94+ABS(BW94)*BX94)/CC94)</f>
        <v>0</v>
      </c>
      <c r="CB94" s="651" t="n">
        <f aca="false">AJ94</f>
        <v>2004</v>
      </c>
      <c r="CC94" s="222" t="n">
        <f aca="false">ABS(AK94)+ABS(AM94)+ABS(AO94)+ABS(AQ94)+ABS(AS94)+ABS(AU94)+ABS(AW94)+ABS(AY94)+ABS(BA94)+ABS(BC94)+ABS(BE94)+ABS(BG94)+ABS(BI94)+ABS(BK94)+ABS(BM94)+ABS(BO94)+ABS(BQ94)+ABS(BS94)+ABS(BU94)+ABS(BW94)</f>
        <v>0</v>
      </c>
      <c r="CD94" s="648" t="n">
        <f aca="false">CD50</f>
        <v>4128</v>
      </c>
      <c r="CE94" s="222" t="n">
        <f aca="false">CE50</f>
        <v>0.854513970363169</v>
      </c>
      <c r="CF94" s="527" t="n">
        <f aca="false">E94-B94</f>
        <v>0</v>
      </c>
      <c r="CG94" s="527" t="n">
        <f aca="false">IF(YEAR($A94)=$CG$10,(($I94-$AL$92)*$AK$92+($I94-$AN$92)*$AM$92+($I94-$AP$92)*$AO$92+($I94-$AR$92)*$AQ$92+($I94-$AT$92)*$AS$92+($I94-$AV$92)*$AU$92+($I94-$AX$92)*$AW$92+($I94-$AZ$92)*$AY$92+($I94-$BB$92)*$BA$92+($I94-$BD$92)*$BC$92+($I94-$BF$92)*$BE$92+($I94-$BH$92)*$BG$92+($I94-$BJ$92)*$BI$92+($I94-$BL$92)*$BK$92+($I94-$BN$92)*$BM$92+($I94-$BP$92)*$BO$92+($I94-$BR$92)*$BQ$92+($I94-$BT$92)*$BS$92+($I94-$BV$92)*$BU$92+($I94-$BX$92)*$BW$92)*$CN50*$CE94,0)</f>
        <v>0</v>
      </c>
      <c r="CH94" s="527" t="n">
        <f aca="false">IF(YEAR($A94)=$CH$10,(($I94-$AL$93)*$AK$93+($I94-$AN$93)*$AM$93+($I94-$AP$93)*$AO$93+($I94-$AR$93)*$AQ$93+($I94-$AT$93)*$AS$93+($I94-$AV$93)*$AU$93+($I94-$AX$93)*$AW$93+($I94-$AZ$93)*$AY$93+($I94-$BB$93)*$BA$93+($I94-$BD$93)*$BC$93+($I94-$BF$93)*$BE$93+($I94-$BH$93)*$BG$93+($I94-$BJ$93)*$BI$93+($I94-$BL$93)*$BK$93+($I94-$BN$93)*$BM$93+($I94-$BP$93)*$BO$93+($I94-$BR$93)*$BQ$93+($I94-$BT$93)*$BS$93+($I94-$BV$93)*$BU$93+($I94-$BX$93)*$BW$93)*$CN50*$CE94,0)</f>
        <v>0</v>
      </c>
      <c r="CI94" s="527" t="n">
        <f aca="false">IF(YEAR($A94)=$CI$10,(($I94-$AL$94)*$AK$94+($I94-$AN$94)*$AM$94+($I94-$AP$94)*$AO$94+($I94-$AR$94)*$AQ$94+($I94-$AT$94)*$AS$94+($I94-$AV$94)*$AU$94+($I94-$AX$94)*$AW$94+($I94-$AZ$94)*$AY$94+($I94-$BB$94)*$BA$94+($I94-$BD$94)*$BC$94+($I94-$BF$94)*$BE$94+($I94-$BH$94)*$BG$94+($I94-$BJ$94)*$BI$94+($I94-$BL$94)*$BK$94+($I94-$BN$94)*$BM$94+($I94-$BP$94)*$BO$94+($I94-$BR$94)*$BQ$94+($I94-$BT$94)*$BS$94+($I94-$BV$94)*$BU$94+($I94-$BX$94)*$BW$94)*$CN50*$CE94,0)</f>
        <v>0</v>
      </c>
      <c r="CJ94" s="684" t="n">
        <f aca="false">CC94*CD94</f>
        <v>0</v>
      </c>
      <c r="CM94" s="530"/>
      <c r="DJ94" s="532" t="n">
        <f aca="false">[1]Cinergy!$D116</f>
        <v>39661</v>
      </c>
      <c r="DK94" s="440" t="n">
        <f aca="false">VLOOKUP(DJ94,DL94:DM335,2)</f>
        <v>21</v>
      </c>
      <c r="DL94" s="533" t="n">
        <v>38231</v>
      </c>
      <c r="DM94" s="459" t="n">
        <v>21</v>
      </c>
      <c r="DP94" s="534" t="n">
        <f aca="false">[1]Cinergy!$D85</f>
        <v>38718</v>
      </c>
      <c r="DQ94" s="234" t="n">
        <f aca="false">[1]OPPD_NPPD!$O85+[1]NSP!$O85</f>
        <v>0</v>
      </c>
      <c r="DR94" s="234" t="n">
        <f aca="false">[1]COMED!$O85</f>
        <v>-75823.015625</v>
      </c>
      <c r="DS94" s="234" t="n">
        <f aca="false">DQ94+DR94</f>
        <v>-75823.015625</v>
      </c>
      <c r="DT94" s="234" t="n">
        <f aca="false">SUM([1]OPPD_NPPD!$P85:$R85)+SUM([1]NSP!$P85:$R85)</f>
        <v>0</v>
      </c>
      <c r="DU94" s="234" t="n">
        <f aca="false">SUM([1]COMED!$P85:$R85)</f>
        <v>-24498.3815917969</v>
      </c>
      <c r="DV94" s="234" t="n">
        <f aca="false">DT94+DU94</f>
        <v>-24498.3815917969</v>
      </c>
      <c r="DW94" s="535"/>
      <c r="DX94" s="536" t="n">
        <f aca="false">[1]OtherPosn!$D85</f>
        <v>37591</v>
      </c>
      <c r="DY94" s="234" t="n">
        <f aca="false">[1]OtherPosn!$N85</f>
        <v>111848.28125</v>
      </c>
      <c r="DZ94" s="234" t="n">
        <f aca="false">SUM([1]OtherPosn!$O85:$P85)</f>
        <v>0</v>
      </c>
    </row>
    <row r="95" customFormat="false" ht="31.5" hidden="false" customHeight="true" outlineLevel="0" collapsed="false">
      <c r="A95" s="662"/>
      <c r="B95" s="662"/>
      <c r="C95" s="662"/>
      <c r="D95" s="662"/>
      <c r="E95" s="662"/>
      <c r="F95" s="662"/>
      <c r="G95" s="662"/>
      <c r="H95" s="662"/>
      <c r="I95" s="662"/>
      <c r="J95" s="662"/>
      <c r="K95" s="662"/>
      <c r="L95" s="662"/>
      <c r="M95" s="662"/>
      <c r="N95" s="662"/>
      <c r="O95" s="662"/>
      <c r="P95" s="662"/>
      <c r="Q95" s="662"/>
      <c r="R95" s="662"/>
      <c r="S95" s="662"/>
      <c r="T95" s="662"/>
      <c r="U95" s="662"/>
      <c r="V95" s="662"/>
      <c r="W95" s="662"/>
      <c r="X95" s="662"/>
      <c r="Y95" s="662"/>
      <c r="Z95" s="662"/>
      <c r="AA95" s="662"/>
      <c r="AB95" s="662"/>
      <c r="AC95" s="662"/>
      <c r="AD95" s="662"/>
      <c r="AE95" s="662"/>
      <c r="AF95" s="662"/>
      <c r="AG95" s="662"/>
      <c r="AH95" s="662"/>
      <c r="AI95" s="662"/>
      <c r="AJ95" s="662"/>
      <c r="AK95" s="662"/>
      <c r="AL95" s="662"/>
      <c r="AM95" s="662"/>
      <c r="AN95" s="662"/>
      <c r="AO95" s="662"/>
      <c r="AP95" s="662"/>
      <c r="AQ95" s="662"/>
      <c r="AR95" s="662"/>
      <c r="AS95" s="662"/>
      <c r="AT95" s="662"/>
      <c r="AU95" s="662"/>
      <c r="AV95" s="662"/>
      <c r="AW95" s="662"/>
      <c r="AX95" s="662"/>
      <c r="AY95" s="662"/>
      <c r="AZ95" s="662"/>
      <c r="BA95" s="662"/>
      <c r="BB95" s="662"/>
      <c r="BC95" s="662"/>
      <c r="BD95" s="662"/>
      <c r="BE95" s="662"/>
      <c r="BF95" s="662"/>
      <c r="BG95" s="662"/>
      <c r="BH95" s="662"/>
      <c r="BI95" s="662"/>
      <c r="BJ95" s="662"/>
      <c r="BK95" s="662"/>
      <c r="BL95" s="662"/>
      <c r="BM95" s="662"/>
      <c r="BN95" s="662"/>
      <c r="BO95" s="662"/>
      <c r="BP95" s="662"/>
      <c r="BQ95" s="662"/>
      <c r="BR95" s="662"/>
      <c r="BS95" s="662"/>
      <c r="BT95" s="662"/>
      <c r="BU95" s="662"/>
      <c r="BV95" s="662"/>
      <c r="BW95" s="662"/>
      <c r="BX95" s="662"/>
      <c r="BY95" s="662"/>
      <c r="BZ95" s="662"/>
      <c r="CA95" s="662"/>
      <c r="CB95" s="662"/>
      <c r="CC95" s="662"/>
      <c r="CD95" s="662"/>
      <c r="CE95" s="662"/>
      <c r="CF95" s="662"/>
      <c r="CG95" s="662"/>
      <c r="CH95" s="662"/>
      <c r="CI95" s="665" t="s">
        <v>299</v>
      </c>
      <c r="CJ95" s="666" t="n">
        <f aca="false">SUM(CJ56:CJ94)</f>
        <v>36800</v>
      </c>
      <c r="CK95" s="662"/>
      <c r="CL95" s="662"/>
      <c r="CM95" s="662"/>
      <c r="CN95" s="662"/>
      <c r="CO95" s="662"/>
      <c r="CP95" s="662"/>
      <c r="CQ95" s="662"/>
      <c r="CR95" s="662"/>
      <c r="CS95" s="662"/>
      <c r="CT95" s="662"/>
      <c r="CU95" s="662"/>
      <c r="CV95" s="662"/>
      <c r="CW95" s="662"/>
      <c r="CX95" s="662"/>
      <c r="CY95" s="662"/>
      <c r="CZ95" s="662"/>
      <c r="DA95" s="662"/>
      <c r="DB95" s="662"/>
      <c r="DC95" s="662"/>
      <c r="DD95" s="662"/>
      <c r="DE95" s="662"/>
      <c r="DF95" s="662"/>
      <c r="DG95" s="662"/>
      <c r="DH95" s="662"/>
      <c r="DI95" s="662"/>
      <c r="DJ95" s="532" t="n">
        <f aca="false">[1]Cinergy!$D117</f>
        <v>39692</v>
      </c>
      <c r="DK95" s="440" t="n">
        <f aca="false">VLOOKUP(DJ95,DL95:DM336,2)</f>
        <v>21</v>
      </c>
      <c r="DL95" s="533" t="n">
        <v>38261</v>
      </c>
      <c r="DM95" s="459" t="n">
        <v>21</v>
      </c>
      <c r="DN95" s="662"/>
      <c r="DO95" s="662"/>
      <c r="DP95" s="534" t="n">
        <f aca="false">[1]Cinergy!$D86</f>
        <v>38749</v>
      </c>
      <c r="DQ95" s="234" t="n">
        <f aca="false">[1]OPPD_NPPD!$O86+[1]NSP!$O86</f>
        <v>0</v>
      </c>
      <c r="DR95" s="234" t="n">
        <f aca="false">[1]COMED!$O86</f>
        <v>-71880.90625</v>
      </c>
      <c r="DS95" s="234" t="n">
        <f aca="false">DQ95+DR95</f>
        <v>-71880.90625</v>
      </c>
      <c r="DT95" s="234" t="n">
        <f aca="false">SUM([1]OPPD_NPPD!$P86:$R86)+SUM([1]NSP!$P86:$R86)</f>
        <v>0</v>
      </c>
      <c r="DU95" s="234" t="n">
        <f aca="false">SUM([1]COMED!$P86:$R86)</f>
        <v>-20477.0537109375</v>
      </c>
      <c r="DV95" s="234" t="n">
        <f aca="false">DT95+DU95</f>
        <v>-20477.0537109375</v>
      </c>
      <c r="DW95" s="535"/>
      <c r="DX95" s="536" t="n">
        <f aca="false">[1]OtherPosn!$D86</f>
        <v>37622</v>
      </c>
      <c r="DY95" s="234" t="n">
        <f aca="false">[1]OtherPosn!$N86</f>
        <v>16676.56640625</v>
      </c>
      <c r="DZ95" s="234" t="n">
        <f aca="false">SUM([1]OtherPosn!$O86:$P86)</f>
        <v>0</v>
      </c>
      <c r="EA95" s="662"/>
      <c r="EB95" s="662"/>
      <c r="EC95" s="662"/>
      <c r="ED95" s="662"/>
      <c r="EE95" s="662"/>
      <c r="EF95" s="662"/>
      <c r="EG95" s="662"/>
      <c r="EH95" s="662"/>
      <c r="EI95" s="662"/>
      <c r="EJ95" s="662"/>
      <c r="EK95" s="662"/>
      <c r="EL95" s="662"/>
      <c r="EM95" s="662"/>
      <c r="EN95" s="662"/>
      <c r="EO95" s="662"/>
      <c r="EP95" s="662"/>
      <c r="EQ95" s="662"/>
      <c r="ER95" s="662"/>
      <c r="ES95" s="662"/>
      <c r="ET95" s="662"/>
      <c r="EU95" s="662"/>
      <c r="EV95" s="662"/>
      <c r="EW95" s="662"/>
      <c r="EX95" s="662"/>
      <c r="EY95" s="662"/>
      <c r="EZ95" s="662"/>
      <c r="FA95" s="662"/>
      <c r="FB95" s="662"/>
      <c r="FC95" s="662"/>
      <c r="FD95" s="662"/>
      <c r="FE95" s="662"/>
      <c r="FF95" s="662"/>
      <c r="FG95" s="662"/>
      <c r="FH95" s="662"/>
      <c r="FI95" s="662"/>
      <c r="FJ95" s="662"/>
      <c r="FK95" s="662"/>
      <c r="FL95" s="662"/>
      <c r="FM95" s="662"/>
      <c r="FN95" s="662"/>
      <c r="FO95" s="662"/>
      <c r="FP95" s="662"/>
      <c r="FQ95" s="662"/>
      <c r="FR95" s="662"/>
      <c r="FS95" s="662"/>
      <c r="FT95" s="662"/>
      <c r="FU95" s="662"/>
      <c r="FV95" s="662"/>
      <c r="FW95" s="662"/>
      <c r="FX95" s="662"/>
      <c r="FY95" s="662"/>
      <c r="FZ95" s="662"/>
      <c r="GA95" s="662"/>
      <c r="GB95" s="662"/>
      <c r="GC95" s="662"/>
      <c r="GD95" s="662"/>
      <c r="GE95" s="662"/>
      <c r="GF95" s="662"/>
      <c r="GG95" s="662"/>
      <c r="GH95" s="662"/>
      <c r="GI95" s="662"/>
      <c r="GJ95" s="662"/>
      <c r="GK95" s="662"/>
      <c r="GL95" s="662"/>
      <c r="GM95" s="662"/>
      <c r="GN95" s="662"/>
      <c r="GO95" s="662"/>
      <c r="GP95" s="662"/>
      <c r="GQ95" s="662"/>
      <c r="GR95" s="662"/>
      <c r="GS95" s="662"/>
      <c r="GT95" s="662"/>
      <c r="GU95" s="662"/>
      <c r="GV95" s="662"/>
      <c r="GW95" s="662"/>
      <c r="GX95" s="662"/>
      <c r="GY95" s="662"/>
      <c r="GZ95" s="662"/>
      <c r="HA95" s="662"/>
      <c r="HB95" s="662"/>
      <c r="HC95" s="662"/>
      <c r="HD95" s="662"/>
      <c r="HE95" s="662"/>
      <c r="HF95" s="662"/>
      <c r="HG95" s="662"/>
      <c r="HH95" s="662"/>
      <c r="HI95" s="662"/>
      <c r="HJ95" s="662"/>
      <c r="HK95" s="662"/>
      <c r="HL95" s="662"/>
      <c r="HM95" s="662"/>
      <c r="HN95" s="662"/>
      <c r="HO95" s="662"/>
      <c r="HP95" s="662"/>
      <c r="HQ95" s="662"/>
      <c r="HR95" s="662"/>
      <c r="HS95" s="662"/>
      <c r="HT95" s="662"/>
      <c r="HU95" s="662"/>
      <c r="HV95" s="662"/>
      <c r="HW95" s="662"/>
      <c r="HX95" s="662"/>
      <c r="HY95" s="662"/>
      <c r="HZ95" s="662"/>
      <c r="IA95" s="662"/>
      <c r="IB95" s="662"/>
      <c r="IC95" s="662"/>
      <c r="ID95" s="662"/>
      <c r="IE95" s="662"/>
      <c r="IF95" s="662"/>
      <c r="IG95" s="662"/>
      <c r="IH95" s="662"/>
      <c r="II95" s="662"/>
      <c r="IJ95" s="662"/>
      <c r="IK95" s="662"/>
      <c r="IL95" s="662"/>
      <c r="IM95" s="662"/>
      <c r="IN95" s="662"/>
      <c r="IO95" s="662"/>
      <c r="IP95" s="662"/>
      <c r="IQ95" s="662"/>
      <c r="IR95" s="662"/>
      <c r="IS95" s="662"/>
      <c r="IT95" s="662"/>
      <c r="IU95" s="662"/>
      <c r="IV95" s="662"/>
      <c r="IW95" s="662"/>
    </row>
    <row r="96" customFormat="false" ht="20.25" hidden="false" customHeight="false" outlineLevel="0" collapsed="false">
      <c r="A96" s="49" t="s">
        <v>304</v>
      </c>
      <c r="B96" s="46"/>
      <c r="C96" s="46"/>
      <c r="D96" s="47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CF96" s="446" t="n">
        <f aca="false">SUM(CF12:CF50)+SUM(CF56:CF94)</f>
        <v>1406097.49047569</v>
      </c>
      <c r="DJ96" s="532" t="n">
        <f aca="false">[1]Cinergy!$D118</f>
        <v>39722</v>
      </c>
      <c r="DK96" s="440" t="n">
        <f aca="false">VLOOKUP(DJ96,DL96:DM337,2)</f>
        <v>23</v>
      </c>
      <c r="DL96" s="533" t="n">
        <v>38292</v>
      </c>
      <c r="DM96" s="459" t="n">
        <v>21</v>
      </c>
      <c r="DP96" s="534" t="n">
        <f aca="false">[1]Cinergy!$D87</f>
        <v>38777</v>
      </c>
      <c r="DQ96" s="234" t="n">
        <f aca="false">[1]OPPD_NPPD!$O87+[1]NSP!$O87</f>
        <v>0</v>
      </c>
      <c r="DR96" s="234" t="n">
        <f aca="false">[1]COMED!$O87</f>
        <v>-83409.3125</v>
      </c>
      <c r="DS96" s="234" t="n">
        <f aca="false">DQ96+DR96</f>
        <v>-83409.3125</v>
      </c>
      <c r="DT96" s="234" t="n">
        <f aca="false">SUM([1]OPPD_NPPD!$P87:$R87)+SUM([1]NSP!$P87:$R87)</f>
        <v>0</v>
      </c>
      <c r="DU96" s="234" t="n">
        <f aca="false">SUM([1]COMED!$P87:$R87)</f>
        <v>-22358.5649414063</v>
      </c>
      <c r="DV96" s="234" t="n">
        <f aca="false">DT96+DU96</f>
        <v>-22358.5649414063</v>
      </c>
      <c r="DW96" s="535"/>
      <c r="DX96" s="536" t="n">
        <f aca="false">[1]OtherPosn!$D87</f>
        <v>37653</v>
      </c>
      <c r="DY96" s="234" t="n">
        <f aca="false">[1]OtherPosn!$N87</f>
        <v>15106.5498046875</v>
      </c>
      <c r="DZ96" s="234" t="n">
        <f aca="false">SUM([1]OtherPosn!$O87:$P87)</f>
        <v>0</v>
      </c>
    </row>
    <row r="97" customFormat="false" ht="13.5" hidden="false" customHeight="false" outlineLevel="0" collapsed="false">
      <c r="A97" s="59"/>
      <c r="B97" s="685"/>
      <c r="C97" s="46"/>
      <c r="D97" s="47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DJ97" s="532" t="n">
        <f aca="false">[1]Cinergy!$D119</f>
        <v>39753</v>
      </c>
      <c r="DK97" s="440" t="n">
        <f aca="false">VLOOKUP(DJ97,DL97:DM338,2)</f>
        <v>19</v>
      </c>
      <c r="DL97" s="533" t="n">
        <v>38322</v>
      </c>
      <c r="DM97" s="459" t="n">
        <v>23</v>
      </c>
      <c r="DP97" s="534" t="n">
        <f aca="false">[1]Cinergy!$D88</f>
        <v>38808</v>
      </c>
      <c r="DQ97" s="234" t="n">
        <f aca="false">[1]OPPD_NPPD!$O88+[1]NSP!$O88</f>
        <v>0</v>
      </c>
      <c r="DR97" s="234" t="n">
        <f aca="false">[1]COMED!$O88</f>
        <v>-71919.0234375</v>
      </c>
      <c r="DS97" s="234" t="n">
        <f aca="false">DQ97+DR97</f>
        <v>-71919.0234375</v>
      </c>
      <c r="DT97" s="234" t="n">
        <f aca="false">SUM([1]OPPD_NPPD!$P88:$R88)+SUM([1]NSP!$P88:$R88)</f>
        <v>0</v>
      </c>
      <c r="DU97" s="234" t="n">
        <f aca="false">SUM([1]COMED!$P88:$R88)</f>
        <v>-23314.48828125</v>
      </c>
      <c r="DV97" s="234" t="n">
        <f aca="false">DT97+DU97</f>
        <v>-23314.48828125</v>
      </c>
      <c r="DW97" s="535"/>
      <c r="DX97" s="536" t="n">
        <f aca="false">[1]OtherPosn!$D88</f>
        <v>37681</v>
      </c>
      <c r="DY97" s="234" t="n">
        <f aca="false">[1]OtherPosn!$N88</f>
        <v>15798.41015625</v>
      </c>
      <c r="DZ97" s="234" t="n">
        <f aca="false">SUM([1]OtherPosn!$O88:$P88)</f>
        <v>0</v>
      </c>
    </row>
    <row r="98" customFormat="false" ht="12.75" hidden="false" customHeight="false" outlineLevel="0" collapsed="false">
      <c r="A98" s="68"/>
      <c r="B98" s="68" t="s">
        <v>301</v>
      </c>
      <c r="C98" s="68" t="s">
        <v>68</v>
      </c>
      <c r="D98" s="68" t="s">
        <v>69</v>
      </c>
      <c r="E98" s="68" t="s">
        <v>70</v>
      </c>
      <c r="F98" s="68" t="s">
        <v>70</v>
      </c>
      <c r="G98" s="68" t="s">
        <v>155</v>
      </c>
      <c r="H98" s="68" t="s">
        <v>69</v>
      </c>
      <c r="I98" s="68" t="s">
        <v>260</v>
      </c>
      <c r="J98" s="68" t="s">
        <v>72</v>
      </c>
      <c r="K98" s="478" t="s">
        <v>73</v>
      </c>
      <c r="L98" s="478"/>
      <c r="M98" s="46"/>
      <c r="N98" s="566" t="s">
        <v>305</v>
      </c>
      <c r="O98" s="686"/>
      <c r="P98" s="686" t="s">
        <v>306</v>
      </c>
      <c r="Q98" s="478" t="s">
        <v>306</v>
      </c>
      <c r="R98" s="686" t="s">
        <v>185</v>
      </c>
      <c r="S98" s="478" t="s">
        <v>185</v>
      </c>
      <c r="T98" s="46"/>
      <c r="U98" s="46"/>
      <c r="V98" s="46"/>
      <c r="W98" s="566" t="s">
        <v>305</v>
      </c>
      <c r="X98" s="478"/>
      <c r="Y98" s="478" t="s">
        <v>306</v>
      </c>
      <c r="Z98" s="478" t="s">
        <v>306</v>
      </c>
      <c r="AA98" s="46"/>
      <c r="AB98" s="46"/>
      <c r="AC98" s="46"/>
      <c r="AD98" s="46"/>
      <c r="AE98" s="46"/>
      <c r="AF98" s="46"/>
      <c r="AG98" s="46"/>
      <c r="AH98" s="46"/>
      <c r="AI98" s="46"/>
      <c r="AK98" s="442" t="s">
        <v>307</v>
      </c>
      <c r="AL98" s="442"/>
      <c r="AM98" s="442"/>
      <c r="AN98" s="442"/>
      <c r="AO98" s="442"/>
      <c r="AP98" s="442"/>
      <c r="AQ98" s="442" t="s">
        <v>308</v>
      </c>
      <c r="DJ98" s="532" t="n">
        <f aca="false">[1]Cinergy!$D120</f>
        <v>39783</v>
      </c>
      <c r="DK98" s="440" t="n">
        <f aca="false">VLOOKUP(DJ98,DL98:DM339,2)</f>
        <v>22</v>
      </c>
      <c r="DL98" s="533" t="n">
        <v>38353</v>
      </c>
      <c r="DM98" s="459" t="n">
        <v>21</v>
      </c>
      <c r="DP98" s="534" t="n">
        <f aca="false">[1]Cinergy!$D89</f>
        <v>38838</v>
      </c>
      <c r="DQ98" s="234" t="n">
        <f aca="false">[1]OPPD_NPPD!$O89+[1]NSP!$O89</f>
        <v>0</v>
      </c>
      <c r="DR98" s="234" t="n">
        <f aca="false">[1]COMED!$O89</f>
        <v>-76208.5078125</v>
      </c>
      <c r="DS98" s="234" t="n">
        <f aca="false">DQ98+DR98</f>
        <v>-76208.5078125</v>
      </c>
      <c r="DT98" s="234" t="n">
        <f aca="false">SUM([1]OPPD_NPPD!$P89:$R89)+SUM([1]NSP!$P89:$R89)</f>
        <v>0</v>
      </c>
      <c r="DU98" s="234" t="n">
        <f aca="false">SUM([1]COMED!$P89:$R89)</f>
        <v>-19993.1164550781</v>
      </c>
      <c r="DV98" s="234" t="n">
        <f aca="false">DT98+DU98</f>
        <v>-19993.1164550781</v>
      </c>
      <c r="DW98" s="535"/>
      <c r="DX98" s="536" t="n">
        <f aca="false">[1]OtherPosn!$D89</f>
        <v>37712</v>
      </c>
      <c r="DY98" s="234" t="n">
        <f aca="false">[1]OtherPosn!$N89</f>
        <v>16485.744140625</v>
      </c>
      <c r="DZ98" s="234" t="n">
        <f aca="false">SUM([1]OtherPosn!$O89:$P89)</f>
        <v>0</v>
      </c>
    </row>
    <row r="99" customFormat="false" ht="13.5" hidden="false" customHeight="false" outlineLevel="0" collapsed="false">
      <c r="A99" s="82" t="s">
        <v>79</v>
      </c>
      <c r="B99" s="82" t="s">
        <v>302</v>
      </c>
      <c r="C99" s="82" t="s">
        <v>81</v>
      </c>
      <c r="D99" s="82" t="s">
        <v>82</v>
      </c>
      <c r="E99" s="82" t="s">
        <v>80</v>
      </c>
      <c r="F99" s="82" t="s">
        <v>81</v>
      </c>
      <c r="G99" s="82" t="s">
        <v>275</v>
      </c>
      <c r="H99" s="82" t="s">
        <v>6</v>
      </c>
      <c r="I99" s="82" t="s">
        <v>275</v>
      </c>
      <c r="J99" s="82" t="s">
        <v>85</v>
      </c>
      <c r="K99" s="486" t="s">
        <v>86</v>
      </c>
      <c r="L99" s="486" t="s">
        <v>87</v>
      </c>
      <c r="M99" s="46"/>
      <c r="N99" s="569" t="s">
        <v>309</v>
      </c>
      <c r="O99" s="687" t="s">
        <v>14</v>
      </c>
      <c r="P99" s="687" t="s">
        <v>81</v>
      </c>
      <c r="Q99" s="486" t="s">
        <v>80</v>
      </c>
      <c r="R99" s="687" t="s">
        <v>81</v>
      </c>
      <c r="S99" s="486" t="s">
        <v>80</v>
      </c>
      <c r="T99" s="46"/>
      <c r="U99" s="46"/>
      <c r="V99" s="46"/>
      <c r="W99" s="569" t="s">
        <v>309</v>
      </c>
      <c r="X99" s="486" t="s">
        <v>14</v>
      </c>
      <c r="Y99" s="486" t="s">
        <v>81</v>
      </c>
      <c r="Z99" s="486" t="s">
        <v>80</v>
      </c>
      <c r="AA99" s="46"/>
      <c r="AB99" s="46"/>
      <c r="AC99" s="46"/>
      <c r="AD99" s="46"/>
      <c r="AE99" s="46"/>
      <c r="AF99" s="46"/>
      <c r="AG99" s="46"/>
      <c r="AH99" s="46"/>
      <c r="AI99" s="46"/>
      <c r="AK99" s="439" t="s">
        <v>310</v>
      </c>
      <c r="AL99" s="439" t="s">
        <v>311</v>
      </c>
      <c r="AQ99" s="439" t="s">
        <v>310</v>
      </c>
      <c r="AR99" s="439" t="s">
        <v>311</v>
      </c>
      <c r="DJ99" s="532" t="n">
        <f aca="false">[1]Cinergy!$D121</f>
        <v>39814</v>
      </c>
      <c r="DK99" s="440" t="n">
        <f aca="false">VLOOKUP(DJ99,DL99:DM340,2)</f>
        <v>21</v>
      </c>
      <c r="DL99" s="533" t="n">
        <v>38384</v>
      </c>
      <c r="DM99" s="459" t="n">
        <v>20</v>
      </c>
      <c r="DP99" s="534" t="n">
        <f aca="false">[1]Cinergy!$D90</f>
        <v>38869</v>
      </c>
      <c r="DQ99" s="234" t="n">
        <f aca="false">[1]OPPD_NPPD!$O90+[1]NSP!$O90</f>
        <v>0</v>
      </c>
      <c r="DR99" s="234" t="n">
        <f aca="false">[1]COMED!$O90</f>
        <v>-74445.3828125</v>
      </c>
      <c r="DS99" s="234" t="n">
        <f aca="false">DQ99+DR99</f>
        <v>-74445.3828125</v>
      </c>
      <c r="DT99" s="234" t="n">
        <f aca="false">SUM([1]OPPD_NPPD!$P90:$R90)+SUM([1]NSP!$P90:$R90)</f>
        <v>0</v>
      </c>
      <c r="DU99" s="234" t="n">
        <f aca="false">SUM([1]COMED!$P90:$R90)</f>
        <v>-17809.4453125</v>
      </c>
      <c r="DV99" s="234" t="n">
        <f aca="false">DT99+DU99</f>
        <v>-17809.4453125</v>
      </c>
      <c r="DW99" s="535"/>
      <c r="DX99" s="536" t="n">
        <f aca="false">[1]OtherPosn!$D90</f>
        <v>37742</v>
      </c>
      <c r="DY99" s="234" t="n">
        <f aca="false">[1]OtherPosn!$N90</f>
        <v>15673.4755859375</v>
      </c>
      <c r="DZ99" s="234" t="n">
        <f aca="false">SUM([1]OtherPosn!$O90:$P90)</f>
        <v>0</v>
      </c>
    </row>
    <row r="100" customFormat="false" ht="15.75" hidden="false" customHeight="false" outlineLevel="0" collapsed="false">
      <c r="A100" s="95" t="n">
        <f aca="false">A56</f>
        <v>37195</v>
      </c>
      <c r="B100" s="122" t="n">
        <f aca="false">B12+B56</f>
        <v>-619968.510742188</v>
      </c>
      <c r="C100" s="122" t="n">
        <f aca="false">C12+C56</f>
        <v>-1697.33437954166</v>
      </c>
      <c r="D100" s="122" t="n">
        <f aca="false">D12+D56</f>
        <v>1450</v>
      </c>
      <c r="E100" s="122" t="n">
        <f aca="false">E12+E56</f>
        <v>-90341.3780973388</v>
      </c>
      <c r="F100" s="688" t="n">
        <f aca="false">F12+F56</f>
        <v>-247.334379541658</v>
      </c>
      <c r="G100" s="122" t="s">
        <v>312</v>
      </c>
      <c r="H100" s="122" t="s">
        <v>312</v>
      </c>
      <c r="I100" s="122" t="s">
        <v>312</v>
      </c>
      <c r="J100" s="122" t="n">
        <f aca="false">J12+J56</f>
        <v>65014.0764879398</v>
      </c>
      <c r="K100" s="122" t="n">
        <f aca="false">K12+K56</f>
        <v>-52049.1728959171</v>
      </c>
      <c r="L100" s="122" t="n">
        <f aca="false">L12+L56</f>
        <v>12964.9035920227</v>
      </c>
      <c r="M100" s="46"/>
      <c r="N100" s="575" t="str">
        <f aca="false">V71</f>
        <v>Q4 2001</v>
      </c>
      <c r="O100" s="689" t="n">
        <f aca="false">W56-W12</f>
        <v>-1.18125066161156</v>
      </c>
      <c r="P100" s="575" t="n">
        <f aca="false">W71-W27</f>
        <v>3893.16923882657</v>
      </c>
      <c r="Q100" s="575" t="n">
        <f aca="false">X71-X27</f>
        <v>1301158.4652528</v>
      </c>
      <c r="R100" s="575" t="n">
        <f aca="false">W71+W27</f>
        <v>-1417.6613279798</v>
      </c>
      <c r="S100" s="575" t="n">
        <f aca="false">X71+X27</f>
        <v>-477320.606595518</v>
      </c>
      <c r="T100" s="46"/>
      <c r="U100" s="46"/>
      <c r="V100" s="46"/>
      <c r="W100" s="690" t="n">
        <f aca="false">A100</f>
        <v>37195</v>
      </c>
      <c r="X100" s="691" t="n">
        <f aca="false">I56-I12</f>
        <v>-1.5</v>
      </c>
      <c r="Y100" s="574" t="n">
        <f aca="false">F56-F12</f>
        <v>807.423925127643</v>
      </c>
      <c r="Z100" s="574" t="n">
        <f aca="false">E56-E12</f>
        <v>294919.736754623</v>
      </c>
      <c r="AA100" s="46"/>
      <c r="AB100" s="46"/>
      <c r="AC100" s="46"/>
      <c r="AD100" s="46"/>
      <c r="AE100" s="46"/>
      <c r="AF100" s="46"/>
      <c r="AG100" s="46"/>
      <c r="AH100" s="46"/>
      <c r="AI100" s="46"/>
      <c r="AJ100" s="439" t="s">
        <v>131</v>
      </c>
      <c r="AK100" s="439" t="n">
        <v>1</v>
      </c>
      <c r="AL100" s="458" t="n">
        <v>40</v>
      </c>
      <c r="AM100" s="439" t="n">
        <f aca="false">AK100*AL100</f>
        <v>40</v>
      </c>
      <c r="AP100" s="439" t="s">
        <v>131</v>
      </c>
      <c r="AQ100" s="439" t="n">
        <v>-50</v>
      </c>
      <c r="AR100" s="458" t="n">
        <v>39.75</v>
      </c>
      <c r="AS100" s="439" t="n">
        <f aca="false">AQ100*AR100</f>
        <v>-1987.5</v>
      </c>
      <c r="DJ100" s="532" t="n">
        <f aca="false">[1]Cinergy!$D122</f>
        <v>39845</v>
      </c>
      <c r="DK100" s="440" t="n">
        <f aca="false">VLOOKUP(DJ100,DL100:DM341,2)</f>
        <v>20</v>
      </c>
      <c r="DL100" s="533" t="n">
        <v>38412</v>
      </c>
      <c r="DM100" s="459" t="n">
        <v>23</v>
      </c>
      <c r="DP100" s="534" t="n">
        <f aca="false">[1]Cinergy!$D91</f>
        <v>38899</v>
      </c>
      <c r="DQ100" s="234" t="n">
        <f aca="false">[1]OPPD_NPPD!$O91+[1]NSP!$O91</f>
        <v>0</v>
      </c>
      <c r="DR100" s="234" t="n">
        <f aca="false">[1]COMED!$O91</f>
        <v>-65334.41796875</v>
      </c>
      <c r="DS100" s="234" t="n">
        <f aca="false">DQ100+DR100</f>
        <v>-65334.41796875</v>
      </c>
      <c r="DT100" s="234" t="n">
        <f aca="false">SUM([1]OPPD_NPPD!$P91:$R91)+SUM([1]NSP!$P91:$R91)</f>
        <v>0</v>
      </c>
      <c r="DU100" s="234" t="n">
        <f aca="false">SUM([1]COMED!$P91:$R91)</f>
        <v>-19424.6430664063</v>
      </c>
      <c r="DV100" s="234" t="n">
        <f aca="false">DT100+DU100</f>
        <v>-19424.6430664063</v>
      </c>
      <c r="DW100" s="535"/>
      <c r="DX100" s="536" t="n">
        <f aca="false">[1]OtherPosn!$D91</f>
        <v>37773</v>
      </c>
      <c r="DY100" s="234" t="n">
        <f aca="false">[1]OtherPosn!$N91</f>
        <v>15605.4013671875</v>
      </c>
      <c r="DZ100" s="234" t="n">
        <f aca="false">SUM([1]OtherPosn!$O91:$P91)</f>
        <v>0</v>
      </c>
    </row>
    <row r="101" customFormat="false" ht="15.75" hidden="false" customHeight="false" outlineLevel="0" collapsed="false">
      <c r="A101" s="95" t="n">
        <f aca="false">A57</f>
        <v>37196</v>
      </c>
      <c r="B101" s="122" t="n">
        <f aca="false">B13+B57</f>
        <v>-811119.625</v>
      </c>
      <c r="C101" s="122" t="n">
        <f aca="false">C13+C57</f>
        <v>-2439.18253312186</v>
      </c>
      <c r="D101" s="122" t="n">
        <f aca="false">D13+D57</f>
        <v>1400</v>
      </c>
      <c r="E101" s="122" t="n">
        <f aca="false">E13+E57</f>
        <v>-345567.146011636</v>
      </c>
      <c r="F101" s="692" t="n">
        <f aca="false">F13+F57</f>
        <v>-1039.18253312186</v>
      </c>
      <c r="G101" s="122" t="s">
        <v>312</v>
      </c>
      <c r="H101" s="122" t="s">
        <v>312</v>
      </c>
      <c r="I101" s="122" t="s">
        <v>312</v>
      </c>
      <c r="J101" s="122" t="n">
        <f aca="false">J13+J57</f>
        <v>-40556.2906675839</v>
      </c>
      <c r="K101" s="122" t="n">
        <f aca="false">K13+K57</f>
        <v>23277.8015435964</v>
      </c>
      <c r="L101" s="122" t="n">
        <f aca="false">L13+L57</f>
        <v>-17278.4891239875</v>
      </c>
      <c r="M101" s="46"/>
      <c r="N101" s="579" t="str">
        <f aca="false">V72</f>
        <v>Q1 2002</v>
      </c>
      <c r="O101" s="578" t="n">
        <f aca="false">W57-W13</f>
        <v>-1.2673638056195</v>
      </c>
      <c r="P101" s="579" t="n">
        <f aca="false">W72-W28</f>
        <v>-4582.60658566038</v>
      </c>
      <c r="Q101" s="579" t="n">
        <f aca="false">X72-X28</f>
        <v>-1513090.69785178</v>
      </c>
      <c r="R101" s="579" t="n">
        <f aca="false">W72+W28</f>
        <v>-637.540869816399</v>
      </c>
      <c r="S101" s="579" t="n">
        <f aca="false">X72+X28</f>
        <v>-210279.474023219</v>
      </c>
      <c r="T101" s="46"/>
      <c r="U101" s="46"/>
      <c r="V101" s="46"/>
      <c r="W101" s="693" t="n">
        <f aca="false">A101</f>
        <v>37196</v>
      </c>
      <c r="X101" s="694" t="n">
        <f aca="false">I57-I13</f>
        <v>-1.10000419616699</v>
      </c>
      <c r="Y101" s="695" t="n">
        <f aca="false">F57-F13</f>
        <v>1899.35510887569</v>
      </c>
      <c r="Z101" s="695" t="n">
        <f aca="false">E57-E13</f>
        <v>631606.771011636</v>
      </c>
      <c r="AA101" s="46"/>
      <c r="AB101" s="46"/>
      <c r="AC101" s="46"/>
      <c r="AD101" s="46"/>
      <c r="AE101" s="46"/>
      <c r="AF101" s="46"/>
      <c r="AG101" s="46"/>
      <c r="AH101" s="46"/>
      <c r="AI101" s="46"/>
      <c r="AL101" s="458"/>
      <c r="AM101" s="439" t="n">
        <f aca="false">AK101*AL101</f>
        <v>0</v>
      </c>
      <c r="AQ101" s="439" t="n">
        <v>-30</v>
      </c>
      <c r="AR101" s="458" t="n">
        <v>40.25</v>
      </c>
      <c r="AS101" s="439" t="n">
        <f aca="false">AQ101*AR101</f>
        <v>-1207.5</v>
      </c>
      <c r="DJ101" s="532" t="n">
        <f aca="false">[1]Cinergy!$D123</f>
        <v>39873</v>
      </c>
      <c r="DK101" s="440" t="n">
        <f aca="false">VLOOKUP(DJ101,DL101:DM342,2)</f>
        <v>22</v>
      </c>
      <c r="DL101" s="533" t="n">
        <v>38443</v>
      </c>
      <c r="DM101" s="459" t="n">
        <v>21</v>
      </c>
      <c r="DP101" s="534" t="n">
        <f aca="false">[1]Cinergy!$D92</f>
        <v>38930</v>
      </c>
      <c r="DQ101" s="234" t="n">
        <f aca="false">[1]OPPD_NPPD!$O92+[1]NSP!$O92</f>
        <v>0</v>
      </c>
      <c r="DR101" s="234" t="n">
        <f aca="false">[1]COMED!$O92</f>
        <v>-74461.859375</v>
      </c>
      <c r="DS101" s="234" t="n">
        <f aca="false">DQ101+DR101</f>
        <v>-74461.859375</v>
      </c>
      <c r="DT101" s="234" t="n">
        <f aca="false">SUM([1]OPPD_NPPD!$P92:$R92)+SUM([1]NSP!$P92:$R92)</f>
        <v>0</v>
      </c>
      <c r="DU101" s="234" t="n">
        <f aca="false">SUM([1]COMED!$P92:$R92)</f>
        <v>-17136.267578125</v>
      </c>
      <c r="DV101" s="234" t="n">
        <f aca="false">DT101+DU101</f>
        <v>-17136.267578125</v>
      </c>
      <c r="DW101" s="535"/>
      <c r="DX101" s="536" t="n">
        <f aca="false">[1]OtherPosn!$D92</f>
        <v>37803</v>
      </c>
      <c r="DY101" s="234" t="n">
        <f aca="false">[1]OtherPosn!$N92</f>
        <v>16280.7294921875</v>
      </c>
      <c r="DZ101" s="234" t="n">
        <f aca="false">SUM([1]OtherPosn!$O92:$P92)</f>
        <v>0</v>
      </c>
    </row>
    <row r="102" customFormat="false" ht="15.75" hidden="false" customHeight="false" outlineLevel="0" collapsed="false">
      <c r="A102" s="95" t="n">
        <f aca="false">A58</f>
        <v>37226</v>
      </c>
      <c r="B102" s="122" t="n">
        <f aca="false">B14+B58</f>
        <v>-688750.125</v>
      </c>
      <c r="C102" s="122" t="n">
        <f aca="false">C14+C58</f>
        <v>-2181.14441531628</v>
      </c>
      <c r="D102" s="122" t="n">
        <f aca="false">D14+D58</f>
        <v>2050</v>
      </c>
      <c r="E102" s="122" t="n">
        <f aca="false">E14+E58</f>
        <v>-41412.082486543</v>
      </c>
      <c r="F102" s="692" t="n">
        <f aca="false">F14+F58</f>
        <v>-131.144415316281</v>
      </c>
      <c r="G102" s="122" t="s">
        <v>312</v>
      </c>
      <c r="H102" s="122" t="s">
        <v>312</v>
      </c>
      <c r="I102" s="122" t="s">
        <v>312</v>
      </c>
      <c r="J102" s="122" t="n">
        <f aca="false">J14+J58</f>
        <v>103312.256012678</v>
      </c>
      <c r="K102" s="122" t="n">
        <f aca="false">K14+K58</f>
        <v>-97100.4594371525</v>
      </c>
      <c r="L102" s="122" t="n">
        <f aca="false">L14+L58</f>
        <v>6211.79657552566</v>
      </c>
      <c r="M102" s="46"/>
      <c r="N102" s="575" t="str">
        <f aca="false">V73</f>
        <v>Q2 2002</v>
      </c>
      <c r="O102" s="689" t="n">
        <f aca="false">W58-W14</f>
        <v>-0.914063811302185</v>
      </c>
      <c r="P102" s="575" t="n">
        <f aca="false">W73-W29</f>
        <v>1326.00309247461</v>
      </c>
      <c r="Q102" s="575" t="n">
        <f aca="false">X73-X29</f>
        <v>407408.405315178</v>
      </c>
      <c r="R102" s="575" t="n">
        <f aca="false">W73+W29</f>
        <v>-2905.76035074304</v>
      </c>
      <c r="S102" s="575" t="n">
        <f aca="false">X73+X29</f>
        <v>-935903.053752678</v>
      </c>
      <c r="T102" s="46"/>
      <c r="U102" s="46"/>
      <c r="V102" s="46"/>
      <c r="W102" s="696" t="n">
        <f aca="false">A102</f>
        <v>37226</v>
      </c>
      <c r="X102" s="697" t="n">
        <f aca="false">I58-I14</f>
        <v>-0.899997711181641</v>
      </c>
      <c r="Y102" s="584" t="n">
        <f aca="false">F58-F14</f>
        <v>1186.39020482324</v>
      </c>
      <c r="Z102" s="584" t="n">
        <f aca="false">E58-E14</f>
        <v>374631.957486543</v>
      </c>
      <c r="AA102" s="46"/>
      <c r="AB102" s="46"/>
      <c r="AC102" s="46"/>
      <c r="AD102" s="46"/>
      <c r="AE102" s="46"/>
      <c r="AF102" s="46"/>
      <c r="AG102" s="46"/>
      <c r="AH102" s="46"/>
      <c r="AI102" s="46"/>
      <c r="AL102" s="458"/>
      <c r="AM102" s="439" t="n">
        <f aca="false">AK102*AL102</f>
        <v>0</v>
      </c>
      <c r="AQ102" s="439" t="n">
        <v>-12</v>
      </c>
      <c r="AR102" s="458" t="n">
        <v>40</v>
      </c>
      <c r="AS102" s="439" t="n">
        <f aca="false">AQ102*AR102</f>
        <v>-480</v>
      </c>
      <c r="DJ102" s="532" t="n">
        <f aca="false">[1]Cinergy!$D124</f>
        <v>39904</v>
      </c>
      <c r="DK102" s="440" t="n">
        <f aca="false">VLOOKUP(DJ102,DL102:DM343,2)</f>
        <v>22</v>
      </c>
      <c r="DL102" s="533" t="n">
        <v>38473</v>
      </c>
      <c r="DM102" s="459" t="n">
        <v>21</v>
      </c>
      <c r="DP102" s="534" t="n">
        <f aca="false">[1]Cinergy!$D93</f>
        <v>38961</v>
      </c>
      <c r="DQ102" s="234" t="n">
        <f aca="false">[1]OPPD_NPPD!$O93+[1]NSP!$O93</f>
        <v>0</v>
      </c>
      <c r="DR102" s="234" t="n">
        <f aca="false">[1]COMED!$O93</f>
        <v>-68377.6171875</v>
      </c>
      <c r="DS102" s="234" t="n">
        <f aca="false">DQ102+DR102</f>
        <v>-68377.6171875</v>
      </c>
      <c r="DT102" s="234" t="n">
        <f aca="false">SUM([1]OPPD_NPPD!$P93:$R93)+SUM([1]NSP!$P93:$R93)</f>
        <v>0</v>
      </c>
      <c r="DU102" s="234" t="n">
        <f aca="false">SUM([1]COMED!$P93:$R93)</f>
        <v>-19990.3725585938</v>
      </c>
      <c r="DV102" s="234" t="n">
        <f aca="false">DT102+DU102</f>
        <v>-19990.3725585938</v>
      </c>
      <c r="DW102" s="535"/>
      <c r="DX102" s="536" t="n">
        <f aca="false">[1]OtherPosn!$D93</f>
        <v>37834</v>
      </c>
      <c r="DY102" s="234" t="n">
        <f aca="false">[1]OtherPosn!$N93</f>
        <v>15470.798828125</v>
      </c>
      <c r="DZ102" s="234" t="n">
        <f aca="false">SUM([1]OtherPosn!$O93:$P93)</f>
        <v>0</v>
      </c>
    </row>
    <row r="103" customFormat="false" ht="15.75" hidden="false" customHeight="false" outlineLevel="0" collapsed="false">
      <c r="A103" s="95" t="n">
        <f aca="false">A59</f>
        <v>37257</v>
      </c>
      <c r="B103" s="122" t="n">
        <f aca="false">B15+B59</f>
        <v>-292578.7421875</v>
      </c>
      <c r="C103" s="122" t="n">
        <f aca="false">C15+C59</f>
        <v>-844.638631399453</v>
      </c>
      <c r="D103" s="122" t="n">
        <f aca="false">D15+D59</f>
        <v>600</v>
      </c>
      <c r="E103" s="122" t="n">
        <f aca="false">E15+E59</f>
        <v>-84741.6402760685</v>
      </c>
      <c r="F103" s="692" t="n">
        <f aca="false">F15+F59</f>
        <v>-244.638631399453</v>
      </c>
      <c r="G103" s="122" t="s">
        <v>312</v>
      </c>
      <c r="H103" s="122" t="s">
        <v>312</v>
      </c>
      <c r="I103" s="122" t="s">
        <v>312</v>
      </c>
      <c r="J103" s="122" t="n">
        <f aca="false">J15+J59</f>
        <v>73144.738694462</v>
      </c>
      <c r="K103" s="122" t="n">
        <f aca="false">K15+K59</f>
        <v>-51959.3132319352</v>
      </c>
      <c r="L103" s="122" t="n">
        <f aca="false">L15+L59</f>
        <v>21185.4254625268</v>
      </c>
      <c r="M103" s="46"/>
      <c r="N103" s="579" t="str">
        <f aca="false">V74</f>
        <v>Q3 2002</v>
      </c>
      <c r="O103" s="578" t="n">
        <f aca="false">W59-W15</f>
        <v>-1.17187678813934</v>
      </c>
      <c r="P103" s="579" t="n">
        <f aca="false">W74-W30</f>
        <v>1749.09241793819</v>
      </c>
      <c r="Q103" s="579" t="n">
        <f aca="false">X74-X30</f>
        <v>557110.250365404</v>
      </c>
      <c r="R103" s="579" t="s">
        <v>60</v>
      </c>
      <c r="S103" s="579" t="n">
        <f aca="false">X74+X30</f>
        <v>-1527601.3597404</v>
      </c>
      <c r="T103" s="46"/>
      <c r="U103" s="46"/>
      <c r="V103" s="46"/>
      <c r="W103" s="693" t="n">
        <f aca="false">A103</f>
        <v>37257</v>
      </c>
      <c r="X103" s="694" t="n">
        <f aca="false">I59-I15</f>
        <v>-1.35199928283691</v>
      </c>
      <c r="Y103" s="695" t="n">
        <f aca="false">F59-F15</f>
        <v>-2195.45782075429</v>
      </c>
      <c r="Z103" s="695" t="n">
        <f aca="false">E59-E15</f>
        <v>-760495.984723931</v>
      </c>
      <c r="AA103" s="46"/>
      <c r="AB103" s="46"/>
      <c r="AC103" s="46"/>
      <c r="AD103" s="46"/>
      <c r="AE103" s="46"/>
      <c r="AF103" s="46"/>
      <c r="AG103" s="46"/>
      <c r="AH103" s="46"/>
      <c r="AI103" s="46"/>
      <c r="AL103" s="458"/>
      <c r="AM103" s="439" t="n">
        <f aca="false">AK103*AL103</f>
        <v>0</v>
      </c>
      <c r="AQ103" s="439" t="n">
        <v>-5</v>
      </c>
      <c r="AR103" s="458" t="n">
        <v>39.75</v>
      </c>
      <c r="AS103" s="439" t="n">
        <f aca="false">AQ103*AR103</f>
        <v>-198.75</v>
      </c>
      <c r="DJ103" s="532" t="n">
        <f aca="false">[1]Cinergy!$D125</f>
        <v>39934</v>
      </c>
      <c r="DK103" s="440" t="n">
        <f aca="false">VLOOKUP(DJ103,DL103:DM344,2)</f>
        <v>20</v>
      </c>
      <c r="DL103" s="533" t="n">
        <v>38504</v>
      </c>
      <c r="DM103" s="459" t="n">
        <v>22</v>
      </c>
      <c r="DP103" s="534" t="n">
        <f aca="false">[1]Cinergy!$D94</f>
        <v>38991</v>
      </c>
      <c r="DQ103" s="234" t="n">
        <f aca="false">[1]OPPD_NPPD!$O94+[1]NSP!$O94</f>
        <v>0</v>
      </c>
      <c r="DR103" s="234" t="n">
        <f aca="false">[1]COMED!$O94</f>
        <v>-75105.4375</v>
      </c>
      <c r="DS103" s="234" t="n">
        <f aca="false">DQ103+DR103</f>
        <v>-75105.4375</v>
      </c>
      <c r="DT103" s="234" t="n">
        <f aca="false">SUM([1]OPPD_NPPD!$P94:$R94)+SUM([1]NSP!$P94:$R94)</f>
        <v>0</v>
      </c>
      <c r="DU103" s="234" t="n">
        <f aca="false">SUM([1]COMED!$P94:$R94)</f>
        <v>-19829.8796386719</v>
      </c>
      <c r="DV103" s="234" t="n">
        <f aca="false">DT103+DU103</f>
        <v>-19829.8796386719</v>
      </c>
      <c r="DW103" s="535"/>
      <c r="DX103" s="536" t="n">
        <f aca="false">[1]OtherPosn!$D94</f>
        <v>37865</v>
      </c>
      <c r="DY103" s="234" t="n">
        <f aca="false">[1]OtherPosn!$N94</f>
        <v>15406.927734375</v>
      </c>
      <c r="DZ103" s="234" t="n">
        <f aca="false">SUM([1]OtherPosn!$O94:$P94)</f>
        <v>0</v>
      </c>
    </row>
    <row r="104" customFormat="false" ht="15.75" hidden="false" customHeight="false" outlineLevel="0" collapsed="false">
      <c r="A104" s="95" t="n">
        <f aca="false">A60</f>
        <v>37288</v>
      </c>
      <c r="B104" s="122" t="n">
        <f aca="false">B16+B60</f>
        <v>-266219.6953125</v>
      </c>
      <c r="C104" s="122" t="n">
        <f aca="false">C16+C60</f>
        <v>-847.651594225867</v>
      </c>
      <c r="D104" s="122" t="n">
        <f aca="false">D16+D60</f>
        <v>600</v>
      </c>
      <c r="E104" s="122" t="n">
        <f aca="false">E16+E60</f>
        <v>-77779.281496753</v>
      </c>
      <c r="F104" s="692" t="n">
        <f aca="false">F16+F60</f>
        <v>-247.651594225867</v>
      </c>
      <c r="G104" s="122" t="s">
        <v>312</v>
      </c>
      <c r="H104" s="122" t="s">
        <v>312</v>
      </c>
      <c r="I104" s="122" t="s">
        <v>312</v>
      </c>
      <c r="J104" s="122" t="n">
        <f aca="false">J16+J60</f>
        <v>66554.9721875318</v>
      </c>
      <c r="K104" s="122" t="n">
        <f aca="false">K16+K60</f>
        <v>-47110.137684562</v>
      </c>
      <c r="L104" s="122" t="n">
        <f aca="false">L16+L60</f>
        <v>19444.8345029698</v>
      </c>
      <c r="M104" s="46"/>
      <c r="N104" s="575" t="str">
        <f aca="false">V75</f>
        <v>Q4 2002</v>
      </c>
      <c r="O104" s="689" t="n">
        <f aca="false">W60-W16</f>
        <v>-0.550002336502075</v>
      </c>
      <c r="P104" s="575" t="n">
        <f aca="false">W75-W31</f>
        <v>-3287.6207349774</v>
      </c>
      <c r="Q104" s="575" t="n">
        <f aca="false">X75-X31</f>
        <v>-1070726.7297047</v>
      </c>
      <c r="R104" s="575" t="n">
        <f aca="false">W75+W31</f>
        <v>290.240263765266</v>
      </c>
      <c r="S104" s="575" t="n">
        <f aca="false">X75+X31</f>
        <v>94526.8547046967</v>
      </c>
      <c r="T104" s="46"/>
      <c r="U104" s="46"/>
      <c r="V104" s="46"/>
      <c r="W104" s="696" t="n">
        <f aca="false">A104</f>
        <v>37288</v>
      </c>
      <c r="X104" s="698" t="n">
        <f aca="false">I60-I16</f>
        <v>-1.35000038146973</v>
      </c>
      <c r="Y104" s="584" t="n">
        <f aca="false">F60-F16</f>
        <v>-2192.40958049427</v>
      </c>
      <c r="Z104" s="584" t="n">
        <f aca="false">E60-E16</f>
        <v>-688564.281003247</v>
      </c>
      <c r="AA104" s="46"/>
      <c r="AB104" s="46"/>
      <c r="AC104" s="46"/>
      <c r="AD104" s="46"/>
      <c r="AE104" s="46"/>
      <c r="AF104" s="46"/>
      <c r="AG104" s="46"/>
      <c r="AH104" s="46"/>
      <c r="AI104" s="46"/>
      <c r="AL104" s="458"/>
      <c r="AM104" s="439" t="n">
        <f aca="false">AK104*AL104</f>
        <v>0</v>
      </c>
      <c r="AQ104" s="439" t="n">
        <v>-5</v>
      </c>
      <c r="AR104" s="458" t="n">
        <v>39.6</v>
      </c>
      <c r="AS104" s="439" t="n">
        <f aca="false">AQ104*AR104</f>
        <v>-198</v>
      </c>
      <c r="DJ104" s="532" t="n">
        <f aca="false">[1]Cinergy!$D126</f>
        <v>39965</v>
      </c>
      <c r="DK104" s="440" t="n">
        <f aca="false">VLOOKUP(DJ104,DL104:DM345,2)</f>
        <v>22</v>
      </c>
      <c r="DL104" s="533" t="n">
        <v>38534</v>
      </c>
      <c r="DM104" s="459" t="n">
        <v>20</v>
      </c>
      <c r="DP104" s="534" t="n">
        <f aca="false">[1]Cinergy!$D95</f>
        <v>39022</v>
      </c>
      <c r="DQ104" s="234" t="n">
        <f aca="false">[1]OPPD_NPPD!$O95+[1]NSP!$O95</f>
        <v>0</v>
      </c>
      <c r="DR104" s="234" t="n">
        <f aca="false">[1]COMED!$O95</f>
        <v>-71597.15625</v>
      </c>
      <c r="DS104" s="234" t="n">
        <f aca="false">DQ104+DR104</f>
        <v>-71597.15625</v>
      </c>
      <c r="DT104" s="234" t="n">
        <f aca="false">SUM([1]OPPD_NPPD!$P95:$R95)+SUM([1]NSP!$P95:$R95)</f>
        <v>0</v>
      </c>
      <c r="DU104" s="234" t="n">
        <f aca="false">SUM([1]COMED!$P95:$R95)</f>
        <v>-21635.2629394531</v>
      </c>
      <c r="DV104" s="234" t="n">
        <f aca="false">DT104+DU104</f>
        <v>-21635.2629394531</v>
      </c>
      <c r="DW104" s="535"/>
      <c r="DX104" s="536" t="n">
        <f aca="false">[1]OtherPosn!$D95</f>
        <v>37895</v>
      </c>
      <c r="DY104" s="234" t="n">
        <f aca="false">[1]OtherPosn!$N95</f>
        <v>16798.90234375</v>
      </c>
      <c r="DZ104" s="234" t="n">
        <f aca="false">SUM([1]OtherPosn!$O95:$P95)</f>
        <v>0</v>
      </c>
    </row>
    <row r="105" customFormat="false" ht="15.75" hidden="false" customHeight="false" outlineLevel="0" collapsed="false">
      <c r="A105" s="95" t="n">
        <f aca="false">A61</f>
        <v>37316</v>
      </c>
      <c r="B105" s="122" t="n">
        <f aca="false">B17+B61</f>
        <v>-31318.50390625</v>
      </c>
      <c r="C105" s="122" t="n">
        <f aca="false">C17+C61</f>
        <v>-95.2506441910792</v>
      </c>
      <c r="D105" s="122" t="n">
        <f aca="false">D17+D61</f>
        <v>-50</v>
      </c>
      <c r="E105" s="122" t="n">
        <f aca="false">E17+E61</f>
        <v>-47758.5522503971</v>
      </c>
      <c r="F105" s="692" t="n">
        <f aca="false">F17+F61</f>
        <v>-145.250644191079</v>
      </c>
      <c r="G105" s="122" t="s">
        <v>312</v>
      </c>
      <c r="H105" s="122" t="s">
        <v>312</v>
      </c>
      <c r="I105" s="122" t="s">
        <v>312</v>
      </c>
      <c r="J105" s="122" t="n">
        <f aca="false">J17+J61</f>
        <v>7829.64820365299</v>
      </c>
      <c r="K105" s="122" t="n">
        <f aca="false">K17+K61</f>
        <v>4110.02375372191</v>
      </c>
      <c r="L105" s="122" t="n">
        <f aca="false">L17+L61</f>
        <v>11939.6719573749</v>
      </c>
      <c r="M105" s="46"/>
      <c r="N105" s="579" t="str">
        <f aca="false">V76</f>
        <v>Q1 2003</v>
      </c>
      <c r="O105" s="578" t="n">
        <f aca="false">W61-W17</f>
        <v>-0.834035691760835</v>
      </c>
      <c r="P105" s="579" t="n">
        <f aca="false">W76-W32</f>
        <v>1598.11418757785</v>
      </c>
      <c r="Q105" s="579" t="n">
        <f aca="false">X76-X32</f>
        <v>506376.546875</v>
      </c>
      <c r="R105" s="579" t="n">
        <f aca="false">W76+W32</f>
        <v>-5793.22426054432</v>
      </c>
      <c r="S105" s="579" t="n">
        <f aca="false">X76+X32</f>
        <v>-1836807.640625</v>
      </c>
      <c r="T105" s="46"/>
      <c r="U105" s="46"/>
      <c r="V105" s="46"/>
      <c r="W105" s="693" t="n">
        <f aca="false">A105</f>
        <v>37316</v>
      </c>
      <c r="X105" s="694" t="n">
        <f aca="false">I61-I17</f>
        <v>-1.09999656677246</v>
      </c>
      <c r="Y105" s="695" t="n">
        <f aca="false">F61-F17</f>
        <v>-194.739184411822</v>
      </c>
      <c r="Z105" s="695" t="n">
        <f aca="false">E61-E17</f>
        <v>-64030.4321246029</v>
      </c>
      <c r="AA105" s="46"/>
      <c r="AB105" s="46"/>
      <c r="AC105" s="46"/>
      <c r="AD105" s="46"/>
      <c r="AE105" s="46"/>
      <c r="AF105" s="46"/>
      <c r="AG105" s="46"/>
      <c r="AH105" s="46"/>
      <c r="AI105" s="46"/>
      <c r="AL105" s="458"/>
      <c r="AM105" s="439" t="n">
        <f aca="false">AK105*AL105</f>
        <v>0</v>
      </c>
      <c r="AQ105" s="439" t="n">
        <v>-5</v>
      </c>
      <c r="AR105" s="458" t="n">
        <v>39.75</v>
      </c>
      <c r="AS105" s="439" t="n">
        <f aca="false">AQ105*AR105</f>
        <v>-198.75</v>
      </c>
      <c r="DJ105" s="532" t="n">
        <f aca="false">[1]Cinergy!$D127</f>
        <v>39995</v>
      </c>
      <c r="DK105" s="440" t="n">
        <f aca="false">VLOOKUP(DJ105,DL105:DM346,2)</f>
        <v>23</v>
      </c>
      <c r="DL105" s="533" t="n">
        <v>38565</v>
      </c>
      <c r="DM105" s="459" t="n">
        <v>23</v>
      </c>
      <c r="DP105" s="534" t="n">
        <f aca="false">[1]Cinergy!$D96</f>
        <v>39052</v>
      </c>
      <c r="DQ105" s="234" t="n">
        <f aca="false">[1]OPPD_NPPD!$O96+[1]NSP!$O96</f>
        <v>0</v>
      </c>
      <c r="DR105" s="234" t="n">
        <f aca="false">[1]COMED!$O96</f>
        <v>-67597.8515625</v>
      </c>
      <c r="DS105" s="234" t="n">
        <f aca="false">DQ105+DR105</f>
        <v>-67597.8515625</v>
      </c>
      <c r="DT105" s="234" t="n">
        <f aca="false">SUM([1]OPPD_NPPD!$P96:$R96)+SUM([1]NSP!$P96:$R96)</f>
        <v>0</v>
      </c>
      <c r="DU105" s="234" t="n">
        <f aca="false">SUM([1]COMED!$P96:$R96)</f>
        <v>-23444.8974609375</v>
      </c>
      <c r="DV105" s="234" t="n">
        <f aca="false">DT105+DU105</f>
        <v>-23444.8974609375</v>
      </c>
      <c r="DW105" s="535"/>
      <c r="DX105" s="536" t="n">
        <f aca="false">[1]OtherPosn!$D96</f>
        <v>37926</v>
      </c>
      <c r="DY105" s="234" t="n">
        <f aca="false">[1]OtherPosn!$N96</f>
        <v>13820.515625</v>
      </c>
      <c r="DZ105" s="234" t="n">
        <f aca="false">SUM([1]OtherPosn!$O96:$P96)</f>
        <v>0</v>
      </c>
    </row>
    <row r="106" customFormat="false" ht="15.75" hidden="false" customHeight="false" outlineLevel="0" collapsed="false">
      <c r="A106" s="95" t="n">
        <f aca="false">A62</f>
        <v>37347</v>
      </c>
      <c r="B106" s="122" t="n">
        <f aca="false">B18+B62</f>
        <v>-34027.072265625</v>
      </c>
      <c r="C106" s="122" t="n">
        <f aca="false">C18+C62</f>
        <v>-99.0689214888004</v>
      </c>
      <c r="D106" s="122" t="n">
        <f aca="false">D18+D62</f>
        <v>-50</v>
      </c>
      <c r="E106" s="122" t="n">
        <f aca="false">E18+E62</f>
        <v>-51200.5065547384</v>
      </c>
      <c r="F106" s="692" t="n">
        <f aca="false">F18+F62</f>
        <v>-149.0689214888</v>
      </c>
      <c r="G106" s="122" t="s">
        <v>312</v>
      </c>
      <c r="H106" s="122" t="s">
        <v>312</v>
      </c>
      <c r="I106" s="122" t="s">
        <v>312</v>
      </c>
      <c r="J106" s="122" t="n">
        <f aca="false">J18+J62</f>
        <v>8506.79221579782</v>
      </c>
      <c r="K106" s="122" t="n">
        <f aca="false">K18+K62</f>
        <v>4293.37076045564</v>
      </c>
      <c r="L106" s="122" t="n">
        <f aca="false">L18+L62</f>
        <v>12800.1629762535</v>
      </c>
      <c r="M106" s="46"/>
      <c r="N106" s="575" t="str">
        <f aca="false">V77</f>
        <v>Q2 2003</v>
      </c>
      <c r="O106" s="689" t="n">
        <f aca="false">W62-W18</f>
        <v>-0.849216461181641</v>
      </c>
      <c r="P106" s="575" t="n">
        <f aca="false">W77-W33</f>
        <v>736.595902333569</v>
      </c>
      <c r="Q106" s="575" t="n">
        <f aca="false">X77-X33</f>
        <v>242648.55859375</v>
      </c>
      <c r="R106" s="575" t="n">
        <f aca="false">W77+W33</f>
        <v>-4331.89069925558</v>
      </c>
      <c r="S106" s="575" t="n">
        <f aca="false">X77+X33</f>
        <v>-1386986.18359375</v>
      </c>
      <c r="T106" s="46"/>
      <c r="U106" s="46"/>
      <c r="V106" s="46"/>
      <c r="W106" s="696" t="n">
        <f aca="false">A106</f>
        <v>37347</v>
      </c>
      <c r="X106" s="697" t="n">
        <f aca="false">I62-I18</f>
        <v>-1.10000038146973</v>
      </c>
      <c r="Y106" s="584" t="n">
        <f aca="false">F62-F18</f>
        <v>-190.902800704886</v>
      </c>
      <c r="Z106" s="584" t="n">
        <f aca="false">E62-E18</f>
        <v>-65569.1340702616</v>
      </c>
      <c r="AA106" s="46"/>
      <c r="AB106" s="46"/>
      <c r="AC106" s="46"/>
      <c r="AD106" s="46"/>
      <c r="AE106" s="46"/>
      <c r="AF106" s="46"/>
      <c r="AG106" s="46"/>
      <c r="AH106" s="46"/>
      <c r="AI106" s="46"/>
      <c r="AL106" s="458"/>
      <c r="AM106" s="439" t="n">
        <f aca="false">AK106*AL106</f>
        <v>0</v>
      </c>
      <c r="AQ106" s="439" t="n">
        <v>-8</v>
      </c>
      <c r="AR106" s="458" t="n">
        <v>39.75</v>
      </c>
      <c r="AS106" s="439" t="n">
        <f aca="false">AQ106*AR106</f>
        <v>-318</v>
      </c>
      <c r="DJ106" s="532" t="n">
        <f aca="false">[1]Cinergy!$D128</f>
        <v>40026</v>
      </c>
      <c r="DK106" s="440" t="n">
        <f aca="false">VLOOKUP(DJ106,DL106:DM347,2)</f>
        <v>21</v>
      </c>
      <c r="DL106" s="533" t="n">
        <v>38596</v>
      </c>
      <c r="DM106" s="459" t="n">
        <v>21</v>
      </c>
      <c r="DP106" s="534" t="n">
        <f aca="false">[1]Cinergy!$D97</f>
        <v>39083</v>
      </c>
      <c r="DQ106" s="234" t="n">
        <f aca="false">[1]OPPD_NPPD!$O97+[1]NSP!$O97</f>
        <v>0</v>
      </c>
      <c r="DR106" s="234" t="n">
        <f aca="false">[1]COMED!$O97</f>
        <v>-61521.86328125</v>
      </c>
      <c r="DS106" s="234" t="n">
        <f aca="false">DQ106+DR106</f>
        <v>-61521.86328125</v>
      </c>
      <c r="DT106" s="234" t="n">
        <f aca="false">SUM([1]OPPD_NPPD!$P97:$R97)+SUM([1]NSP!$P97:$R97)</f>
        <v>0</v>
      </c>
      <c r="DU106" s="234" t="n">
        <f aca="false">SUM([1]COMED!$P97:$R97)</f>
        <v>-22157.8872070313</v>
      </c>
      <c r="DV106" s="234" t="n">
        <f aca="false">DT106+DU106</f>
        <v>-22157.8872070313</v>
      </c>
      <c r="DW106" s="535"/>
      <c r="DX106" s="536" t="n">
        <f aca="false">[1]OtherPosn!$D97</f>
        <v>37956</v>
      </c>
      <c r="DY106" s="234" t="n">
        <f aca="false">[1]OtherPosn!$N97</f>
        <v>15922.1494140625</v>
      </c>
      <c r="DZ106" s="234" t="n">
        <f aca="false">SUM([1]OtherPosn!$O97:$P97)</f>
        <v>0</v>
      </c>
    </row>
    <row r="107" customFormat="false" ht="15.75" hidden="false" customHeight="false" outlineLevel="0" collapsed="false">
      <c r="A107" s="95" t="n">
        <f aca="false">A63</f>
        <v>37377</v>
      </c>
      <c r="B107" s="122" t="n">
        <f aca="false">B19+B63</f>
        <v>-310618.09375</v>
      </c>
      <c r="C107" s="122" t="n">
        <f aca="false">C19+C63</f>
        <v>-907.099058913155</v>
      </c>
      <c r="D107" s="122" t="n">
        <f aca="false">D19+D63</f>
        <v>0</v>
      </c>
      <c r="E107" s="122" t="n">
        <f aca="false">E19+E63</f>
        <v>-310618.09375</v>
      </c>
      <c r="F107" s="692" t="n">
        <f aca="false">F19+F63</f>
        <v>-907.099058913155</v>
      </c>
      <c r="G107" s="122" t="s">
        <v>312</v>
      </c>
      <c r="H107" s="122" t="s">
        <v>312</v>
      </c>
      <c r="I107" s="122" t="s">
        <v>312</v>
      </c>
      <c r="J107" s="122" t="n">
        <f aca="false">J19+J63</f>
        <v>-0</v>
      </c>
      <c r="K107" s="122" t="n">
        <f aca="false">K19+K63</f>
        <v>4280.3772462592</v>
      </c>
      <c r="L107" s="122" t="n">
        <f aca="false">L19+L63</f>
        <v>4280.3772462592</v>
      </c>
      <c r="M107" s="46"/>
      <c r="N107" s="579" t="str">
        <f aca="false">V78</f>
        <v>Q3 2003</v>
      </c>
      <c r="O107" s="578" t="n">
        <f aca="false">W63-W19</f>
        <v>-0.864845126867294</v>
      </c>
      <c r="P107" s="579" t="n">
        <f aca="false">W78-W34</f>
        <v>-1854.80436481829</v>
      </c>
      <c r="Q107" s="579" t="n">
        <f aca="false">X78-X34</f>
        <v>-588024.564453125</v>
      </c>
      <c r="R107" s="579" t="n">
        <f aca="false">W78+W34</f>
        <v>-2738.41101798066</v>
      </c>
      <c r="S107" s="579" t="n">
        <f aca="false">X78+X34</f>
        <v>-860577.216796875</v>
      </c>
      <c r="T107" s="46"/>
      <c r="U107" s="46"/>
      <c r="V107" s="46"/>
      <c r="W107" s="693" t="n">
        <f aca="false">A107</f>
        <v>37377</v>
      </c>
      <c r="X107" s="694" t="n">
        <f aca="false">I63-I19</f>
        <v>-0.650003433227539</v>
      </c>
      <c r="Y107" s="695" t="n">
        <f aca="false">F63-F19</f>
        <v>67.2083175323888</v>
      </c>
      <c r="Z107" s="695" t="n">
        <f aca="false">E63-E19</f>
        <v>23014.15625</v>
      </c>
      <c r="AA107" s="46"/>
      <c r="AB107" s="46"/>
      <c r="AC107" s="46"/>
      <c r="AD107" s="46"/>
      <c r="AE107" s="46"/>
      <c r="AF107" s="46"/>
      <c r="AG107" s="46"/>
      <c r="AH107" s="46"/>
      <c r="AI107" s="46"/>
      <c r="AL107" s="458"/>
      <c r="AM107" s="439" t="n">
        <f aca="false">AK107*AL107</f>
        <v>0</v>
      </c>
      <c r="AQ107" s="439" t="n">
        <v>-13</v>
      </c>
      <c r="AR107" s="458" t="n">
        <v>39.5</v>
      </c>
      <c r="AS107" s="439" t="n">
        <f aca="false">AQ107*AR107</f>
        <v>-513.5</v>
      </c>
      <c r="DJ107" s="532" t="n">
        <f aca="false">[1]Cinergy!$D129</f>
        <v>40057</v>
      </c>
      <c r="DK107" s="440" t="n">
        <f aca="false">VLOOKUP(DJ107,DL107:DM348,2)</f>
        <v>21</v>
      </c>
      <c r="DL107" s="533" t="n">
        <v>38626</v>
      </c>
      <c r="DM107" s="459" t="n">
        <v>21</v>
      </c>
      <c r="DP107" s="534" t="n">
        <f aca="false">[1]Cinergy!$D98</f>
        <v>39114</v>
      </c>
      <c r="DQ107" s="234" t="n">
        <f aca="false">[1]OPPD_NPPD!$O98+[1]NSP!$O98</f>
        <v>0</v>
      </c>
      <c r="DR107" s="234" t="n">
        <f aca="false">[1]COMED!$O98</f>
        <v>-55670.41015625</v>
      </c>
      <c r="DS107" s="234" t="n">
        <f aca="false">DQ107+DR107</f>
        <v>-55670.41015625</v>
      </c>
      <c r="DT107" s="234" t="n">
        <f aca="false">SUM([1]OPPD_NPPD!$P98:$R98)+SUM([1]NSP!$P98:$R98)</f>
        <v>0</v>
      </c>
      <c r="DU107" s="234" t="n">
        <f aca="false">SUM([1]COMED!$P98:$R98)</f>
        <v>-19276.0390625</v>
      </c>
      <c r="DV107" s="234" t="n">
        <f aca="false">DT107+DU107</f>
        <v>-19276.0390625</v>
      </c>
      <c r="DW107" s="535"/>
      <c r="DX107" s="536" t="n">
        <f aca="false">[1]OtherPosn!$D98</f>
        <v>37140</v>
      </c>
      <c r="DY107" s="234" t="n">
        <f aca="false">[1]OtherPosn!$N98</f>
        <v>0</v>
      </c>
      <c r="DZ107" s="234" t="n">
        <f aca="false">SUM([1]OtherPosn!$O98:$P98)</f>
        <v>0</v>
      </c>
    </row>
    <row r="108" customFormat="false" ht="15.75" hidden="false" customHeight="false" outlineLevel="0" collapsed="false">
      <c r="A108" s="95" t="n">
        <f aca="false">A64</f>
        <v>37408</v>
      </c>
      <c r="B108" s="122" t="n">
        <f aca="false">B20+B64</f>
        <v>-480969.16015625</v>
      </c>
      <c r="C108" s="122" t="n">
        <f aca="false">C20+C64</f>
        <v>-1549.59237034108</v>
      </c>
      <c r="D108" s="122" t="n">
        <f aca="false">D20+D64</f>
        <v>-300</v>
      </c>
      <c r="E108" s="122" t="n">
        <f aca="false">E20+E64</f>
        <v>-574084.45344794</v>
      </c>
      <c r="F108" s="692" t="n">
        <f aca="false">F20+F64</f>
        <v>-1849.59237034108</v>
      </c>
      <c r="G108" s="122" t="s">
        <v>312</v>
      </c>
      <c r="H108" s="122" t="s">
        <v>312</v>
      </c>
      <c r="I108" s="122" t="s">
        <v>312</v>
      </c>
      <c r="J108" s="122" t="n">
        <f aca="false">J20+J64</f>
        <v>180363.435058594</v>
      </c>
      <c r="K108" s="122" t="n">
        <f aca="false">K20+K64</f>
        <v>34918.2349843838</v>
      </c>
      <c r="L108" s="122" t="n">
        <f aca="false">L20+L64</f>
        <v>215281.670042978</v>
      </c>
      <c r="M108" s="46"/>
      <c r="N108" s="575" t="str">
        <f aca="false">V79</f>
        <v>Bal 2002</v>
      </c>
      <c r="O108" s="689" t="n">
        <f aca="false">W64-W20</f>
        <v>-0.974683402566349</v>
      </c>
      <c r="P108" s="575" t="n">
        <f aca="false">W79-W35</f>
        <v>-4795.13181022499</v>
      </c>
      <c r="Q108" s="575" t="n">
        <f aca="false">X79-X35</f>
        <v>-1619298.7718759</v>
      </c>
      <c r="R108" s="575" t="n">
        <f aca="false">W79+W35</f>
        <v>-7801.03527907973</v>
      </c>
      <c r="S108" s="575" t="n">
        <f aca="false">X79+X35</f>
        <v>-2579257.0328116</v>
      </c>
      <c r="T108" s="46"/>
      <c r="U108" s="46"/>
      <c r="V108" s="46"/>
      <c r="W108" s="696" t="n">
        <f aca="false">A108</f>
        <v>37408</v>
      </c>
      <c r="X108" s="697" t="n">
        <f aca="false">I64-I20</f>
        <v>-1</v>
      </c>
      <c r="Y108" s="584" t="n">
        <f aca="false">F64-F20</f>
        <v>1449.6975756471</v>
      </c>
      <c r="Z108" s="584" t="n">
        <f aca="false">E64-E20</f>
        <v>449963.38313544</v>
      </c>
      <c r="AA108" s="46"/>
      <c r="AB108" s="46"/>
      <c r="AC108" s="46"/>
      <c r="AD108" s="46"/>
      <c r="AE108" s="46"/>
      <c r="AF108" s="46"/>
      <c r="AG108" s="46"/>
      <c r="AH108" s="46"/>
      <c r="AI108" s="46"/>
      <c r="AL108" s="458"/>
      <c r="AM108" s="439" t="n">
        <f aca="false">AK108*AL108</f>
        <v>0</v>
      </c>
      <c r="AQ108" s="439" t="n">
        <v>-5</v>
      </c>
      <c r="AR108" s="458" t="n">
        <v>39.25</v>
      </c>
      <c r="AS108" s="439" t="n">
        <f aca="false">AQ108*AR108</f>
        <v>-196.25</v>
      </c>
      <c r="DJ108" s="532" t="n">
        <f aca="false">[1]Cinergy!$D130</f>
        <v>40087</v>
      </c>
      <c r="DK108" s="440" t="n">
        <f aca="false">VLOOKUP(DJ108,DL108:DM349,2)</f>
        <v>22</v>
      </c>
      <c r="DL108" s="533" t="n">
        <v>38657</v>
      </c>
      <c r="DM108" s="459" t="n">
        <v>21</v>
      </c>
      <c r="DP108" s="534" t="n">
        <f aca="false">[1]Cinergy!$D99</f>
        <v>39142</v>
      </c>
      <c r="DQ108" s="234" t="n">
        <f aca="false">[1]OPPD_NPPD!$O99+[1]NSP!$O99</f>
        <v>0</v>
      </c>
      <c r="DR108" s="234" t="n">
        <f aca="false">[1]COMED!$O99</f>
        <v>-61976.75</v>
      </c>
      <c r="DS108" s="234" t="n">
        <f aca="false">DQ108+DR108</f>
        <v>-61976.75</v>
      </c>
      <c r="DT108" s="234" t="n">
        <f aca="false">SUM([1]OPPD_NPPD!$P99:$R99)+SUM([1]NSP!$P99:$R99)</f>
        <v>0</v>
      </c>
      <c r="DU108" s="234" t="n">
        <f aca="false">SUM([1]COMED!$P99:$R99)</f>
        <v>-21943.4291992188</v>
      </c>
      <c r="DV108" s="234" t="n">
        <f aca="false">DT108+DU108</f>
        <v>-21943.4291992188</v>
      </c>
      <c r="DW108" s="535"/>
      <c r="DX108" s="536" t="n">
        <f aca="false">[1]OtherPosn!$D99</f>
        <v>37141</v>
      </c>
      <c r="DY108" s="234" t="n">
        <f aca="false">[1]OtherPosn!$N99</f>
        <v>1.30000003817354E-011</v>
      </c>
      <c r="DZ108" s="234" t="n">
        <f aca="false">SUM([1]OtherPosn!$O99:$P99)</f>
        <v>-398.2607421875</v>
      </c>
    </row>
    <row r="109" customFormat="false" ht="15.75" hidden="false" customHeight="false" outlineLevel="0" collapsed="false">
      <c r="A109" s="95" t="n">
        <f aca="false">A65</f>
        <v>37438</v>
      </c>
      <c r="B109" s="122" t="n">
        <f aca="false">B21+B65</f>
        <v>-453843.109375</v>
      </c>
      <c r="C109" s="122" t="n">
        <f aca="false">C21+C65</f>
        <v>-1333.42364677414</v>
      </c>
      <c r="D109" s="122" t="n">
        <f aca="false">D21+D65</f>
        <v>-650</v>
      </c>
      <c r="E109" s="122" t="n">
        <f aca="false">E21+E65</f>
        <v>-675076.639924289</v>
      </c>
      <c r="F109" s="692" t="n">
        <f aca="false">F21+F65</f>
        <v>-1983.42364677413</v>
      </c>
      <c r="G109" s="122" t="s">
        <v>312</v>
      </c>
      <c r="H109" s="122" t="s">
        <v>312</v>
      </c>
      <c r="I109" s="122" t="s">
        <v>312</v>
      </c>
      <c r="J109" s="122" t="n">
        <f aca="false">J21+J65</f>
        <v>226921.5546875</v>
      </c>
      <c r="K109" s="122" t="n">
        <f aca="false">K21+K65</f>
        <v>116998.501732797</v>
      </c>
      <c r="L109" s="122" t="n">
        <f aca="false">L21+L65</f>
        <v>343920.056420297</v>
      </c>
      <c r="M109" s="46"/>
      <c r="N109" s="613" t="n">
        <f aca="false">V80</f>
        <v>2003</v>
      </c>
      <c r="O109" s="578" t="n">
        <f aca="false">W65-W21</f>
        <v>-0.824486511828852</v>
      </c>
      <c r="P109" s="699" t="n">
        <f aca="false">W80-W36</f>
        <v>1827.76245220261</v>
      </c>
      <c r="Q109" s="699" t="n">
        <f aca="false">X80-X36</f>
        <v>579055.087890625</v>
      </c>
      <c r="R109" s="699" t="n">
        <f aca="false">W80+W36</f>
        <v>-17206.6199572248</v>
      </c>
      <c r="S109" s="699" t="n">
        <f aca="false">X80+X36</f>
        <v>-5431435.71289063</v>
      </c>
      <c r="T109" s="46"/>
      <c r="U109" s="46"/>
      <c r="V109" s="46"/>
      <c r="W109" s="693" t="n">
        <f aca="false">A109</f>
        <v>37438</v>
      </c>
      <c r="X109" s="694" t="n">
        <f aca="false">I65-I21</f>
        <v>-1.25</v>
      </c>
      <c r="Y109" s="695" t="n">
        <f aca="false">F65-F21</f>
        <v>284.106630083293</v>
      </c>
      <c r="Z109" s="695" t="n">
        <f aca="false">E65-E21</f>
        <v>96698.3274242891</v>
      </c>
      <c r="AA109" s="46"/>
      <c r="AB109" s="46"/>
      <c r="AC109" s="46"/>
      <c r="AD109" s="46"/>
      <c r="AE109" s="46"/>
      <c r="AF109" s="46"/>
      <c r="AG109" s="46"/>
      <c r="AH109" s="46"/>
      <c r="AI109" s="46"/>
      <c r="AL109" s="458"/>
      <c r="AM109" s="439" t="n">
        <f aca="false">AK109*AL109</f>
        <v>0</v>
      </c>
      <c r="AR109" s="458"/>
      <c r="AS109" s="439" t="n">
        <f aca="false">AQ109*AR109</f>
        <v>0</v>
      </c>
      <c r="DJ109" s="532" t="n">
        <f aca="false">[1]Cinergy!$D131</f>
        <v>40118</v>
      </c>
      <c r="DK109" s="440" t="n">
        <f aca="false">VLOOKUP(DJ109,DL109:DM350,2)</f>
        <v>20</v>
      </c>
      <c r="DL109" s="533" t="n">
        <v>38687</v>
      </c>
      <c r="DM109" s="459" t="n">
        <v>22</v>
      </c>
      <c r="DP109" s="534" t="n">
        <f aca="false">[1]Cinergy!$D100</f>
        <v>39173</v>
      </c>
      <c r="DQ109" s="234" t="n">
        <f aca="false">[1]OPPD_NPPD!$O100+[1]NSP!$O100</f>
        <v>0</v>
      </c>
      <c r="DR109" s="234" t="n">
        <f aca="false">[1]COMED!$O100</f>
        <v>-58612.84375</v>
      </c>
      <c r="DS109" s="234" t="n">
        <f aca="false">DQ109+DR109</f>
        <v>-58612.84375</v>
      </c>
      <c r="DT109" s="234" t="n">
        <f aca="false">SUM([1]OPPD_NPPD!$P100:$R100)+SUM([1]NSP!$P100:$R100)</f>
        <v>0</v>
      </c>
      <c r="DU109" s="234" t="n">
        <f aca="false">SUM([1]COMED!$P100:$R100)</f>
        <v>-21064.4372558594</v>
      </c>
      <c r="DV109" s="234" t="n">
        <f aca="false">DT109+DU109</f>
        <v>-21064.4372558594</v>
      </c>
      <c r="DW109" s="535"/>
      <c r="DX109" s="536" t="n">
        <f aca="false">[1]OtherPosn!$D100</f>
        <v>37142</v>
      </c>
      <c r="DY109" s="234" t="n">
        <f aca="false">[1]OtherPosn!$N100</f>
        <v>0</v>
      </c>
      <c r="DZ109" s="234" t="n">
        <f aca="false">SUM([1]OtherPosn!$O100:$P100)</f>
        <v>-1194.7822265625</v>
      </c>
    </row>
    <row r="110" customFormat="false" ht="16.5" hidden="false" customHeight="false" outlineLevel="0" collapsed="false">
      <c r="A110" s="95" t="n">
        <f aca="false">A66</f>
        <v>37469</v>
      </c>
      <c r="B110" s="122" t="n">
        <f aca="false">B22+B66</f>
        <v>-463027.203125</v>
      </c>
      <c r="C110" s="122" t="n">
        <f aca="false">C22+C66</f>
        <v>-1364.85898139555</v>
      </c>
      <c r="D110" s="122" t="n">
        <f aca="false">D22+D66</f>
        <v>-650</v>
      </c>
      <c r="E110" s="122" t="n">
        <f aca="false">E22+E66</f>
        <v>-683539.128630678</v>
      </c>
      <c r="F110" s="692" t="n">
        <f aca="false">F22+F66</f>
        <v>-2014.85898139555</v>
      </c>
      <c r="G110" s="122" t="s">
        <v>312</v>
      </c>
      <c r="H110" s="122" t="s">
        <v>312</v>
      </c>
      <c r="I110" s="122" t="s">
        <v>312</v>
      </c>
      <c r="J110" s="122" t="n">
        <f aca="false">J22+J66</f>
        <v>231513.6015625</v>
      </c>
      <c r="K110" s="122" t="n">
        <f aca="false">K22+K66</f>
        <v>116616.883680887</v>
      </c>
      <c r="L110" s="122" t="n">
        <f aca="false">L22+L66</f>
        <v>348130.485243387</v>
      </c>
      <c r="M110" s="46"/>
      <c r="N110" s="700" t="n">
        <f aca="false">V81</f>
        <v>2004</v>
      </c>
      <c r="O110" s="701" t="n">
        <f aca="false">W66-W22</f>
        <v>-1.00268170999927</v>
      </c>
      <c r="P110" s="702" t="n">
        <f aca="false">W81-W37</f>
        <v>1695.0331782905</v>
      </c>
      <c r="Q110" s="702" t="n">
        <f aca="false">X81-X37</f>
        <v>516622.579101563</v>
      </c>
      <c r="R110" s="702" t="n">
        <f aca="false">W81+W37</f>
        <v>-1695.0331782905</v>
      </c>
      <c r="S110" s="702" t="n">
        <f aca="false">X81+X37</f>
        <v>-516622.579101563</v>
      </c>
      <c r="T110" s="46"/>
      <c r="U110" s="46"/>
      <c r="V110" s="46"/>
      <c r="W110" s="696" t="n">
        <f aca="false">A110</f>
        <v>37469</v>
      </c>
      <c r="X110" s="697" t="n">
        <f aca="false">I66-I22</f>
        <v>-1.25</v>
      </c>
      <c r="Y110" s="584" t="n">
        <f aca="false">F66-F22</f>
        <v>315.66406079996</v>
      </c>
      <c r="Z110" s="584" t="n">
        <f aca="false">E66-E22</f>
        <v>107088.753630678</v>
      </c>
      <c r="AA110" s="46"/>
      <c r="AB110" s="46"/>
      <c r="AC110" s="46"/>
      <c r="AD110" s="46"/>
      <c r="AE110" s="46"/>
      <c r="AF110" s="46"/>
      <c r="AG110" s="46"/>
      <c r="AH110" s="46"/>
      <c r="AI110" s="46"/>
      <c r="AL110" s="458"/>
      <c r="AR110" s="458"/>
      <c r="AS110" s="439" t="n">
        <f aca="false">AQ110*AR110</f>
        <v>0</v>
      </c>
      <c r="DJ110" s="532" t="n">
        <f aca="false">[1]Cinergy!$D132</f>
        <v>40148</v>
      </c>
      <c r="DK110" s="440" t="n">
        <f aca="false">VLOOKUP(DJ110,DL110:DM351,2)</f>
        <v>22</v>
      </c>
      <c r="DL110" s="533" t="n">
        <v>38718</v>
      </c>
      <c r="DM110" s="459" t="n">
        <v>22</v>
      </c>
      <c r="DP110" s="534" t="n">
        <f aca="false">[1]Cinergy!$D101</f>
        <v>39203</v>
      </c>
      <c r="DQ110" s="234" t="n">
        <f aca="false">[1]OPPD_NPPD!$O101+[1]NSP!$O101</f>
        <v>0</v>
      </c>
      <c r="DR110" s="234" t="n">
        <f aca="false">[1]COMED!$O101</f>
        <v>-58741.99609375</v>
      </c>
      <c r="DS110" s="234" t="n">
        <f aca="false">DQ110+DR110</f>
        <v>-58741.99609375</v>
      </c>
      <c r="DT110" s="234" t="n">
        <f aca="false">SUM([1]OPPD_NPPD!$P101:$R101)+SUM([1]NSP!$P101:$R101)</f>
        <v>0</v>
      </c>
      <c r="DU110" s="234" t="n">
        <f aca="false">SUM([1]COMED!$P101:$R101)</f>
        <v>-18819.4421386719</v>
      </c>
      <c r="DV110" s="234" t="n">
        <f aca="false">DT110+DU110</f>
        <v>-18819.4421386719</v>
      </c>
      <c r="DW110" s="535"/>
      <c r="DX110" s="536" t="n">
        <f aca="false">[1]OtherPosn!$D101</f>
        <v>37143</v>
      </c>
      <c r="DY110" s="234" t="n">
        <f aca="false">[1]OtherPosn!$N101</f>
        <v>0</v>
      </c>
      <c r="DZ110" s="234" t="n">
        <f aca="false">SUM([1]OtherPosn!$O101:$P101)</f>
        <v>-1194.7822265625</v>
      </c>
    </row>
    <row r="111" customFormat="false" ht="15.75" hidden="false" customHeight="false" outlineLevel="0" collapsed="false">
      <c r="A111" s="95" t="n">
        <f aca="false">A67</f>
        <v>37500</v>
      </c>
      <c r="B111" s="122" t="n">
        <f aca="false">B23+B67</f>
        <v>-153614.6484375</v>
      </c>
      <c r="C111" s="122" t="n">
        <f aca="false">C23+C67</f>
        <v>-499.691694115878</v>
      </c>
      <c r="D111" s="122" t="n">
        <f aca="false">D23+D67</f>
        <v>-50</v>
      </c>
      <c r="E111" s="122" t="n">
        <f aca="false">E23+E67</f>
        <v>-168985.591185437</v>
      </c>
      <c r="F111" s="692" t="n">
        <f aca="false">F23+F67</f>
        <v>-549.691694115878</v>
      </c>
      <c r="G111" s="122" t="s">
        <v>312</v>
      </c>
      <c r="H111" s="122" t="s">
        <v>312</v>
      </c>
      <c r="I111" s="122" t="s">
        <v>312</v>
      </c>
      <c r="J111" s="122" t="n">
        <f aca="false">J23+J67</f>
        <v>0</v>
      </c>
      <c r="K111" s="122" t="n">
        <f aca="false">K23+K67</f>
        <v>0</v>
      </c>
      <c r="L111" s="122" t="n">
        <f aca="false">L23+L67</f>
        <v>0</v>
      </c>
      <c r="M111" s="46"/>
      <c r="N111" s="0"/>
      <c r="O111" s="46"/>
      <c r="P111" s="46"/>
      <c r="Q111" s="46"/>
      <c r="R111" s="46"/>
      <c r="S111" s="46"/>
      <c r="T111" s="46"/>
      <c r="U111" s="46"/>
      <c r="V111" s="46"/>
      <c r="W111" s="693" t="n">
        <f aca="false">A111</f>
        <v>37500</v>
      </c>
      <c r="X111" s="694" t="n">
        <f aca="false">I67-I23</f>
        <v>-1.0000057220459</v>
      </c>
      <c r="Y111" s="695" t="n">
        <f aca="false">F67-F23</f>
        <v>1149.32172705493</v>
      </c>
      <c r="Z111" s="695" t="n">
        <f aca="false">E67-E23</f>
        <v>353323.169310437</v>
      </c>
      <c r="AA111" s="46"/>
      <c r="AB111" s="46"/>
      <c r="AC111" s="46"/>
      <c r="AD111" s="46"/>
      <c r="AE111" s="46"/>
      <c r="AF111" s="46"/>
      <c r="AG111" s="46"/>
      <c r="AH111" s="46"/>
      <c r="AI111" s="46"/>
      <c r="AR111" s="458"/>
      <c r="AS111" s="439" t="n">
        <f aca="false">AQ111*AR111</f>
        <v>0</v>
      </c>
      <c r="DJ111" s="532" t="n">
        <f aca="false">[1]Cinergy!$D133</f>
        <v>40179</v>
      </c>
      <c r="DK111" s="440" t="n">
        <f aca="false">VLOOKUP(DJ111,DL111:DM352,2)</f>
        <v>20</v>
      </c>
      <c r="DL111" s="533" t="n">
        <v>38749</v>
      </c>
      <c r="DM111" s="459" t="n">
        <v>20</v>
      </c>
      <c r="DP111" s="534" t="n">
        <f aca="false">[1]Cinergy!$D102</f>
        <v>39234</v>
      </c>
      <c r="DQ111" s="234" t="n">
        <f aca="false">[1]OPPD_NPPD!$O102+[1]NSP!$O102</f>
        <v>0</v>
      </c>
      <c r="DR111" s="234" t="n">
        <f aca="false">[1]COMED!$O102</f>
        <v>-54551.12890625</v>
      </c>
      <c r="DS111" s="234" t="n">
        <f aca="false">DQ111+DR111</f>
        <v>-54551.12890625</v>
      </c>
      <c r="DT111" s="234" t="n">
        <f aca="false">SUM([1]OPPD_NPPD!$P102:$R102)+SUM([1]NSP!$P102:$R102)</f>
        <v>0</v>
      </c>
      <c r="DU111" s="234" t="n">
        <f aca="false">SUM([1]COMED!$P102:$R102)</f>
        <v>-17493.4096679688</v>
      </c>
      <c r="DV111" s="234" t="n">
        <f aca="false">DT111+DU111</f>
        <v>-17493.4096679688</v>
      </c>
      <c r="DW111" s="535"/>
      <c r="DX111" s="536" t="n">
        <f aca="false">[1]OtherPosn!$D102</f>
        <v>37144</v>
      </c>
      <c r="DY111" s="234" t="n">
        <f aca="false">[1]OtherPosn!$N102</f>
        <v>-15133.908203125</v>
      </c>
      <c r="DZ111" s="234" t="n">
        <f aca="false">SUM([1]OtherPosn!$O102:$P102)</f>
        <v>-398.2607421875</v>
      </c>
    </row>
    <row r="112" customFormat="false" ht="15.75" hidden="false" customHeight="false" outlineLevel="0" collapsed="false">
      <c r="A112" s="95" t="n">
        <f aca="false">A68</f>
        <v>37530</v>
      </c>
      <c r="B112" s="122" t="n">
        <f aca="false">B24+B68</f>
        <v>51708.328125</v>
      </c>
      <c r="C112" s="122" t="n">
        <f aca="false">C24+C68</f>
        <v>146.761976669126</v>
      </c>
      <c r="D112" s="122" t="n">
        <f aca="false">D24+D68</f>
        <v>-50</v>
      </c>
      <c r="E112" s="122" t="n">
        <f aca="false">E24+E68</f>
        <v>34091.9368434979</v>
      </c>
      <c r="F112" s="692" t="n">
        <f aca="false">F24+F68</f>
        <v>96.7619766691259</v>
      </c>
      <c r="G112" s="122" t="s">
        <v>312</v>
      </c>
      <c r="H112" s="122" t="s">
        <v>312</v>
      </c>
      <c r="I112" s="122" t="s">
        <v>312</v>
      </c>
      <c r="J112" s="122" t="n">
        <f aca="false">J24+J68</f>
        <v>-0.0169513109140098</v>
      </c>
      <c r="K112" s="122" t="n">
        <f aca="false">K24+K68</f>
        <v>0.00577510309507021</v>
      </c>
      <c r="L112" s="122" t="n">
        <f aca="false">L24+L68</f>
        <v>-0.0111762078189396</v>
      </c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696" t="n">
        <f aca="false">A112</f>
        <v>37530</v>
      </c>
      <c r="X112" s="697" t="n">
        <f aca="false">I68-I24</f>
        <v>-0.55000114440918</v>
      </c>
      <c r="Y112" s="584" t="n">
        <f aca="false">F68-F24</f>
        <v>-1095.9923259055</v>
      </c>
      <c r="Z112" s="584" t="n">
        <f aca="false">E68-E24</f>
        <v>-386148.593093498</v>
      </c>
      <c r="AA112" s="46"/>
      <c r="AB112" s="46"/>
      <c r="AC112" s="46"/>
      <c r="AD112" s="46"/>
      <c r="AE112" s="46"/>
      <c r="AF112" s="46"/>
      <c r="AG112" s="46"/>
      <c r="AH112" s="46"/>
      <c r="AI112" s="46"/>
      <c r="AR112" s="458"/>
      <c r="AS112" s="439" t="n">
        <f aca="false">AQ112*AR112</f>
        <v>0</v>
      </c>
      <c r="DJ112" s="532" t="n">
        <f aca="false">[1]Cinergy!$D134</f>
        <v>40210</v>
      </c>
      <c r="DK112" s="440" t="n">
        <f aca="false">VLOOKUP(DJ112,DL112:DM353,2)</f>
        <v>20</v>
      </c>
      <c r="DL112" s="533" t="n">
        <v>38777</v>
      </c>
      <c r="DM112" s="459" t="n">
        <v>23</v>
      </c>
      <c r="DP112" s="534" t="n">
        <f aca="false">[1]Cinergy!$D103</f>
        <v>39264</v>
      </c>
      <c r="DQ112" s="234" t="n">
        <f aca="false">[1]OPPD_NPPD!$O103+[1]NSP!$O103</f>
        <v>0</v>
      </c>
      <c r="DR112" s="234" t="n">
        <f aca="false">[1]COMED!$O103</f>
        <v>-52299.4921875</v>
      </c>
      <c r="DS112" s="234" t="n">
        <f aca="false">DQ112+DR112</f>
        <v>-52299.4921875</v>
      </c>
      <c r="DT112" s="234" t="n">
        <f aca="false">SUM([1]OPPD_NPPD!$P103:$R103)+SUM([1]NSP!$P103:$R103)</f>
        <v>0</v>
      </c>
      <c r="DU112" s="234" t="n">
        <f aca="false">SUM([1]COMED!$P103:$R103)</f>
        <v>-17594.5534667969</v>
      </c>
      <c r="DV112" s="234" t="n">
        <f aca="false">DT112+DU112</f>
        <v>-17594.5534667969</v>
      </c>
      <c r="DW112" s="535"/>
      <c r="DX112" s="536" t="n">
        <f aca="false">[1]OtherPosn!$D103</f>
        <v>37145</v>
      </c>
      <c r="DY112" s="234" t="n">
        <f aca="false">[1]OtherPosn!$N103</f>
        <v>-15133.908203125</v>
      </c>
      <c r="DZ112" s="234" t="n">
        <f aca="false">SUM([1]OtherPosn!$O103:$P103)</f>
        <v>-398.2607421875</v>
      </c>
    </row>
    <row r="113" customFormat="false" ht="15.75" hidden="false" customHeight="false" outlineLevel="0" collapsed="false">
      <c r="A113" s="95" t="n">
        <f aca="false">A69</f>
        <v>37561</v>
      </c>
      <c r="B113" s="122" t="n">
        <f aca="false">B25+B69</f>
        <v>44804.59375</v>
      </c>
      <c r="C113" s="122" t="n">
        <f aca="false">C25+C69</f>
        <v>146.751853679166</v>
      </c>
      <c r="D113" s="122" t="n">
        <f aca="false">D25+D69</f>
        <v>-50</v>
      </c>
      <c r="E113" s="122" t="n">
        <f aca="false">E25+E69</f>
        <v>29539.1668995994</v>
      </c>
      <c r="F113" s="692" t="n">
        <f aca="false">F25+F69</f>
        <v>96.7518536791658</v>
      </c>
      <c r="G113" s="122" t="s">
        <v>312</v>
      </c>
      <c r="H113" s="122" t="s">
        <v>312</v>
      </c>
      <c r="I113" s="122" t="s">
        <v>312</v>
      </c>
      <c r="J113" s="122" t="n">
        <f aca="false">J25+J69</f>
        <v>-0.0146880904212594</v>
      </c>
      <c r="K113" s="122" t="n">
        <f aca="false">K25+K69</f>
        <v>0.00500439689619562</v>
      </c>
      <c r="L113" s="122" t="n">
        <f aca="false">L25+L69</f>
        <v>-0.00968369352506379</v>
      </c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693" t="n">
        <f aca="false">A113</f>
        <v>37561</v>
      </c>
      <c r="X113" s="694" t="n">
        <f aca="false">I69-I25</f>
        <v>-0.550004959106445</v>
      </c>
      <c r="Y113" s="695" t="n">
        <f aca="false">F69-F25</f>
        <v>-1095.91333877709</v>
      </c>
      <c r="Z113" s="695" t="n">
        <f aca="false">E69-E25</f>
        <v>-334591.698149599</v>
      </c>
      <c r="AA113" s="46"/>
      <c r="AB113" s="46"/>
      <c r="AC113" s="46"/>
      <c r="AD113" s="46"/>
      <c r="AE113" s="46"/>
      <c r="AF113" s="46"/>
      <c r="AG113" s="46"/>
      <c r="AH113" s="46"/>
      <c r="AI113" s="46"/>
      <c r="AR113" s="458"/>
      <c r="AS113" s="439" t="n">
        <f aca="false">AQ113*AR113</f>
        <v>0</v>
      </c>
      <c r="DJ113" s="532" t="n">
        <f aca="false">[1]Cinergy!$D135</f>
        <v>40238</v>
      </c>
      <c r="DK113" s="440" t="n">
        <f aca="false">VLOOKUP(DJ113,DL113:DM354,2)</f>
        <v>23</v>
      </c>
      <c r="DL113" s="533" t="n">
        <v>38808</v>
      </c>
      <c r="DM113" s="459" t="n">
        <v>20</v>
      </c>
      <c r="DP113" s="534" t="n">
        <f aca="false">[1]Cinergy!$D104</f>
        <v>39295</v>
      </c>
      <c r="DQ113" s="234" t="n">
        <f aca="false">[1]OPPD_NPPD!$O104+[1]NSP!$O104</f>
        <v>0</v>
      </c>
      <c r="DR113" s="234" t="n">
        <f aca="false">[1]COMED!$O104</f>
        <v>-56710.140625</v>
      </c>
      <c r="DS113" s="234" t="n">
        <f aca="false">DQ113+DR113</f>
        <v>-56710.140625</v>
      </c>
      <c r="DT113" s="234" t="n">
        <f aca="false">SUM([1]OPPD_NPPD!$P104:$R104)+SUM([1]NSP!$P104:$R104)</f>
        <v>0</v>
      </c>
      <c r="DU113" s="234" t="n">
        <f aca="false">SUM([1]COMED!$P104:$R104)</f>
        <v>-16128.2685546875</v>
      </c>
      <c r="DV113" s="234" t="n">
        <f aca="false">DT113+DU113</f>
        <v>-16128.2685546875</v>
      </c>
      <c r="DW113" s="535"/>
      <c r="DX113" s="536" t="n">
        <f aca="false">[1]OtherPosn!$D104</f>
        <v>37146</v>
      </c>
      <c r="DY113" s="234" t="n">
        <f aca="false">[1]OtherPosn!$N104</f>
        <v>-15133.908203125</v>
      </c>
      <c r="DZ113" s="234" t="n">
        <f aca="false">SUM([1]OtherPosn!$O104:$P104)</f>
        <v>-398.2607421875</v>
      </c>
    </row>
    <row r="114" customFormat="false" ht="15.75" hidden="false" customHeight="false" outlineLevel="0" collapsed="false">
      <c r="A114" s="95" t="n">
        <f aca="false">A70</f>
        <v>37591</v>
      </c>
      <c r="B114" s="122" t="n">
        <f aca="false">B26+B70</f>
        <v>46866.4375</v>
      </c>
      <c r="C114" s="122" t="n">
        <f aca="false">C26+C70</f>
        <v>146.726433416974</v>
      </c>
      <c r="D114" s="122" t="n">
        <f aca="false">D26+D70</f>
        <v>-50</v>
      </c>
      <c r="E114" s="122" t="n">
        <f aca="false">E26+E70</f>
        <v>30895.7509615993</v>
      </c>
      <c r="F114" s="692" t="n">
        <f aca="false">F26+F70</f>
        <v>96.7264334169737</v>
      </c>
      <c r="G114" s="122" t="s">
        <v>312</v>
      </c>
      <c r="H114" s="122" t="s">
        <v>312</v>
      </c>
      <c r="I114" s="122" t="s">
        <v>312</v>
      </c>
      <c r="J114" s="122" t="n">
        <f aca="false">J26+J70</f>
        <v>-0.0153640154749155</v>
      </c>
      <c r="K114" s="122" t="n">
        <f aca="false">K26+K70</f>
        <v>0.00523559903867266</v>
      </c>
      <c r="L114" s="122" t="n">
        <f aca="false">L26+L70</f>
        <v>-0.0101284164362428</v>
      </c>
      <c r="M114" s="46"/>
      <c r="N114" s="46"/>
      <c r="O114" s="46"/>
      <c r="P114" s="46"/>
      <c r="Q114" s="46"/>
      <c r="R114" s="46"/>
      <c r="S114" s="506"/>
      <c r="T114" s="506"/>
      <c r="U114" s="46"/>
      <c r="V114" s="46"/>
      <c r="W114" s="696" t="n">
        <f aca="false">A114</f>
        <v>37591</v>
      </c>
      <c r="X114" s="697" t="n">
        <f aca="false">I70-I26</f>
        <v>-0.55000114440918</v>
      </c>
      <c r="Y114" s="584" t="n">
        <f aca="false">F70-F26</f>
        <v>-1095.71507029481</v>
      </c>
      <c r="Z114" s="584" t="n">
        <f aca="false">E70-E26</f>
        <v>-349986.438461599</v>
      </c>
      <c r="AA114" s="46"/>
      <c r="AB114" s="46"/>
      <c r="AC114" s="46"/>
      <c r="AD114" s="46"/>
      <c r="AE114" s="46"/>
      <c r="AF114" s="46"/>
      <c r="AG114" s="46"/>
      <c r="AH114" s="46"/>
      <c r="AI114" s="46"/>
      <c r="AK114" s="465" t="n">
        <f aca="false">SUM(AK100:AK113)</f>
        <v>1</v>
      </c>
      <c r="AL114" s="465"/>
      <c r="AM114" s="465" t="n">
        <f aca="false">SUM(AM100:AM113)/SUM(AK100:AK113)</f>
        <v>40</v>
      </c>
      <c r="AN114" s="465"/>
      <c r="AO114" s="465"/>
      <c r="AP114" s="465"/>
      <c r="AQ114" s="465" t="n">
        <f aca="false">SUM(AQ100:AQ113)</f>
        <v>-133</v>
      </c>
      <c r="AR114" s="465"/>
      <c r="AS114" s="465" t="n">
        <f aca="false">SUM(AS100:AS113)/SUM(AQ100:AQ113)</f>
        <v>39.8364661654135</v>
      </c>
      <c r="DJ114" s="532" t="n">
        <f aca="false">[1]Cinergy!$D136</f>
        <v>40269</v>
      </c>
      <c r="DK114" s="440" t="n">
        <f aca="false">VLOOKUP(DJ114,DL114:DM355,2)</f>
        <v>22</v>
      </c>
      <c r="DL114" s="533" t="n">
        <v>38838</v>
      </c>
      <c r="DM114" s="459" t="n">
        <v>22</v>
      </c>
      <c r="DP114" s="534" t="n">
        <f aca="false">[1]Cinergy!$D105</f>
        <v>39326</v>
      </c>
      <c r="DQ114" s="234" t="n">
        <f aca="false">[1]OPPD_NPPD!$O105+[1]NSP!$O105</f>
        <v>0</v>
      </c>
      <c r="DR114" s="234" t="n">
        <f aca="false">[1]COMED!$O105</f>
        <v>-50137.17578125</v>
      </c>
      <c r="DS114" s="234" t="n">
        <f aca="false">DQ114+DR114</f>
        <v>-50137.17578125</v>
      </c>
      <c r="DT114" s="234" t="n">
        <f aca="false">SUM([1]OPPD_NPPD!$P105:$R105)+SUM([1]NSP!$P105:$R105)</f>
        <v>0</v>
      </c>
      <c r="DU114" s="234" t="n">
        <f aca="false">SUM([1]COMED!$P105:$R105)</f>
        <v>-19564.92578125</v>
      </c>
      <c r="DV114" s="234" t="n">
        <f aca="false">DT114+DU114</f>
        <v>-19564.92578125</v>
      </c>
      <c r="DW114" s="535"/>
      <c r="DX114" s="536" t="n">
        <f aca="false">[1]OtherPosn!$D105</f>
        <v>37147</v>
      </c>
      <c r="DY114" s="234" t="n">
        <f aca="false">[1]OtherPosn!$N105</f>
        <v>-15133.908203125</v>
      </c>
      <c r="DZ114" s="234" t="n">
        <f aca="false">SUM([1]OtherPosn!$O105:$P105)</f>
        <v>-398.2607421875</v>
      </c>
    </row>
    <row r="115" customFormat="false" ht="15.75" hidden="false" customHeight="false" outlineLevel="0" collapsed="false">
      <c r="A115" s="95" t="n">
        <f aca="false">A71</f>
        <v>37622</v>
      </c>
      <c r="B115" s="122" t="n">
        <f aca="false">B27+B71</f>
        <v>-649314.859375</v>
      </c>
      <c r="C115" s="122" t="n">
        <f aca="false">C27+C71</f>
        <v>-1947.76192142196</v>
      </c>
      <c r="D115" s="122" t="n">
        <f aca="false">D27+D71</f>
        <v>0</v>
      </c>
      <c r="E115" s="122" t="n">
        <f aca="false">E27+E71</f>
        <v>-649314.859375</v>
      </c>
      <c r="F115" s="692" t="n">
        <f aca="false">F27+F71</f>
        <v>-1947.76192142196</v>
      </c>
      <c r="G115" s="122" t="s">
        <v>312</v>
      </c>
      <c r="H115" s="122" t="s">
        <v>312</v>
      </c>
      <c r="I115" s="122" t="s">
        <v>312</v>
      </c>
      <c r="J115" s="122" t="n">
        <f aca="false">J27+J71</f>
        <v>-0.117949505537174</v>
      </c>
      <c r="K115" s="122" t="n">
        <f aca="false">K27+K71</f>
        <v>0</v>
      </c>
      <c r="L115" s="122" t="n">
        <f aca="false">L27+L71</f>
        <v>-0.117949505537174</v>
      </c>
      <c r="M115" s="46"/>
      <c r="N115" s="46"/>
      <c r="O115" s="46"/>
      <c r="P115" s="46"/>
      <c r="Q115" s="46"/>
      <c r="R115" s="46"/>
      <c r="S115" s="506"/>
      <c r="T115" s="506"/>
      <c r="U115" s="46"/>
      <c r="V115" s="46"/>
      <c r="W115" s="693" t="n">
        <f aca="false">A115</f>
        <v>37622</v>
      </c>
      <c r="X115" s="694" t="n">
        <f aca="false">I71-I27</f>
        <v>-0.852006912231445</v>
      </c>
      <c r="Y115" s="695" t="n">
        <f aca="false">F71-F27</f>
        <v>449.483520328144</v>
      </c>
      <c r="Z115" s="695" t="n">
        <f aca="false">E71-E27</f>
        <v>149841.890625</v>
      </c>
      <c r="AA115" s="46"/>
      <c r="AB115" s="46"/>
      <c r="AC115" s="46"/>
      <c r="AD115" s="46"/>
      <c r="AE115" s="46"/>
      <c r="AF115" s="46"/>
      <c r="AG115" s="46"/>
      <c r="AH115" s="46"/>
      <c r="AI115" s="46"/>
      <c r="AK115" s="465"/>
      <c r="AL115" s="465"/>
      <c r="AM115" s="465"/>
      <c r="AN115" s="465"/>
      <c r="AO115" s="465"/>
      <c r="AP115" s="465"/>
      <c r="AQ115" s="465"/>
      <c r="AR115" s="465"/>
      <c r="AS115" s="465"/>
      <c r="DJ115" s="532" t="n">
        <f aca="false">[1]Cinergy!$D137</f>
        <v>40299</v>
      </c>
      <c r="DK115" s="440" t="n">
        <f aca="false">VLOOKUP(DJ115,DL115:DM356,2)</f>
        <v>20</v>
      </c>
      <c r="DL115" s="533" t="n">
        <v>38869</v>
      </c>
      <c r="DM115" s="459" t="n">
        <v>22</v>
      </c>
      <c r="DP115" s="534" t="n">
        <f aca="false">[1]Cinergy!$D106</f>
        <v>39356</v>
      </c>
      <c r="DQ115" s="234" t="n">
        <f aca="false">[1]OPPD_NPPD!$O106+[1]NSP!$O106</f>
        <v>0</v>
      </c>
      <c r="DR115" s="234" t="n">
        <f aca="false">[1]COMED!$O106</f>
        <v>-60634.08984375</v>
      </c>
      <c r="DS115" s="234" t="n">
        <f aca="false">DQ115+DR115</f>
        <v>-60634.08984375</v>
      </c>
      <c r="DT115" s="234" t="n">
        <f aca="false">SUM([1]OPPD_NPPD!$P106:$R106)+SUM([1]NSP!$P106:$R106)</f>
        <v>0</v>
      </c>
      <c r="DU115" s="234" t="n">
        <f aca="false">SUM([1]COMED!$P106:$R106)</f>
        <v>-17895.8002929688</v>
      </c>
      <c r="DV115" s="234" t="n">
        <f aca="false">DT115+DU115</f>
        <v>-17895.8002929688</v>
      </c>
      <c r="DW115" s="535"/>
      <c r="DX115" s="536" t="n">
        <f aca="false">[1]OtherPosn!$D106</f>
        <v>37148</v>
      </c>
      <c r="DY115" s="234" t="n">
        <f aca="false">[1]OtherPosn!$N106</f>
        <v>-15133.908203125</v>
      </c>
      <c r="DZ115" s="234" t="n">
        <f aca="false">SUM([1]OtherPosn!$O106:$P106)</f>
        <v>-398.2607421875</v>
      </c>
    </row>
    <row r="116" customFormat="false" ht="15.75" hidden="false" customHeight="false" outlineLevel="0" collapsed="false">
      <c r="A116" s="95" t="n">
        <f aca="false">A72</f>
        <v>37653</v>
      </c>
      <c r="B116" s="122" t="n">
        <f aca="false">B28+B72</f>
        <v>-588170.171875</v>
      </c>
      <c r="C116" s="122" t="n">
        <f aca="false">C28+C72</f>
        <v>-1947.80314863934</v>
      </c>
      <c r="D116" s="122" t="n">
        <f aca="false">D28+D72</f>
        <v>0</v>
      </c>
      <c r="E116" s="122" t="n">
        <f aca="false">E28+E72</f>
        <v>-588170.171875</v>
      </c>
      <c r="F116" s="692" t="n">
        <f aca="false">F28+F72</f>
        <v>-1947.80314863934</v>
      </c>
      <c r="G116" s="122" t="s">
        <v>312</v>
      </c>
      <c r="H116" s="122" t="s">
        <v>312</v>
      </c>
      <c r="I116" s="122" t="s">
        <v>312</v>
      </c>
      <c r="J116" s="122" t="n">
        <f aca="false">J28+J72</f>
        <v>-0.106842435442102</v>
      </c>
      <c r="K116" s="122" t="n">
        <f aca="false">K28+K72</f>
        <v>0</v>
      </c>
      <c r="L116" s="122" t="n">
        <f aca="false">L28+L72</f>
        <v>-0.106842435442102</v>
      </c>
      <c r="M116" s="46"/>
      <c r="N116" s="46"/>
      <c r="O116" s="46"/>
      <c r="P116" s="46"/>
      <c r="Q116" s="46"/>
      <c r="R116" s="46"/>
      <c r="S116" s="506"/>
      <c r="T116" s="506"/>
      <c r="U116" s="46"/>
      <c r="V116" s="46"/>
      <c r="W116" s="696" t="n">
        <f aca="false">A116</f>
        <v>37653</v>
      </c>
      <c r="X116" s="697" t="n">
        <f aca="false">I72-I28</f>
        <v>-0.850015640258789</v>
      </c>
      <c r="Y116" s="584" t="n">
        <f aca="false">F72-F28</f>
        <v>449.493034301387</v>
      </c>
      <c r="Z116" s="584" t="n">
        <f aca="false">E72-E28</f>
        <v>135731.578125</v>
      </c>
      <c r="AA116" s="46"/>
      <c r="AB116" s="46"/>
      <c r="AC116" s="46"/>
      <c r="AD116" s="46"/>
      <c r="AE116" s="46"/>
      <c r="AF116" s="46"/>
      <c r="AG116" s="46"/>
      <c r="AH116" s="46"/>
      <c r="AI116" s="46"/>
      <c r="DJ116" s="532" t="n">
        <f aca="false">[1]Cinergy!$D138</f>
        <v>40330</v>
      </c>
      <c r="DK116" s="440" t="n">
        <f aca="false">VLOOKUP(DJ116,DL116:DM357,2)</f>
        <v>22</v>
      </c>
      <c r="DL116" s="533" t="n">
        <v>38899</v>
      </c>
      <c r="DM116" s="459" t="n">
        <v>20</v>
      </c>
      <c r="DP116" s="534" t="n">
        <f aca="false">[1]Cinergy!$D107</f>
        <v>39387</v>
      </c>
      <c r="DQ116" s="234" t="n">
        <f aca="false">[1]OPPD_NPPD!$O107+[1]NSP!$O107</f>
        <v>0</v>
      </c>
      <c r="DR116" s="234" t="n">
        <f aca="false">[1]COMED!$O107</f>
        <v>-55317.96875</v>
      </c>
      <c r="DS116" s="234" t="n">
        <f aca="false">DQ116+DR116</f>
        <v>-55317.96875</v>
      </c>
      <c r="DT116" s="234" t="n">
        <f aca="false">SUM([1]OPPD_NPPD!$P107:$R107)+SUM([1]NSP!$P107:$R107)</f>
        <v>0</v>
      </c>
      <c r="DU116" s="234" t="n">
        <f aca="false">SUM([1]COMED!$P107:$R107)</f>
        <v>-20349.3466796875</v>
      </c>
      <c r="DV116" s="234" t="n">
        <f aca="false">DT116+DU116</f>
        <v>-20349.3466796875</v>
      </c>
      <c r="DW116" s="535"/>
      <c r="DX116" s="536" t="n">
        <f aca="false">[1]OtherPosn!$D107</f>
        <v>37149</v>
      </c>
      <c r="DY116" s="234" t="n">
        <f aca="false">[1]OtherPosn!$N107</f>
        <v>0</v>
      </c>
      <c r="DZ116" s="234" t="n">
        <f aca="false">SUM([1]OtherPosn!$O107:$P107)</f>
        <v>-1194.7822265625</v>
      </c>
    </row>
    <row r="117" customFormat="false" ht="15.75" hidden="false" customHeight="false" outlineLevel="0" collapsed="false">
      <c r="A117" s="95" t="n">
        <f aca="false">A73</f>
        <v>37681</v>
      </c>
      <c r="B117" s="122" t="n">
        <f aca="false">B29+B73</f>
        <v>-599322.609375</v>
      </c>
      <c r="C117" s="122" t="n">
        <f aca="false">C29+C73</f>
        <v>-1897.65919048302</v>
      </c>
      <c r="D117" s="122" t="n">
        <f aca="false">D29+D73</f>
        <v>0</v>
      </c>
      <c r="E117" s="122" t="n">
        <f aca="false">E29+E73</f>
        <v>-599322.609375</v>
      </c>
      <c r="F117" s="692" t="n">
        <f aca="false">F29+F73</f>
        <v>-1897.65919048302</v>
      </c>
      <c r="G117" s="122" t="s">
        <v>312</v>
      </c>
      <c r="H117" s="122" t="s">
        <v>312</v>
      </c>
      <c r="I117" s="122" t="s">
        <v>312</v>
      </c>
      <c r="J117" s="122" t="n">
        <f aca="false">J29+J73</f>
        <v>149830.918184949</v>
      </c>
      <c r="K117" s="122" t="n">
        <f aca="false">K29+K73</f>
        <v>0</v>
      </c>
      <c r="L117" s="122" t="n">
        <f aca="false">L29+L73</f>
        <v>149830.918184949</v>
      </c>
      <c r="M117" s="46"/>
      <c r="N117" s="46"/>
      <c r="O117" s="46"/>
      <c r="P117" s="46"/>
      <c r="Q117" s="46"/>
      <c r="R117" s="46"/>
      <c r="S117" s="506"/>
      <c r="T117" s="506"/>
      <c r="U117" s="46"/>
      <c r="V117" s="46"/>
      <c r="W117" s="693" t="n">
        <f aca="false">A117</f>
        <v>37681</v>
      </c>
      <c r="X117" s="694" t="n">
        <f aca="false">I73-I29</f>
        <v>-0.799989700317383</v>
      </c>
      <c r="Y117" s="695" t="n">
        <f aca="false">F73-F29</f>
        <v>699.137632948316</v>
      </c>
      <c r="Z117" s="695" t="n">
        <f aca="false">E73-E29</f>
        <v>220803.078125</v>
      </c>
      <c r="AA117" s="46"/>
      <c r="AB117" s="46"/>
      <c r="AC117" s="46"/>
      <c r="AD117" s="46"/>
      <c r="AE117" s="46"/>
      <c r="AF117" s="46"/>
      <c r="AG117" s="46"/>
      <c r="AH117" s="46"/>
      <c r="AI117" s="46"/>
      <c r="DJ117" s="532" t="n">
        <f aca="false">[1]Cinergy!$D139</f>
        <v>40360</v>
      </c>
      <c r="DK117" s="440" t="n">
        <f aca="false">VLOOKUP(DJ117,DL117:DM358,2)</f>
        <v>22</v>
      </c>
      <c r="DL117" s="533" t="n">
        <v>38930</v>
      </c>
      <c r="DM117" s="459" t="n">
        <v>23</v>
      </c>
      <c r="DP117" s="534" t="n">
        <f aca="false">[1]Cinergy!$D108</f>
        <v>39417</v>
      </c>
      <c r="DQ117" s="234" t="n">
        <f aca="false">[1]OPPD_NPPD!$O108+[1]NSP!$O108</f>
        <v>0</v>
      </c>
      <c r="DR117" s="234" t="n">
        <f aca="false">[1]COMED!$O108</f>
        <v>-52173.40234375</v>
      </c>
      <c r="DS117" s="234" t="n">
        <f aca="false">DQ117+DR117</f>
        <v>-52173.40234375</v>
      </c>
      <c r="DT117" s="234" t="n">
        <f aca="false">SUM([1]OPPD_NPPD!$P108:$R108)+SUM([1]NSP!$P108:$R108)</f>
        <v>0</v>
      </c>
      <c r="DU117" s="234" t="n">
        <f aca="false">SUM([1]COMED!$P108:$R108)</f>
        <v>-22045.6118164063</v>
      </c>
      <c r="DV117" s="234" t="n">
        <f aca="false">DT117+DU117</f>
        <v>-22045.6118164063</v>
      </c>
      <c r="DW117" s="535"/>
      <c r="DX117" s="536" t="n">
        <f aca="false">[1]OtherPosn!$D108</f>
        <v>37150</v>
      </c>
      <c r="DY117" s="234" t="n">
        <f aca="false">[1]OtherPosn!$N108</f>
        <v>0</v>
      </c>
      <c r="DZ117" s="234" t="n">
        <f aca="false">SUM([1]OtherPosn!$O108:$P108)</f>
        <v>-1194.7822265625</v>
      </c>
    </row>
    <row r="118" customFormat="false" ht="15.75" hidden="false" customHeight="false" outlineLevel="0" collapsed="false">
      <c r="A118" s="95" t="n">
        <f aca="false">A74</f>
        <v>37712</v>
      </c>
      <c r="B118" s="122" t="n">
        <f aca="false">B30+B74</f>
        <v>-625377.28125</v>
      </c>
      <c r="C118" s="122" t="n">
        <f aca="false">C30+C74</f>
        <v>-1897.64711015005</v>
      </c>
      <c r="D118" s="122" t="n">
        <f aca="false">D30+D74</f>
        <v>0</v>
      </c>
      <c r="E118" s="122" t="n">
        <f aca="false">E30+E74</f>
        <v>-625377.28125</v>
      </c>
      <c r="F118" s="692" t="n">
        <f aca="false">F30+F74</f>
        <v>-1897.64711015005</v>
      </c>
      <c r="G118" s="122" t="s">
        <v>312</v>
      </c>
      <c r="H118" s="122" t="s">
        <v>312</v>
      </c>
      <c r="I118" s="122" t="s">
        <v>312</v>
      </c>
      <c r="J118" s="122" t="n">
        <f aca="false">J30+J74</f>
        <v>156344.597710755</v>
      </c>
      <c r="K118" s="122" t="n">
        <f aca="false">K30+K74</f>
        <v>0</v>
      </c>
      <c r="L118" s="122" t="n">
        <f aca="false">L30+L74</f>
        <v>156344.597710755</v>
      </c>
      <c r="M118" s="46"/>
      <c r="N118" s="46"/>
      <c r="O118" s="46"/>
      <c r="P118" s="46"/>
      <c r="Q118" s="46"/>
      <c r="R118" s="46"/>
      <c r="S118" s="506"/>
      <c r="T118" s="506"/>
      <c r="U118" s="46"/>
      <c r="V118" s="46"/>
      <c r="W118" s="696" t="n">
        <f aca="false">A118</f>
        <v>37712</v>
      </c>
      <c r="X118" s="697" t="n">
        <f aca="false">I74-I30</f>
        <v>-0.799989700317383</v>
      </c>
      <c r="Y118" s="584" t="n">
        <f aca="false">F74-F30</f>
        <v>699.133145844756</v>
      </c>
      <c r="Z118" s="584" t="n">
        <f aca="false">E74-E30</f>
        <v>230402.15625</v>
      </c>
      <c r="AA118" s="46"/>
      <c r="AB118" s="46"/>
      <c r="AC118" s="46"/>
      <c r="AD118" s="46"/>
      <c r="AE118" s="46"/>
      <c r="AF118" s="46"/>
      <c r="AG118" s="46"/>
      <c r="AH118" s="46"/>
      <c r="AI118" s="46"/>
      <c r="DJ118" s="532" t="n">
        <f aca="false">[1]Cinergy!$D140</f>
        <v>40391</v>
      </c>
      <c r="DK118" s="440" t="n">
        <f aca="false">VLOOKUP(DJ118,DL118:DM359,2)</f>
        <v>22</v>
      </c>
      <c r="DL118" s="533" t="n">
        <v>38961</v>
      </c>
      <c r="DM118" s="459" t="n">
        <v>20</v>
      </c>
      <c r="DP118" s="534" t="n">
        <f aca="false">[1]Cinergy!$D109</f>
        <v>39448</v>
      </c>
      <c r="DQ118" s="234" t="n">
        <f aca="false">[1]OPPD_NPPD!$O109+[1]NSP!$O109</f>
        <v>0</v>
      </c>
      <c r="DR118" s="234" t="n">
        <f aca="false">[1]COMED!$O109</f>
        <v>-32913.3046875</v>
      </c>
      <c r="DS118" s="234" t="n">
        <f aca="false">DQ118+DR118</f>
        <v>-32913.3046875</v>
      </c>
      <c r="DT118" s="234" t="n">
        <f aca="false">SUM([1]OPPD_NPPD!$P109:$R109)+SUM([1]NSP!$P109:$R109)</f>
        <v>0</v>
      </c>
      <c r="DU118" s="234" t="n">
        <f aca="false">SUM([1]COMED!$P109:$R109)</f>
        <v>-20830.0966796875</v>
      </c>
      <c r="DV118" s="234" t="n">
        <f aca="false">DT118+DU118</f>
        <v>-20830.0966796875</v>
      </c>
      <c r="DW118" s="535"/>
      <c r="DX118" s="536" t="n">
        <f aca="false">[1]OtherPosn!$D109</f>
        <v>37151</v>
      </c>
      <c r="DY118" s="234" t="n">
        <f aca="false">[1]OtherPosn!$N109</f>
        <v>-15133.908203125</v>
      </c>
      <c r="DZ118" s="234" t="n">
        <f aca="false">SUM([1]OtherPosn!$O109:$P109)</f>
        <v>-398.2607421875</v>
      </c>
    </row>
    <row r="119" customFormat="false" ht="15.75" hidden="false" customHeight="false" outlineLevel="0" collapsed="false">
      <c r="A119" s="95" t="n">
        <f aca="false">A75</f>
        <v>37742</v>
      </c>
      <c r="B119" s="122" t="n">
        <f aca="false">B31+B75</f>
        <v>-512334.921875</v>
      </c>
      <c r="C119" s="122" t="n">
        <f aca="false">C31+C75</f>
        <v>-1635.3290475805</v>
      </c>
      <c r="D119" s="122" t="n">
        <f aca="false">D31+D75</f>
        <v>0</v>
      </c>
      <c r="E119" s="122" t="n">
        <f aca="false">E31+E75</f>
        <v>-512334.921875</v>
      </c>
      <c r="F119" s="692" t="n">
        <f aca="false">F31+F75</f>
        <v>-1635.3290475805</v>
      </c>
      <c r="G119" s="122" t="s">
        <v>312</v>
      </c>
      <c r="H119" s="122" t="s">
        <v>312</v>
      </c>
      <c r="I119" s="122" t="s">
        <v>312</v>
      </c>
      <c r="J119" s="122" t="n">
        <f aca="false">J31+J75</f>
        <v>-0</v>
      </c>
      <c r="K119" s="122" t="n">
        <f aca="false">K31+K75</f>
        <v>0</v>
      </c>
      <c r="L119" s="122" t="n">
        <f aca="false">L31+L75</f>
        <v>0</v>
      </c>
      <c r="M119" s="46"/>
      <c r="N119" s="46"/>
      <c r="O119" s="46"/>
      <c r="P119" s="46"/>
      <c r="Q119" s="46"/>
      <c r="R119" s="46"/>
      <c r="S119" s="506"/>
      <c r="T119" s="506"/>
      <c r="U119" s="46"/>
      <c r="V119" s="46"/>
      <c r="W119" s="693" t="n">
        <f aca="false">A119</f>
        <v>37742</v>
      </c>
      <c r="X119" s="694" t="n">
        <f aca="false">I75-I31</f>
        <v>-0.750003814697266</v>
      </c>
      <c r="Y119" s="695" t="n">
        <f aca="false">F75-F31</f>
        <v>436.92002099163</v>
      </c>
      <c r="Z119" s="695" t="n">
        <f aca="false">E75-E31</f>
        <v>136883.390625</v>
      </c>
      <c r="AA119" s="46"/>
      <c r="AB119" s="46"/>
      <c r="AC119" s="46"/>
      <c r="AD119" s="46"/>
      <c r="AE119" s="46"/>
      <c r="AF119" s="46"/>
      <c r="AG119" s="46"/>
      <c r="AH119" s="46"/>
      <c r="AI119" s="46"/>
      <c r="DJ119" s="532" t="n">
        <f aca="false">[1]Cinergy!$D141</f>
        <v>40422</v>
      </c>
      <c r="DK119" s="440" t="n">
        <f aca="false">VLOOKUP(DJ119,DL119:DM360,2)</f>
        <v>21</v>
      </c>
      <c r="DL119" s="533" t="n">
        <v>38991</v>
      </c>
      <c r="DM119" s="459" t="n">
        <v>22</v>
      </c>
      <c r="DP119" s="534" t="n">
        <f aca="false">[1]Cinergy!$D110</f>
        <v>39479</v>
      </c>
      <c r="DQ119" s="234" t="n">
        <f aca="false">[1]OPPD_NPPD!$O110+[1]NSP!$O110</f>
        <v>0</v>
      </c>
      <c r="DR119" s="234" t="n">
        <f aca="false">[1]COMED!$O110</f>
        <v>-31259.24609375</v>
      </c>
      <c r="DS119" s="234" t="n">
        <f aca="false">DQ119+DR119</f>
        <v>-31259.24609375</v>
      </c>
      <c r="DT119" s="234" t="n">
        <f aca="false">SUM([1]OPPD_NPPD!$P110:$R110)+SUM([1]NSP!$P110:$R110)</f>
        <v>0</v>
      </c>
      <c r="DU119" s="234" t="n">
        <f aca="false">SUM([1]COMED!$P110:$R110)</f>
        <v>-18525.1650390625</v>
      </c>
      <c r="DV119" s="234" t="n">
        <f aca="false">DT119+DU119</f>
        <v>-18525.1650390625</v>
      </c>
      <c r="DW119" s="535"/>
      <c r="DX119" s="536" t="n">
        <f aca="false">[1]OtherPosn!$D110</f>
        <v>37152</v>
      </c>
      <c r="DY119" s="234" t="n">
        <f aca="false">[1]OtherPosn!$N110</f>
        <v>-15133.908203125</v>
      </c>
      <c r="DZ119" s="234" t="n">
        <f aca="false">SUM([1]OtherPosn!$O110:$P110)</f>
        <v>-398.2607421875</v>
      </c>
    </row>
    <row r="120" customFormat="false" ht="15.75" hidden="false" customHeight="false" outlineLevel="0" collapsed="false">
      <c r="A120" s="95" t="n">
        <f aca="false">A76</f>
        <v>37773</v>
      </c>
      <c r="B120" s="122" t="n">
        <f aca="false">B32+B76</f>
        <v>-249273.98046875</v>
      </c>
      <c r="C120" s="122" t="n">
        <f aca="false">C32+C76</f>
        <v>-798.914541525032</v>
      </c>
      <c r="D120" s="122" t="n">
        <f aca="false">D32+D76</f>
        <v>0</v>
      </c>
      <c r="E120" s="122" t="n">
        <f aca="false">E32+E76</f>
        <v>-249273.98046875</v>
      </c>
      <c r="F120" s="692" t="n">
        <f aca="false">F32+F76</f>
        <v>-798.914541525032</v>
      </c>
      <c r="G120" s="122" t="s">
        <v>312</v>
      </c>
      <c r="H120" s="122" t="s">
        <v>312</v>
      </c>
      <c r="I120" s="122" t="s">
        <v>312</v>
      </c>
      <c r="J120" s="122" t="n">
        <f aca="false">J32+J76</f>
        <v>124636.990234375</v>
      </c>
      <c r="K120" s="122" t="n">
        <f aca="false">K32+K76</f>
        <v>0</v>
      </c>
      <c r="L120" s="122" t="n">
        <f aca="false">L32+L76</f>
        <v>124636.990234375</v>
      </c>
      <c r="M120" s="46"/>
      <c r="N120" s="46"/>
      <c r="O120" s="46"/>
      <c r="P120" s="46"/>
      <c r="Q120" s="46"/>
      <c r="R120" s="46"/>
      <c r="S120" s="506"/>
      <c r="T120" s="506"/>
      <c r="U120" s="46"/>
      <c r="V120" s="46"/>
      <c r="W120" s="696" t="n">
        <f aca="false">A120</f>
        <v>37773</v>
      </c>
      <c r="X120" s="697" t="n">
        <f aca="false">I76-I32</f>
        <v>-1</v>
      </c>
      <c r="Y120" s="584" t="n">
        <f aca="false">F76-F32</f>
        <v>-399.457264502817</v>
      </c>
      <c r="Z120" s="584" t="n">
        <f aca="false">E76-E32</f>
        <v>-124636.98828125</v>
      </c>
      <c r="AA120" s="46"/>
      <c r="AB120" s="46"/>
      <c r="AC120" s="46"/>
      <c r="AD120" s="46"/>
      <c r="AE120" s="46"/>
      <c r="AF120" s="46"/>
      <c r="AG120" s="46"/>
      <c r="AH120" s="46"/>
      <c r="AI120" s="46"/>
      <c r="DJ120" s="532" t="n">
        <f aca="false">[1]Cinergy!$D142</f>
        <v>40452</v>
      </c>
      <c r="DK120" s="440" t="n">
        <f aca="false">VLOOKUP(DJ120,DL120:DM361,2)</f>
        <v>21</v>
      </c>
      <c r="DL120" s="533" t="n">
        <v>39022</v>
      </c>
      <c r="DM120" s="459" t="n">
        <v>21</v>
      </c>
      <c r="DP120" s="534" t="n">
        <f aca="false">[1]Cinergy!$D111</f>
        <v>39508</v>
      </c>
      <c r="DQ120" s="234" t="n">
        <f aca="false">[1]OPPD_NPPD!$O111+[1]NSP!$O111</f>
        <v>0</v>
      </c>
      <c r="DR120" s="234" t="n">
        <f aca="false">[1]COMED!$O111</f>
        <v>-32034.330078125</v>
      </c>
      <c r="DS120" s="234" t="n">
        <f aca="false">DQ120+DR120</f>
        <v>-32034.330078125</v>
      </c>
      <c r="DT120" s="234" t="n">
        <f aca="false">SUM([1]OPPD_NPPD!$P111:$R111)+SUM([1]NSP!$P111:$R111)</f>
        <v>0</v>
      </c>
      <c r="DU120" s="234" t="n">
        <f aca="false">SUM([1]COMED!$P111:$R111)</f>
        <v>-21454.9072265625</v>
      </c>
      <c r="DV120" s="234" t="n">
        <f aca="false">DT120+DU120</f>
        <v>-21454.9072265625</v>
      </c>
      <c r="DW120" s="535"/>
      <c r="DX120" s="536" t="n">
        <f aca="false">[1]OtherPosn!$D111</f>
        <v>37153</v>
      </c>
      <c r="DY120" s="234" t="n">
        <f aca="false">[1]OtherPosn!$N111</f>
        <v>-15133.908203125</v>
      </c>
      <c r="DZ120" s="234" t="n">
        <f aca="false">SUM([1]OtherPosn!$O111:$P111)</f>
        <v>-398.2607421875</v>
      </c>
    </row>
    <row r="121" customFormat="false" ht="16.5" hidden="false" customHeight="false" outlineLevel="0" collapsed="false">
      <c r="A121" s="95" t="n">
        <f aca="false">A77</f>
        <v>37803</v>
      </c>
      <c r="B121" s="122" t="n">
        <f aca="false">B33+B77</f>
        <v>-295234.9296875</v>
      </c>
      <c r="C121" s="122" t="n">
        <f aca="false">C33+C77</f>
        <v>-907.041935863315</v>
      </c>
      <c r="D121" s="122" t="n">
        <f aca="false">D33+D77</f>
        <v>0</v>
      </c>
      <c r="E121" s="122" t="n">
        <f aca="false">E33+E77</f>
        <v>-295234.9296875</v>
      </c>
      <c r="F121" s="692" t="n">
        <f aca="false">F33+F77</f>
        <v>-907.041935863315</v>
      </c>
      <c r="G121" s="122" t="s">
        <v>312</v>
      </c>
      <c r="H121" s="122" t="s">
        <v>312</v>
      </c>
      <c r="I121" s="122" t="s">
        <v>312</v>
      </c>
      <c r="J121" s="122" t="n">
        <f aca="false">J33+J77</f>
        <v>147617.46484375</v>
      </c>
      <c r="K121" s="122" t="n">
        <f aca="false">K33+K77</f>
        <v>0</v>
      </c>
      <c r="L121" s="122" t="n">
        <f aca="false">L33+L77</f>
        <v>147617.46484375</v>
      </c>
      <c r="M121" s="46"/>
      <c r="N121" s="46"/>
      <c r="O121" s="46"/>
      <c r="P121" s="46"/>
      <c r="Q121" s="46"/>
      <c r="R121" s="46"/>
      <c r="S121" s="506"/>
      <c r="T121" s="506"/>
      <c r="U121" s="46"/>
      <c r="V121" s="46"/>
      <c r="W121" s="703" t="n">
        <f aca="false">A121</f>
        <v>37803</v>
      </c>
      <c r="X121" s="704" t="n">
        <f aca="false">I77-I33</f>
        <v>-0.75</v>
      </c>
      <c r="Y121" s="705" t="n">
        <f aca="false">F77-F33</f>
        <v>-890.355899909775</v>
      </c>
      <c r="Z121" s="705" t="n">
        <f aca="false">E77-E33</f>
        <v>-289803.7578125</v>
      </c>
      <c r="AA121" s="46"/>
      <c r="AB121" s="46"/>
      <c r="AC121" s="46"/>
      <c r="AD121" s="46"/>
      <c r="AE121" s="46"/>
      <c r="AF121" s="46"/>
      <c r="AG121" s="46"/>
      <c r="AH121" s="46"/>
      <c r="AI121" s="46"/>
      <c r="DJ121" s="532" t="n">
        <f aca="false">[1]Cinergy!$D143</f>
        <v>40483</v>
      </c>
      <c r="DK121" s="440" t="n">
        <f aca="false">VLOOKUP(DJ121,DL121:DM362,2)</f>
        <v>21</v>
      </c>
      <c r="DL121" s="533" t="n">
        <v>39052</v>
      </c>
      <c r="DM121" s="459" t="n">
        <v>20</v>
      </c>
      <c r="DP121" s="534" t="n">
        <f aca="false">[1]Cinergy!$D112</f>
        <v>39539</v>
      </c>
      <c r="DQ121" s="234" t="n">
        <f aca="false">[1]OPPD_NPPD!$O112+[1]NSP!$O112</f>
        <v>0</v>
      </c>
      <c r="DR121" s="234" t="n">
        <f aca="false">[1]COMED!$O112</f>
        <v>-33137.9296875</v>
      </c>
      <c r="DS121" s="234" t="n">
        <f aca="false">DQ121+DR121</f>
        <v>-33137.9296875</v>
      </c>
      <c r="DT121" s="234" t="n">
        <f aca="false">SUM([1]OPPD_NPPD!$P112:$R112)+SUM([1]NSP!$P112:$R112)</f>
        <v>0</v>
      </c>
      <c r="DU121" s="234" t="n">
        <f aca="false">SUM([1]COMED!$P112:$R112)</f>
        <v>-18958.1279296875</v>
      </c>
      <c r="DV121" s="234" t="n">
        <f aca="false">DT121+DU121</f>
        <v>-18958.1279296875</v>
      </c>
      <c r="DW121" s="535"/>
      <c r="DX121" s="536" t="n">
        <f aca="false">[1]OtherPosn!$D112</f>
        <v>37154</v>
      </c>
      <c r="DY121" s="234" t="n">
        <f aca="false">[1]OtherPosn!$N112</f>
        <v>-15133.908203125</v>
      </c>
      <c r="DZ121" s="234" t="n">
        <f aca="false">SUM([1]OtherPosn!$O112:$P112)</f>
        <v>-398.2607421875</v>
      </c>
    </row>
    <row r="122" customFormat="false" ht="15.75" hidden="false" customHeight="false" outlineLevel="0" collapsed="false">
      <c r="A122" s="95" t="n">
        <f aca="false">A78</f>
        <v>37834</v>
      </c>
      <c r="B122" s="122" t="n">
        <f aca="false">B34+B78</f>
        <v>-288535.107421875</v>
      </c>
      <c r="C122" s="122" t="n">
        <f aca="false">C34+C78</f>
        <v>-932.709785526134</v>
      </c>
      <c r="D122" s="122" t="n">
        <f aca="false">D34+D78</f>
        <v>0</v>
      </c>
      <c r="E122" s="122" t="n">
        <f aca="false">E34+E78</f>
        <v>-288535.107421875</v>
      </c>
      <c r="F122" s="692" t="n">
        <f aca="false">F34+F78</f>
        <v>-932.709785526134</v>
      </c>
      <c r="G122" s="122" t="s">
        <v>312</v>
      </c>
      <c r="H122" s="122" t="s">
        <v>312</v>
      </c>
      <c r="I122" s="122" t="s">
        <v>312</v>
      </c>
      <c r="J122" s="122" t="n">
        <f aca="false">J34+J78</f>
        <v>144267.553710938</v>
      </c>
      <c r="K122" s="122" t="n">
        <f aca="false">K34+K78</f>
        <v>0</v>
      </c>
      <c r="L122" s="122" t="n">
        <f aca="false">L34+L78</f>
        <v>144267.553710938</v>
      </c>
      <c r="M122" s="46"/>
      <c r="N122" s="46"/>
      <c r="O122" s="46"/>
      <c r="P122" s="46"/>
      <c r="Q122" s="46"/>
      <c r="R122" s="46"/>
      <c r="S122" s="506"/>
      <c r="T122" s="506"/>
      <c r="U122" s="50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DJ122" s="532" t="n">
        <f aca="false">[1]Cinergy!$D144</f>
        <v>40513</v>
      </c>
      <c r="DK122" s="440" t="n">
        <f aca="false">VLOOKUP(DJ122,DL122:DM363,2)</f>
        <v>23</v>
      </c>
      <c r="DL122" s="533" t="n">
        <v>39083</v>
      </c>
      <c r="DM122" s="459" t="n">
        <v>22</v>
      </c>
      <c r="DP122" s="534" t="n">
        <f aca="false">[1]Cinergy!$D113</f>
        <v>39569</v>
      </c>
      <c r="DQ122" s="234" t="n">
        <f aca="false">[1]OPPD_NPPD!$O113+[1]NSP!$O113</f>
        <v>0</v>
      </c>
      <c r="DR122" s="234" t="n">
        <f aca="false">[1]COMED!$O113</f>
        <v>-29359.8125</v>
      </c>
      <c r="DS122" s="234" t="n">
        <f aca="false">DQ122+DR122</f>
        <v>-29359.8125</v>
      </c>
      <c r="DT122" s="234" t="n">
        <f aca="false">SUM([1]OPPD_NPPD!$P113:$R113)+SUM([1]NSP!$P113:$R113)</f>
        <v>0</v>
      </c>
      <c r="DU122" s="234" t="n">
        <f aca="false">SUM([1]COMED!$P113:$R113)</f>
        <v>-18392.6010742188</v>
      </c>
      <c r="DV122" s="234" t="n">
        <f aca="false">DT122+DU122</f>
        <v>-18392.6010742188</v>
      </c>
      <c r="DW122" s="535"/>
      <c r="DX122" s="536" t="n">
        <f aca="false">[1]OtherPosn!$D113</f>
        <v>37155</v>
      </c>
      <c r="DY122" s="234" t="n">
        <f aca="false">[1]OtherPosn!$N113</f>
        <v>-15133.908203125</v>
      </c>
      <c r="DZ122" s="234" t="n">
        <f aca="false">SUM([1]OtherPosn!$O113:$P113)</f>
        <v>-398.2607421875</v>
      </c>
    </row>
    <row r="123" customFormat="false" ht="15.75" hidden="false" customHeight="false" outlineLevel="0" collapsed="false">
      <c r="A123" s="95" t="n">
        <f aca="false">A79</f>
        <v>37865</v>
      </c>
      <c r="B123" s="122" t="n">
        <f aca="false">B35+B79</f>
        <v>-276807.1796875</v>
      </c>
      <c r="C123" s="122" t="n">
        <f aca="false">C35+C79</f>
        <v>-898.659296591206</v>
      </c>
      <c r="D123" s="122" t="n">
        <f aca="false">D35+D79</f>
        <v>0</v>
      </c>
      <c r="E123" s="122" t="n">
        <f aca="false">E35+E79</f>
        <v>-276807.1796875</v>
      </c>
      <c r="F123" s="692" t="n">
        <f aca="false">F35+F79</f>
        <v>-898.659296591206</v>
      </c>
      <c r="G123" s="122" t="s">
        <v>312</v>
      </c>
      <c r="H123" s="122" t="s">
        <v>312</v>
      </c>
      <c r="I123" s="122" t="s">
        <v>312</v>
      </c>
      <c r="J123" s="122" t="n">
        <f aca="false">J35+J79</f>
        <v>-0</v>
      </c>
      <c r="K123" s="122" t="n">
        <f aca="false">K35+K79</f>
        <v>0</v>
      </c>
      <c r="L123" s="122" t="n">
        <f aca="false">L35+L79</f>
        <v>0</v>
      </c>
      <c r="M123" s="46"/>
      <c r="N123" s="46"/>
      <c r="O123" s="46"/>
      <c r="P123" s="46"/>
      <c r="Q123" s="46"/>
      <c r="R123" s="46"/>
      <c r="S123" s="506"/>
      <c r="T123" s="506"/>
      <c r="U123" s="50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DJ123" s="532" t="n">
        <f aca="false">[1]Cinergy!$D145</f>
        <v>40544</v>
      </c>
      <c r="DK123" s="440" t="n">
        <f aca="false">VLOOKUP(DJ123,DL123:DM364,2)</f>
        <v>21</v>
      </c>
      <c r="DL123" s="533" t="n">
        <v>39114</v>
      </c>
      <c r="DM123" s="459" t="n">
        <v>20</v>
      </c>
      <c r="DP123" s="534" t="n">
        <f aca="false">[1]Cinergy!$D114</f>
        <v>39600</v>
      </c>
      <c r="DQ123" s="234" t="n">
        <f aca="false">[1]OPPD_NPPD!$O114+[1]NSP!$O114</f>
        <v>0</v>
      </c>
      <c r="DR123" s="234" t="n">
        <f aca="false">[1]COMED!$O114</f>
        <v>-28041.716796875</v>
      </c>
      <c r="DS123" s="234" t="n">
        <f aca="false">DQ123+DR123</f>
        <v>-28041.716796875</v>
      </c>
      <c r="DT123" s="234" t="n">
        <f aca="false">SUM([1]OPPD_NPPD!$P114:$R114)+SUM([1]NSP!$P114:$R114)</f>
        <v>0</v>
      </c>
      <c r="DU123" s="234" t="n">
        <f aca="false">SUM([1]COMED!$P114:$R114)</f>
        <v>-16421.8215332031</v>
      </c>
      <c r="DV123" s="234" t="n">
        <f aca="false">DT123+DU123</f>
        <v>-16421.8215332031</v>
      </c>
      <c r="DW123" s="535"/>
      <c r="DX123" s="536" t="n">
        <f aca="false">[1]OtherPosn!$D114</f>
        <v>37156</v>
      </c>
      <c r="DY123" s="234" t="n">
        <f aca="false">[1]OtherPosn!$N114</f>
        <v>0</v>
      </c>
      <c r="DZ123" s="234" t="n">
        <f aca="false">SUM([1]OtherPosn!$O114:$P114)</f>
        <v>-1194.7822265625</v>
      </c>
    </row>
    <row r="124" customFormat="false" ht="15.75" hidden="false" customHeight="false" outlineLevel="0" collapsed="false">
      <c r="A124" s="95" t="n">
        <f aca="false">A80</f>
        <v>37895</v>
      </c>
      <c r="B124" s="122" t="n">
        <f aca="false">B36+B80</f>
        <v>-486243.953125</v>
      </c>
      <c r="C124" s="122" t="n">
        <f aca="false">C36+C80</f>
        <v>-1447.74514082384</v>
      </c>
      <c r="D124" s="122" t="n">
        <f aca="false">D36+D80</f>
        <v>0</v>
      </c>
      <c r="E124" s="122" t="n">
        <f aca="false">E36+E80</f>
        <v>-486243.953125</v>
      </c>
      <c r="F124" s="692" t="n">
        <f aca="false">F36+F80</f>
        <v>-1447.74514082384</v>
      </c>
      <c r="G124" s="122" t="s">
        <v>312</v>
      </c>
      <c r="H124" s="122" t="s">
        <v>312</v>
      </c>
      <c r="I124" s="122" t="s">
        <v>312</v>
      </c>
      <c r="J124" s="122" t="n">
        <f aca="false">J36+J80</f>
        <v>177479.685140567</v>
      </c>
      <c r="K124" s="122" t="n">
        <f aca="false">K36+K80</f>
        <v>0</v>
      </c>
      <c r="L124" s="122" t="n">
        <f aca="false">L36+L80</f>
        <v>177479.685140567</v>
      </c>
      <c r="M124" s="46"/>
      <c r="N124" s="46"/>
      <c r="O124" s="46"/>
      <c r="P124" s="46"/>
      <c r="Q124" s="46"/>
      <c r="R124" s="46"/>
      <c r="S124" s="506"/>
      <c r="T124" s="506"/>
      <c r="U124" s="50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DJ124" s="532" t="n">
        <f aca="false">[1]Cinergy!$D146</f>
        <v>40575</v>
      </c>
      <c r="DK124" s="440" t="n">
        <f aca="false">VLOOKUP(DJ124,DL124:DM365,2)</f>
        <v>20</v>
      </c>
      <c r="DL124" s="533" t="n">
        <v>39142</v>
      </c>
      <c r="DM124" s="459" t="n">
        <v>22</v>
      </c>
      <c r="DP124" s="534" t="n">
        <f aca="false">[1]Cinergy!$D115</f>
        <v>39630</v>
      </c>
      <c r="DQ124" s="234" t="n">
        <f aca="false">[1]OPPD_NPPD!$O115+[1]NSP!$O115</f>
        <v>0</v>
      </c>
      <c r="DR124" s="234" t="n">
        <f aca="false">[1]COMED!$O115</f>
        <v>-27281.4765625</v>
      </c>
      <c r="DS124" s="234" t="n">
        <f aca="false">DQ124+DR124</f>
        <v>-27281.4765625</v>
      </c>
      <c r="DT124" s="234" t="n">
        <f aca="false">SUM([1]OPPD_NPPD!$P115:$R115)+SUM([1]NSP!$P115:$R115)</f>
        <v>0</v>
      </c>
      <c r="DU124" s="234" t="n">
        <f aca="false">SUM([1]COMED!$P115:$R115)</f>
        <v>-15864.3557128906</v>
      </c>
      <c r="DV124" s="234" t="n">
        <f aca="false">DT124+DU124</f>
        <v>-15864.3557128906</v>
      </c>
      <c r="DW124" s="535"/>
      <c r="DX124" s="536" t="n">
        <f aca="false">[1]OtherPosn!$D115</f>
        <v>37157</v>
      </c>
      <c r="DY124" s="234" t="n">
        <f aca="false">[1]OtherPosn!$N115</f>
        <v>0</v>
      </c>
      <c r="DZ124" s="234" t="n">
        <f aca="false">SUM([1]OtherPosn!$O115:$P115)</f>
        <v>-1194.7822265625</v>
      </c>
    </row>
    <row r="125" customFormat="false" ht="15.75" hidden="false" customHeight="false" outlineLevel="0" collapsed="false">
      <c r="A125" s="95" t="n">
        <f aca="false">A81</f>
        <v>37926</v>
      </c>
      <c r="B125" s="122" t="n">
        <f aca="false">B37+B81</f>
        <v>-399907.3125</v>
      </c>
      <c r="C125" s="122" t="n">
        <f aca="false">C37+C81</f>
        <v>-1447.72189705996</v>
      </c>
      <c r="D125" s="122" t="n">
        <f aca="false">D37+D81</f>
        <v>0</v>
      </c>
      <c r="E125" s="122" t="n">
        <f aca="false">E37+E81</f>
        <v>-399907.3125</v>
      </c>
      <c r="F125" s="692" t="n">
        <f aca="false">F37+F81</f>
        <v>-1447.72189705996</v>
      </c>
      <c r="G125" s="122" t="s">
        <v>312</v>
      </c>
      <c r="H125" s="122" t="s">
        <v>312</v>
      </c>
      <c r="I125" s="122" t="s">
        <v>312</v>
      </c>
      <c r="J125" s="122" t="n">
        <f aca="false">J37+J81</f>
        <v>145966.697275646</v>
      </c>
      <c r="K125" s="122" t="n">
        <f aca="false">K37+K81</f>
        <v>0</v>
      </c>
      <c r="L125" s="122" t="n">
        <f aca="false">L37+L81</f>
        <v>145966.697275646</v>
      </c>
      <c r="M125" s="46"/>
      <c r="N125" s="46"/>
      <c r="O125" s="46"/>
      <c r="P125" s="46"/>
      <c r="Q125" s="46"/>
      <c r="R125" s="46"/>
      <c r="S125" s="506"/>
      <c r="T125" s="506"/>
      <c r="U125" s="50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DJ125" s="532" t="n">
        <f aca="false">[1]Cinergy!$D147</f>
        <v>40603</v>
      </c>
      <c r="DK125" s="440" t="n">
        <f aca="false">VLOOKUP(DJ125,DL125:DM366,2)</f>
        <v>23</v>
      </c>
      <c r="DL125" s="533" t="n">
        <v>39173</v>
      </c>
      <c r="DM125" s="459" t="n">
        <v>21</v>
      </c>
      <c r="DP125" s="534" t="n">
        <f aca="false">[1]Cinergy!$D116</f>
        <v>39661</v>
      </c>
      <c r="DQ125" s="234" t="n">
        <f aca="false">[1]OPPD_NPPD!$O116+[1]NSP!$O116</f>
        <v>0</v>
      </c>
      <c r="DR125" s="234" t="n">
        <f aca="false">[1]COMED!$O116</f>
        <v>-25671.9765625</v>
      </c>
      <c r="DS125" s="234" t="n">
        <f aca="false">DQ125+DR125</f>
        <v>-25671.9765625</v>
      </c>
      <c r="DT125" s="234" t="n">
        <f aca="false">SUM([1]OPPD_NPPD!$P116:$R116)+SUM([1]NSP!$P116:$R116)</f>
        <v>0</v>
      </c>
      <c r="DU125" s="234" t="n">
        <f aca="false">SUM([1]COMED!$P116:$R116)</f>
        <v>-16423.0678710938</v>
      </c>
      <c r="DV125" s="234" t="n">
        <f aca="false">DT125+DU125</f>
        <v>-16423.0678710938</v>
      </c>
      <c r="DW125" s="535"/>
      <c r="DX125" s="536" t="n">
        <f aca="false">[1]OtherPosn!$D116</f>
        <v>37158</v>
      </c>
      <c r="DY125" s="234" t="n">
        <f aca="false">[1]OtherPosn!$N116</f>
        <v>-15133.908203125</v>
      </c>
      <c r="DZ125" s="234" t="n">
        <f aca="false">SUM([1]OtherPosn!$O116:$P116)</f>
        <v>-398.2607421875</v>
      </c>
    </row>
    <row r="126" customFormat="false" ht="15.75" hidden="false" customHeight="false" outlineLevel="0" collapsed="false">
      <c r="A126" s="95" t="n">
        <f aca="false">A82</f>
        <v>37956</v>
      </c>
      <c r="B126" s="122" t="n">
        <f aca="false">B38+B82</f>
        <v>-460913.40625</v>
      </c>
      <c r="C126" s="122" t="n">
        <f aca="false">C38+C82</f>
        <v>-1447.62694156043</v>
      </c>
      <c r="D126" s="122" t="n">
        <f aca="false">D38+D82</f>
        <v>0</v>
      </c>
      <c r="E126" s="122" t="n">
        <f aca="false">E38+E82</f>
        <v>-460913.40625</v>
      </c>
      <c r="F126" s="692" t="n">
        <f aca="false">F38+F82</f>
        <v>-1447.62694156043</v>
      </c>
      <c r="G126" s="122" t="s">
        <v>312</v>
      </c>
      <c r="H126" s="122" t="s">
        <v>312</v>
      </c>
      <c r="I126" s="122" t="s">
        <v>312</v>
      </c>
      <c r="J126" s="122" t="n">
        <f aca="false">J38+J82</f>
        <v>168234.00207362</v>
      </c>
      <c r="K126" s="122" t="n">
        <f aca="false">K38+K82</f>
        <v>0</v>
      </c>
      <c r="L126" s="122" t="n">
        <f aca="false">L38+L82</f>
        <v>168234.00207362</v>
      </c>
      <c r="M126" s="706"/>
      <c r="N126" s="706"/>
      <c r="O126" s="706"/>
      <c r="P126" s="706"/>
      <c r="Q126" s="706"/>
      <c r="R126" s="70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DJ126" s="532" t="n">
        <f aca="false">[1]Cinergy!$D148</f>
        <v>40634</v>
      </c>
      <c r="DK126" s="440" t="n">
        <f aca="false">VLOOKUP(DJ126,DL126:DM367,2)</f>
        <v>21</v>
      </c>
      <c r="DL126" s="533" t="n">
        <v>39203</v>
      </c>
      <c r="DM126" s="459" t="n">
        <v>22</v>
      </c>
      <c r="DP126" s="534" t="n">
        <f aca="false">[1]Cinergy!$D117</f>
        <v>39692</v>
      </c>
      <c r="DQ126" s="234" t="n">
        <f aca="false">[1]OPPD_NPPD!$O117+[1]NSP!$O117</f>
        <v>0</v>
      </c>
      <c r="DR126" s="234" t="n">
        <f aca="false">[1]COMED!$O117</f>
        <v>-22801.759765625</v>
      </c>
      <c r="DS126" s="234" t="n">
        <f aca="false">DQ126+DR126</f>
        <v>-22801.759765625</v>
      </c>
      <c r="DT126" s="234" t="n">
        <f aca="false">SUM([1]OPPD_NPPD!$P117:$R117)+SUM([1]NSP!$P117:$R117)</f>
        <v>0</v>
      </c>
      <c r="DU126" s="234" t="n">
        <f aca="false">SUM([1]COMED!$P117:$R117)</f>
        <v>-13029.5773925781</v>
      </c>
      <c r="DV126" s="234" t="n">
        <f aca="false">DT126+DU126</f>
        <v>-13029.5773925781</v>
      </c>
      <c r="DW126" s="535"/>
      <c r="DX126" s="536" t="n">
        <f aca="false">[1]OtherPosn!$D117</f>
        <v>37159</v>
      </c>
      <c r="DY126" s="234" t="n">
        <f aca="false">[1]OtherPosn!$N117</f>
        <v>-15133.908203125</v>
      </c>
      <c r="DZ126" s="234" t="n">
        <f aca="false">SUM([1]OtherPosn!$O117:$P117)</f>
        <v>-398.2607421875</v>
      </c>
    </row>
    <row r="127" customFormat="false" ht="15.75" hidden="false" customHeight="false" outlineLevel="0" collapsed="false">
      <c r="A127" s="95" t="n">
        <f aca="false">A83</f>
        <v>37987</v>
      </c>
      <c r="B127" s="122" t="n">
        <f aca="false">B39+B83</f>
        <v>-45300.3671875</v>
      </c>
      <c r="C127" s="122" t="n">
        <f aca="false">C39+C83</f>
        <v>-149.748386232918</v>
      </c>
      <c r="D127" s="122" t="n">
        <f aca="false">D39+D83</f>
        <v>0</v>
      </c>
      <c r="E127" s="122" t="n">
        <f aca="false">E39+E83</f>
        <v>-45300.3671875</v>
      </c>
      <c r="F127" s="692" t="n">
        <f aca="false">F39+F83</f>
        <v>-149.748386232918</v>
      </c>
      <c r="G127" s="122" t="s">
        <v>312</v>
      </c>
      <c r="H127" s="122" t="s">
        <v>312</v>
      </c>
      <c r="I127" s="122" t="s">
        <v>312</v>
      </c>
      <c r="J127" s="122" t="n">
        <f aca="false">J39+J83</f>
        <v>-0.0082289136514774</v>
      </c>
      <c r="K127" s="122" t="n">
        <f aca="false">K39+K83</f>
        <v>0</v>
      </c>
      <c r="L127" s="122" t="n">
        <f aca="false">L39+L83</f>
        <v>-0.0082289136514774</v>
      </c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DJ127" s="532" t="n">
        <f aca="false">[1]Cinergy!$D149</f>
        <v>40664</v>
      </c>
      <c r="DK127" s="440" t="n">
        <f aca="false">VLOOKUP(DJ127,DL127:DM368,2)</f>
        <v>21</v>
      </c>
      <c r="DL127" s="533" t="n">
        <v>39234</v>
      </c>
      <c r="DM127" s="459" t="n">
        <v>21</v>
      </c>
      <c r="DP127" s="534" t="n">
        <f aca="false">[1]Cinergy!$D118</f>
        <v>39722</v>
      </c>
      <c r="DQ127" s="234" t="n">
        <f aca="false">[1]OPPD_NPPD!$O118+[1]NSP!$O118</f>
        <v>0</v>
      </c>
      <c r="DR127" s="234" t="n">
        <f aca="false">[1]COMED!$O118</f>
        <v>-24845.04296875</v>
      </c>
      <c r="DS127" s="234" t="n">
        <f aca="false">DQ127+DR127</f>
        <v>-24845.04296875</v>
      </c>
      <c r="DT127" s="234" t="n">
        <f aca="false">SUM([1]OPPD_NPPD!$P118:$R118)+SUM([1]NSP!$P118:$R118)</f>
        <v>0</v>
      </c>
      <c r="DU127" s="234" t="n">
        <f aca="false">SUM([1]COMED!$P118:$R118)</f>
        <v>-12726.3330078125</v>
      </c>
      <c r="DV127" s="234" t="n">
        <f aca="false">DT127+DU127</f>
        <v>-12726.3330078125</v>
      </c>
      <c r="DW127" s="535"/>
      <c r="DX127" s="536" t="n">
        <f aca="false">[1]OtherPosn!$D118</f>
        <v>37160</v>
      </c>
      <c r="DY127" s="234" t="n">
        <f aca="false">[1]OtherPosn!$N118</f>
        <v>-15133.908203125</v>
      </c>
      <c r="DZ127" s="234" t="n">
        <f aca="false">SUM([1]OtherPosn!$O118:$P118)</f>
        <v>-398.2607421875</v>
      </c>
    </row>
    <row r="128" customFormat="false" ht="15.75" hidden="false" customHeight="false" outlineLevel="0" collapsed="false">
      <c r="A128" s="95" t="n">
        <f aca="false">A84</f>
        <v>38018</v>
      </c>
      <c r="B128" s="122" t="n">
        <f aca="false">B40+B84</f>
        <v>-42953.421875</v>
      </c>
      <c r="C128" s="122" t="n">
        <f aca="false">C40+C84</f>
        <v>-149.757445252292</v>
      </c>
      <c r="D128" s="122" t="n">
        <f aca="false">D40+D84</f>
        <v>0</v>
      </c>
      <c r="E128" s="122" t="n">
        <f aca="false">E40+E84</f>
        <v>-42953.421875</v>
      </c>
      <c r="F128" s="692" t="n">
        <f aca="false">F40+F84</f>
        <v>-149.757445252292</v>
      </c>
      <c r="G128" s="122" t="s">
        <v>312</v>
      </c>
      <c r="H128" s="122" t="s">
        <v>312</v>
      </c>
      <c r="I128" s="122" t="s">
        <v>312</v>
      </c>
      <c r="J128" s="122" t="n">
        <f aca="false">J40+J84</f>
        <v>-0.00780258575348564</v>
      </c>
      <c r="K128" s="122" t="n">
        <f aca="false">K40+K84</f>
        <v>0</v>
      </c>
      <c r="L128" s="122" t="n">
        <f aca="false">L40+L84</f>
        <v>-0.00780258575348564</v>
      </c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DL128" s="533" t="n">
        <v>39264</v>
      </c>
      <c r="DM128" s="459" t="n">
        <v>21</v>
      </c>
      <c r="DP128" s="534" t="n">
        <f aca="false">[1]Cinergy!$D119</f>
        <v>39753</v>
      </c>
      <c r="DQ128" s="234" t="n">
        <f aca="false">[1]OPPD_NPPD!$O119+[1]NSP!$O119</f>
        <v>0</v>
      </c>
      <c r="DR128" s="234" t="n">
        <f aca="false">[1]COMED!$O119</f>
        <v>-20421.861328125</v>
      </c>
      <c r="DS128" s="234" t="n">
        <f aca="false">DQ128+DR128</f>
        <v>-20421.861328125</v>
      </c>
      <c r="DT128" s="234" t="n">
        <f aca="false">SUM([1]OPPD_NPPD!$P119:$R119)+SUM([1]NSP!$P119:$R119)</f>
        <v>0</v>
      </c>
      <c r="DU128" s="234" t="n">
        <f aca="false">SUM([1]COMED!$P119:$R119)</f>
        <v>-13972.8520507813</v>
      </c>
      <c r="DV128" s="234" t="n">
        <f aca="false">DT128+DU128</f>
        <v>-13972.8520507813</v>
      </c>
      <c r="DW128" s="535"/>
      <c r="DX128" s="536" t="n">
        <f aca="false">[1]OtherPosn!$D119</f>
        <v>37161</v>
      </c>
      <c r="DY128" s="234" t="n">
        <f aca="false">[1]OtherPosn!$N119</f>
        <v>-15133.908203125</v>
      </c>
      <c r="DZ128" s="234" t="n">
        <f aca="false">SUM([1]OtherPosn!$O119:$P119)</f>
        <v>-398.2607421875</v>
      </c>
    </row>
    <row r="129" customFormat="false" ht="15.75" hidden="false" customHeight="false" outlineLevel="0" collapsed="false">
      <c r="A129" s="95" t="n">
        <f aca="false">A85</f>
        <v>38047</v>
      </c>
      <c r="B129" s="122" t="n">
        <f aca="false">B41+B85</f>
        <v>-49164.66015625</v>
      </c>
      <c r="C129" s="122" t="n">
        <f aca="false">C41+C85</f>
        <v>-149.757469497401</v>
      </c>
      <c r="D129" s="122" t="n">
        <f aca="false">D41+D85</f>
        <v>0</v>
      </c>
      <c r="E129" s="122" t="n">
        <f aca="false">E41+E85</f>
        <v>-49164.66015625</v>
      </c>
      <c r="F129" s="692" t="n">
        <f aca="false">F41+F85</f>
        <v>-149.757469497401</v>
      </c>
      <c r="G129" s="122" t="s">
        <v>312</v>
      </c>
      <c r="H129" s="122" t="s">
        <v>312</v>
      </c>
      <c r="I129" s="122" t="s">
        <v>312</v>
      </c>
      <c r="J129" s="122" t="n">
        <f aca="false">J41+J85</f>
        <v>12291.1868470037</v>
      </c>
      <c r="K129" s="122" t="n">
        <f aca="false">K41+K85</f>
        <v>0</v>
      </c>
      <c r="L129" s="122" t="n">
        <f aca="false">L41+L85</f>
        <v>12291.1868470037</v>
      </c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DL129" s="533" t="n">
        <v>39295</v>
      </c>
      <c r="DM129" s="459" t="n">
        <v>23</v>
      </c>
      <c r="DP129" s="534" t="n">
        <f aca="false">[1]Cinergy!$D120</f>
        <v>39783</v>
      </c>
      <c r="DQ129" s="234" t="n">
        <f aca="false">[1]OPPD_NPPD!$O120+[1]NSP!$O120</f>
        <v>0</v>
      </c>
      <c r="DR129" s="234" t="n">
        <f aca="false">[1]COMED!$O120</f>
        <v>-23524.291015625</v>
      </c>
      <c r="DS129" s="234" t="n">
        <f aca="false">DQ129+DR129</f>
        <v>-23524.291015625</v>
      </c>
      <c r="DT129" s="234" t="n">
        <f aca="false">SUM([1]OPPD_NPPD!$P120:$R120)+SUM([1]NSP!$P120:$R120)</f>
        <v>0</v>
      </c>
      <c r="DU129" s="234" t="n">
        <f aca="false">SUM([1]COMED!$P120:$R120)</f>
        <v>-13098.7526855469</v>
      </c>
      <c r="DV129" s="234" t="n">
        <f aca="false">DT129+DU129</f>
        <v>-13098.7526855469</v>
      </c>
      <c r="DW129" s="535"/>
      <c r="DX129" s="536" t="n">
        <f aca="false">[1]OtherPosn!$D120</f>
        <v>37162</v>
      </c>
      <c r="DY129" s="234" t="n">
        <f aca="false">[1]OtherPosn!$N120</f>
        <v>-15133.908203125</v>
      </c>
      <c r="DZ129" s="234" t="n">
        <f aca="false">SUM([1]OtherPosn!$O120:$P120)</f>
        <v>-398.2607421875</v>
      </c>
    </row>
    <row r="130" customFormat="false" ht="15.75" hidden="false" customHeight="false" outlineLevel="0" collapsed="false">
      <c r="A130" s="95" t="n">
        <f aca="false">A86</f>
        <v>38078</v>
      </c>
      <c r="B130" s="122" t="n">
        <f aca="false">B42+B86</f>
        <v>-46812.14453125</v>
      </c>
      <c r="C130" s="122" t="n">
        <f aca="false">C42+C86</f>
        <v>-149.767185855738</v>
      </c>
      <c r="D130" s="122" t="n">
        <f aca="false">D42+D86</f>
        <v>0</v>
      </c>
      <c r="E130" s="122" t="n">
        <f aca="false">E42+E86</f>
        <v>-46812.14453125</v>
      </c>
      <c r="F130" s="692" t="n">
        <f aca="false">F42+F86</f>
        <v>-149.767185855738</v>
      </c>
      <c r="G130" s="122" t="s">
        <v>312</v>
      </c>
      <c r="H130" s="122" t="s">
        <v>312</v>
      </c>
      <c r="I130" s="122" t="s">
        <v>312</v>
      </c>
      <c r="J130" s="122" t="n">
        <f aca="false">J42+J86</f>
        <v>11703.0568972496</v>
      </c>
      <c r="K130" s="122" t="n">
        <f aca="false">K42+K86</f>
        <v>0</v>
      </c>
      <c r="L130" s="122" t="n">
        <f aca="false">L42+L86</f>
        <v>11703.0568972496</v>
      </c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DL130" s="533" t="n">
        <v>39326</v>
      </c>
      <c r="DM130" s="459" t="n">
        <v>19</v>
      </c>
      <c r="DP130" s="534" t="n">
        <f aca="false">[1]Cinergy!$D121</f>
        <v>39814</v>
      </c>
      <c r="DQ130" s="234" t="n">
        <f aca="false">[1]OPPD_NPPD!$O121+[1]NSP!$O121</f>
        <v>0</v>
      </c>
      <c r="DR130" s="234" t="n">
        <f aca="false">[1]COMED!$O121</f>
        <v>-33508.203125</v>
      </c>
      <c r="DS130" s="234" t="n">
        <f aca="false">DQ130+DR130</f>
        <v>-33508.203125</v>
      </c>
      <c r="DT130" s="234" t="n">
        <f aca="false">SUM([1]OPPD_NPPD!$P121:$R121)+SUM([1]NSP!$P121:$R121)</f>
        <v>0</v>
      </c>
      <c r="DU130" s="234" t="n">
        <f aca="false">SUM([1]COMED!$P121:$R121)</f>
        <v>-13562.8447265625</v>
      </c>
      <c r="DV130" s="234" t="n">
        <f aca="false">DT130+DU130</f>
        <v>-13562.8447265625</v>
      </c>
      <c r="DW130" s="535"/>
      <c r="DX130" s="536" t="n">
        <f aca="false">[1]OtherPosn!$D121</f>
        <v>37163</v>
      </c>
      <c r="DY130" s="234" t="n">
        <f aca="false">[1]OtherPosn!$N121</f>
        <v>0</v>
      </c>
      <c r="DZ130" s="234" t="n">
        <f aca="false">SUM([1]OtherPosn!$O121:$P121)</f>
        <v>-1194.7822265625</v>
      </c>
    </row>
    <row r="131" customFormat="false" ht="15.75" hidden="false" customHeight="false" outlineLevel="0" collapsed="false">
      <c r="A131" s="95" t="n">
        <f aca="false">A87</f>
        <v>38108</v>
      </c>
      <c r="B131" s="122" t="n">
        <f aca="false">B43+B87</f>
        <v>-42353.9609375</v>
      </c>
      <c r="C131" s="122" t="n">
        <f aca="false">C43+C87</f>
        <v>-149.758523026548</v>
      </c>
      <c r="D131" s="122" t="n">
        <f aca="false">D43+D87</f>
        <v>0</v>
      </c>
      <c r="E131" s="122" t="n">
        <f aca="false">E43+E87</f>
        <v>-42353.9609375</v>
      </c>
      <c r="F131" s="692" t="n">
        <f aca="false">F43+F87</f>
        <v>-149.758523026548</v>
      </c>
      <c r="G131" s="122" t="s">
        <v>312</v>
      </c>
      <c r="H131" s="122" t="s">
        <v>312</v>
      </c>
      <c r="I131" s="122" t="s">
        <v>312</v>
      </c>
      <c r="J131" s="122" t="n">
        <f aca="false">J43+J87</f>
        <v>0</v>
      </c>
      <c r="K131" s="122" t="n">
        <f aca="false">K43+K87</f>
        <v>0</v>
      </c>
      <c r="L131" s="122" t="n">
        <f aca="false">L43+L87</f>
        <v>0</v>
      </c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DL131" s="533" t="n">
        <v>39356</v>
      </c>
      <c r="DM131" s="459" t="n">
        <v>23</v>
      </c>
      <c r="DP131" s="534" t="n">
        <f aca="false">[1]Cinergy!$D122</f>
        <v>39845</v>
      </c>
      <c r="DQ131" s="234" t="n">
        <f aca="false">[1]OPPD_NPPD!$O122+[1]NSP!$O122</f>
        <v>0</v>
      </c>
      <c r="DR131" s="234" t="n">
        <f aca="false">[1]COMED!$O122</f>
        <v>-31763.03515625</v>
      </c>
      <c r="DS131" s="234" t="n">
        <f aca="false">DQ131+DR131</f>
        <v>-31763.03515625</v>
      </c>
      <c r="DT131" s="234" t="n">
        <f aca="false">SUM([1]OPPD_NPPD!$P122:$R122)+SUM([1]NSP!$P122:$R122)</f>
        <v>0</v>
      </c>
      <c r="DU131" s="234" t="n">
        <f aca="false">SUM([1]COMED!$P122:$R122)</f>
        <v>-11646.4458007813</v>
      </c>
      <c r="DV131" s="234" t="n">
        <f aca="false">DT131+DU131</f>
        <v>-11646.4458007813</v>
      </c>
      <c r="DW131" s="535"/>
      <c r="DX131" s="536" t="n">
        <f aca="false">[1]OtherPosn!$D122</f>
        <v>37164</v>
      </c>
      <c r="DY131" s="234" t="n">
        <f aca="false">[1]OtherPosn!$N122</f>
        <v>0</v>
      </c>
      <c r="DZ131" s="234" t="n">
        <f aca="false">SUM([1]OtherPosn!$O122:$P122)</f>
        <v>-1194.7822265625</v>
      </c>
    </row>
    <row r="132" customFormat="false" ht="15.75" hidden="false" customHeight="false" outlineLevel="0" collapsed="false">
      <c r="A132" s="95" t="n">
        <f aca="false">A88</f>
        <v>38139</v>
      </c>
      <c r="B132" s="122" t="n">
        <f aca="false">B44+B88</f>
        <v>-216411.84375</v>
      </c>
      <c r="C132" s="122" t="n">
        <f aca="false">C44+C88</f>
        <v>-698.907854451475</v>
      </c>
      <c r="D132" s="122" t="n">
        <f aca="false">D44+D88</f>
        <v>0</v>
      </c>
      <c r="E132" s="122" t="n">
        <f aca="false">E44+E88</f>
        <v>-216411.84375</v>
      </c>
      <c r="F132" s="692" t="n">
        <f aca="false">F44+F88</f>
        <v>-698.907854451475</v>
      </c>
      <c r="G132" s="122" t="s">
        <v>312</v>
      </c>
      <c r="H132" s="122" t="s">
        <v>312</v>
      </c>
      <c r="I132" s="122" t="s">
        <v>312</v>
      </c>
      <c r="J132" s="122" t="n">
        <f aca="false">J44+J88</f>
        <v>108205.921875</v>
      </c>
      <c r="K132" s="122" t="n">
        <f aca="false">K44+K88</f>
        <v>0</v>
      </c>
      <c r="L132" s="122" t="n">
        <f aca="false">L44+L88</f>
        <v>108205.921875</v>
      </c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DL132" s="533" t="n">
        <v>39387</v>
      </c>
      <c r="DM132" s="459" t="n">
        <v>21</v>
      </c>
      <c r="DP132" s="534" t="n">
        <f aca="false">[1]Cinergy!$D123</f>
        <v>39873</v>
      </c>
      <c r="DQ132" s="234" t="n">
        <f aca="false">[1]OPPD_NPPD!$O123+[1]NSP!$O123</f>
        <v>0</v>
      </c>
      <c r="DR132" s="234" t="n">
        <f aca="false">[1]COMED!$O123</f>
        <v>-34757.703125</v>
      </c>
      <c r="DS132" s="234" t="n">
        <f aca="false">DQ132+DR132</f>
        <v>-34757.703125</v>
      </c>
      <c r="DT132" s="234" t="n">
        <f aca="false">SUM([1]OPPD_NPPD!$P123:$R123)+SUM([1]NSP!$P123:$R123)</f>
        <v>0</v>
      </c>
      <c r="DU132" s="234" t="n">
        <f aca="false">SUM([1]COMED!$P123:$R123)</f>
        <v>-12902.4809570313</v>
      </c>
      <c r="DV132" s="234" t="n">
        <f aca="false">DT132+DU132</f>
        <v>-12902.4809570313</v>
      </c>
      <c r="DW132" s="535"/>
      <c r="DX132" s="536" t="n">
        <f aca="false">[1]OtherPosn!$D123</f>
        <v>37165</v>
      </c>
      <c r="DY132" s="234" t="n">
        <f aca="false">[1]OtherPosn!$N123</f>
        <v>7941.37255859375</v>
      </c>
      <c r="DZ132" s="234" t="n">
        <f aca="false">SUM([1]OtherPosn!$O123:$P123)</f>
        <v>0</v>
      </c>
    </row>
    <row r="133" customFormat="false" ht="15.75" hidden="false" customHeight="false" outlineLevel="0" collapsed="false">
      <c r="A133" s="95" t="n">
        <f aca="false">A89</f>
        <v>38169</v>
      </c>
      <c r="B133" s="122" t="n">
        <f aca="false">B45+B89</f>
        <v>-14684.265625</v>
      </c>
      <c r="C133" s="122" t="n">
        <f aca="false">C45+C89</f>
        <v>-47.6510684767343</v>
      </c>
      <c r="D133" s="122" t="n">
        <f aca="false">D45+D89</f>
        <v>0</v>
      </c>
      <c r="E133" s="122" t="n">
        <f aca="false">E45+E89</f>
        <v>-14684.265625</v>
      </c>
      <c r="F133" s="692" t="n">
        <f aca="false">F45+F89</f>
        <v>-47.6510684767343</v>
      </c>
      <c r="G133" s="122" t="s">
        <v>312</v>
      </c>
      <c r="H133" s="122" t="s">
        <v>312</v>
      </c>
      <c r="I133" s="122" t="s">
        <v>312</v>
      </c>
      <c r="J133" s="122" t="n">
        <f aca="false">J45+J89</f>
        <v>7342.1328125</v>
      </c>
      <c r="K133" s="122" t="n">
        <f aca="false">K45+K89</f>
        <v>0</v>
      </c>
      <c r="L133" s="122" t="n">
        <f aca="false">L45+L89</f>
        <v>7342.1328125</v>
      </c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DL133" s="533" t="n">
        <v>39417</v>
      </c>
      <c r="DM133" s="459" t="n">
        <v>20</v>
      </c>
      <c r="DP133" s="534" t="n">
        <f aca="false">[1]Cinergy!$D124</f>
        <v>39904</v>
      </c>
      <c r="DQ133" s="234" t="n">
        <f aca="false">[1]OPPD_NPPD!$O124+[1]NSP!$O124</f>
        <v>0</v>
      </c>
      <c r="DR133" s="234" t="n">
        <f aca="false">[1]COMED!$O124</f>
        <v>-34582.41796875</v>
      </c>
      <c r="DS133" s="234" t="n">
        <f aca="false">DQ133+DR133</f>
        <v>-34582.41796875</v>
      </c>
      <c r="DT133" s="234" t="n">
        <f aca="false">SUM([1]OPPD_NPPD!$P124:$R124)+SUM([1]NSP!$P124:$R124)</f>
        <v>0</v>
      </c>
      <c r="DU133" s="234" t="n">
        <f aca="false">SUM([1]COMED!$P124:$R124)</f>
        <v>-12018.6997070313</v>
      </c>
      <c r="DV133" s="234" t="n">
        <f aca="false">DT133+DU133</f>
        <v>-12018.6997070313</v>
      </c>
      <c r="DW133" s="535"/>
      <c r="DX133" s="536" t="n">
        <f aca="false">[1]OtherPosn!$D124</f>
        <v>37166</v>
      </c>
      <c r="DY133" s="234" t="n">
        <f aca="false">[1]OtherPosn!$N124</f>
        <v>7941.37255859375</v>
      </c>
      <c r="DZ133" s="234" t="n">
        <f aca="false">SUM([1]OtherPosn!$O124:$P124)</f>
        <v>0</v>
      </c>
    </row>
    <row r="134" customFormat="false" ht="15.75" hidden="false" customHeight="false" outlineLevel="0" collapsed="false">
      <c r="A134" s="95" t="n">
        <f aca="false">A90</f>
        <v>38200</v>
      </c>
      <c r="B134" s="122" t="n">
        <f aca="false">B46+B90</f>
        <v>-15308.9306640625</v>
      </c>
      <c r="C134" s="122" t="n">
        <f aca="false">C46+C90</f>
        <v>-49.9191818465402</v>
      </c>
      <c r="D134" s="122" t="n">
        <f aca="false">D46+D90</f>
        <v>0</v>
      </c>
      <c r="E134" s="122" t="n">
        <f aca="false">E46+E90</f>
        <v>-15308.9306640625</v>
      </c>
      <c r="F134" s="692" t="n">
        <f aca="false">F46+F90</f>
        <v>-49.9191818465402</v>
      </c>
      <c r="G134" s="122" t="s">
        <v>312</v>
      </c>
      <c r="H134" s="122" t="s">
        <v>312</v>
      </c>
      <c r="I134" s="122" t="s">
        <v>312</v>
      </c>
      <c r="J134" s="122" t="n">
        <f aca="false">J46+J90</f>
        <v>7654.46533203125</v>
      </c>
      <c r="K134" s="122" t="n">
        <f aca="false">K46+K90</f>
        <v>0</v>
      </c>
      <c r="L134" s="122" t="n">
        <f aca="false">L46+L90</f>
        <v>7654.46533203125</v>
      </c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DL134" s="533" t="n">
        <v>39448</v>
      </c>
      <c r="DM134" s="459" t="n">
        <v>22</v>
      </c>
      <c r="DP134" s="534" t="n">
        <f aca="false">[1]Cinergy!$D125</f>
        <v>39934</v>
      </c>
      <c r="DQ134" s="234" t="n">
        <f aca="false">[1]OPPD_NPPD!$O125+[1]NSP!$O125</f>
        <v>0</v>
      </c>
      <c r="DR134" s="234" t="n">
        <f aca="false">[1]COMED!$O125</f>
        <v>-31274.359375</v>
      </c>
      <c r="DS134" s="234" t="n">
        <f aca="false">DQ134+DR134</f>
        <v>-31274.359375</v>
      </c>
      <c r="DT134" s="234" t="n">
        <f aca="false">SUM([1]OPPD_NPPD!$P125:$R125)+SUM([1]NSP!$P125:$R125)</f>
        <v>0</v>
      </c>
      <c r="DU134" s="234" t="n">
        <f aca="false">SUM([1]COMED!$P125:$R125)</f>
        <v>-13812.8425292969</v>
      </c>
      <c r="DV134" s="234" t="n">
        <f aca="false">DT134+DU134</f>
        <v>-13812.8425292969</v>
      </c>
      <c r="DW134" s="535"/>
      <c r="DX134" s="536" t="n">
        <f aca="false">[1]OtherPosn!$D125</f>
        <v>37167</v>
      </c>
      <c r="DY134" s="234" t="n">
        <f aca="false">[1]OtherPosn!$N125</f>
        <v>7941.37255859375</v>
      </c>
      <c r="DZ134" s="234" t="n">
        <f aca="false">SUM([1]OtherPosn!$O125:$P125)</f>
        <v>0</v>
      </c>
    </row>
    <row r="135" customFormat="false" ht="15.75" hidden="false" customHeight="false" outlineLevel="0" collapsed="false">
      <c r="A135" s="95" t="n">
        <f aca="false">A91</f>
        <v>38231</v>
      </c>
      <c r="B135" s="122" t="n">
        <f aca="false">B47+B91</f>
        <v>-43632.984375</v>
      </c>
      <c r="C135" s="122" t="n">
        <f aca="false">C47+C91</f>
        <v>-149.76606365085</v>
      </c>
      <c r="D135" s="122" t="n">
        <f aca="false">D47+D91</f>
        <v>0</v>
      </c>
      <c r="E135" s="122" t="n">
        <f aca="false">E47+E91</f>
        <v>-43632.984375</v>
      </c>
      <c r="F135" s="692" t="n">
        <f aca="false">F47+F91</f>
        <v>-149.76606365085</v>
      </c>
      <c r="G135" s="122" t="s">
        <v>312</v>
      </c>
      <c r="H135" s="122" t="s">
        <v>312</v>
      </c>
      <c r="I135" s="122" t="s">
        <v>312</v>
      </c>
      <c r="J135" s="122" t="n">
        <f aca="false">J47+J91</f>
        <v>0</v>
      </c>
      <c r="K135" s="122" t="n">
        <f aca="false">K47+K91</f>
        <v>0</v>
      </c>
      <c r="L135" s="122" t="n">
        <f aca="false">L47+L91</f>
        <v>0</v>
      </c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DL135" s="533" t="n">
        <v>39479</v>
      </c>
      <c r="DM135" s="459" t="n">
        <v>21</v>
      </c>
      <c r="DP135" s="534" t="n">
        <f aca="false">[1]Cinergy!$D126</f>
        <v>39965</v>
      </c>
      <c r="DQ135" s="234" t="n">
        <f aca="false">[1]OPPD_NPPD!$O126+[1]NSP!$O126</f>
        <v>0</v>
      </c>
      <c r="DR135" s="234" t="n">
        <f aca="false">[1]COMED!$O126</f>
        <v>-34227.4921875</v>
      </c>
      <c r="DS135" s="234" t="n">
        <f aca="false">DQ135+DR135</f>
        <v>-34227.4921875</v>
      </c>
      <c r="DT135" s="234" t="n">
        <f aca="false">SUM([1]OPPD_NPPD!$P126:$R126)+SUM([1]NSP!$P126:$R126)</f>
        <v>0</v>
      </c>
      <c r="DU135" s="234" t="n">
        <f aca="false">SUM([1]COMED!$P126:$R126)</f>
        <v>-11927.7612304688</v>
      </c>
      <c r="DV135" s="234" t="n">
        <f aca="false">DT135+DU135</f>
        <v>-11927.7612304688</v>
      </c>
      <c r="DW135" s="535"/>
      <c r="DX135" s="536" t="n">
        <f aca="false">[1]OtherPosn!$D126</f>
        <v>37168</v>
      </c>
      <c r="DY135" s="234" t="n">
        <f aca="false">[1]OtherPosn!$N126</f>
        <v>7941.37255859375</v>
      </c>
      <c r="DZ135" s="234" t="n">
        <f aca="false">SUM([1]OtherPosn!$O126:$P126)</f>
        <v>0</v>
      </c>
    </row>
    <row r="136" customFormat="false" ht="15.75" hidden="false" customHeight="false" outlineLevel="0" collapsed="false">
      <c r="A136" s="95" t="n">
        <f aca="false">A92</f>
        <v>38261</v>
      </c>
      <c r="B136" s="122" t="n">
        <f aca="false">B48+B92</f>
        <v>-43419.30078125</v>
      </c>
      <c r="C136" s="122" t="n">
        <f aca="false">C48+C92</f>
        <v>-12.3332563114037</v>
      </c>
      <c r="D136" s="122" t="n">
        <f aca="false">D48+D92</f>
        <v>0</v>
      </c>
      <c r="E136" s="122" t="n">
        <f aca="false">E48+E92</f>
        <v>-43419.30078125</v>
      </c>
      <c r="F136" s="692" t="n">
        <f aca="false">F48+F92</f>
        <v>-12.3332563114037</v>
      </c>
      <c r="G136" s="122" t="s">
        <v>312</v>
      </c>
      <c r="H136" s="122" t="s">
        <v>312</v>
      </c>
      <c r="I136" s="122" t="s">
        <v>312</v>
      </c>
      <c r="J136" s="122" t="n">
        <f aca="false">J48+J92</f>
        <v>15848.102135059</v>
      </c>
      <c r="K136" s="122" t="n">
        <f aca="false">K48+K92</f>
        <v>0</v>
      </c>
      <c r="L136" s="122" t="n">
        <f aca="false">L48+L92</f>
        <v>15848.102135059</v>
      </c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DL136" s="533" t="n">
        <v>39508</v>
      </c>
      <c r="DM136" s="459" t="n">
        <v>21</v>
      </c>
      <c r="DP136" s="534" t="n">
        <f aca="false">[1]Cinergy!$D127</f>
        <v>39995</v>
      </c>
      <c r="DQ136" s="234" t="n">
        <f aca="false">[1]OPPD_NPPD!$O127+[1]NSP!$O127</f>
        <v>0</v>
      </c>
      <c r="DR136" s="234" t="n">
        <f aca="false">[1]COMED!$O127</f>
        <v>-35595.515625</v>
      </c>
      <c r="DS136" s="234" t="n">
        <f aca="false">DQ136+DR136</f>
        <v>-35595.515625</v>
      </c>
      <c r="DT136" s="234" t="n">
        <f aca="false">SUM([1]OPPD_NPPD!$P127:$R127)+SUM([1]NSP!$P127:$R127)</f>
        <v>0</v>
      </c>
      <c r="DU136" s="234" t="n">
        <f aca="false">SUM([1]COMED!$P127:$R127)</f>
        <v>-12123.1107177734</v>
      </c>
      <c r="DV136" s="234" t="n">
        <f aca="false">DT136+DU136</f>
        <v>-12123.1107177734</v>
      </c>
      <c r="DW136" s="535"/>
      <c r="DX136" s="536" t="n">
        <f aca="false">[1]OtherPosn!$D127</f>
        <v>37169</v>
      </c>
      <c r="DY136" s="234" t="n">
        <f aca="false">[1]OtherPosn!$N127</f>
        <v>7941.37255859375</v>
      </c>
      <c r="DZ136" s="234" t="n">
        <f aca="false">SUM([1]OtherPosn!$O127:$P127)</f>
        <v>0</v>
      </c>
    </row>
    <row r="137" customFormat="false" ht="12.75" hidden="false" customHeight="false" outlineLevel="0" collapsed="false">
      <c r="A137" s="95"/>
      <c r="B137" s="46"/>
      <c r="C137" s="46"/>
      <c r="D137" s="46"/>
      <c r="E137" s="46"/>
      <c r="F137" s="707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DL137" s="533" t="n">
        <v>39539</v>
      </c>
      <c r="DM137" s="459" t="n">
        <v>22</v>
      </c>
      <c r="DP137" s="534" t="n">
        <f aca="false">[1]Cinergy!$D128</f>
        <v>40026</v>
      </c>
      <c r="DQ137" s="234" t="n">
        <f aca="false">[1]OPPD_NPPD!$O128+[1]NSP!$O128</f>
        <v>0</v>
      </c>
      <c r="DR137" s="234" t="n">
        <f aca="false">[1]COMED!$O128</f>
        <v>-32329.310546875</v>
      </c>
      <c r="DS137" s="234" t="n">
        <f aca="false">DQ137+DR137</f>
        <v>-32329.310546875</v>
      </c>
      <c r="DT137" s="234" t="n">
        <f aca="false">SUM([1]OPPD_NPPD!$P128:$R128)+SUM([1]NSP!$P128:$R128)</f>
        <v>0</v>
      </c>
      <c r="DU137" s="234" t="n">
        <f aca="false">SUM([1]COMED!$P128:$R128)</f>
        <v>-13085.673828125</v>
      </c>
      <c r="DV137" s="234" t="n">
        <f aca="false">DT137+DU137</f>
        <v>-13085.673828125</v>
      </c>
      <c r="DW137" s="535"/>
      <c r="DX137" s="536" t="n">
        <f aca="false">[1]OtherPosn!$D128</f>
        <v>37170</v>
      </c>
      <c r="DY137" s="234" t="n">
        <f aca="false">[1]OtherPosn!$N128</f>
        <v>0</v>
      </c>
      <c r="DZ137" s="234" t="n">
        <f aca="false">SUM([1]OtherPosn!$O128:$P128)</f>
        <v>9.99999996004197E-012</v>
      </c>
    </row>
    <row r="138" customFormat="false" ht="31.5" hidden="false" customHeight="true" outlineLevel="0" collapsed="false">
      <c r="A138" s="662"/>
      <c r="B138" s="662"/>
      <c r="C138" s="662"/>
      <c r="D138" s="662"/>
      <c r="E138" s="662"/>
      <c r="F138" s="662"/>
      <c r="G138" s="662"/>
      <c r="H138" s="662"/>
      <c r="I138" s="662"/>
      <c r="J138" s="662"/>
      <c r="K138" s="662"/>
      <c r="L138" s="662"/>
      <c r="M138" s="662"/>
      <c r="N138" s="662"/>
      <c r="O138" s="662"/>
      <c r="P138" s="662"/>
      <c r="Q138" s="662"/>
      <c r="R138" s="662"/>
      <c r="S138" s="662"/>
      <c r="T138" s="662"/>
      <c r="U138" s="662"/>
      <c r="V138" s="662"/>
      <c r="W138" s="662"/>
      <c r="X138" s="662"/>
      <c r="Y138" s="662"/>
      <c r="Z138" s="662"/>
      <c r="AA138" s="662"/>
      <c r="AB138" s="662"/>
      <c r="AC138" s="662"/>
      <c r="AD138" s="662"/>
      <c r="AE138" s="662"/>
      <c r="AF138" s="662"/>
      <c r="AG138" s="662"/>
      <c r="AH138" s="662"/>
      <c r="AI138" s="662"/>
      <c r="AJ138" s="662"/>
      <c r="AK138" s="662"/>
      <c r="AL138" s="662"/>
      <c r="AM138" s="662"/>
      <c r="AN138" s="662"/>
      <c r="AO138" s="662"/>
      <c r="AP138" s="662"/>
      <c r="AQ138" s="662"/>
      <c r="AR138" s="662"/>
      <c r="AS138" s="662"/>
      <c r="AT138" s="662"/>
      <c r="AU138" s="662"/>
      <c r="AV138" s="662"/>
      <c r="AW138" s="662"/>
      <c r="AX138" s="662"/>
      <c r="AY138" s="662"/>
      <c r="AZ138" s="662"/>
      <c r="BA138" s="662"/>
      <c r="BB138" s="662"/>
      <c r="BC138" s="662"/>
      <c r="BD138" s="662"/>
      <c r="BE138" s="662"/>
      <c r="BF138" s="662"/>
      <c r="BG138" s="662"/>
      <c r="BH138" s="662"/>
      <c r="BI138" s="662"/>
      <c r="BJ138" s="662"/>
      <c r="BK138" s="662"/>
      <c r="BL138" s="662"/>
      <c r="BM138" s="662"/>
      <c r="BN138" s="662"/>
      <c r="BO138" s="662"/>
      <c r="BP138" s="662"/>
      <c r="BQ138" s="662"/>
      <c r="BR138" s="662"/>
      <c r="BS138" s="662"/>
      <c r="BT138" s="662"/>
      <c r="BU138" s="662"/>
      <c r="BV138" s="662"/>
      <c r="BW138" s="662"/>
      <c r="BX138" s="662"/>
      <c r="BY138" s="662"/>
      <c r="BZ138" s="662"/>
      <c r="CA138" s="662"/>
      <c r="CB138" s="662"/>
      <c r="CC138" s="662"/>
      <c r="CD138" s="662"/>
      <c r="CE138" s="662"/>
      <c r="CF138" s="662"/>
      <c r="CG138" s="662"/>
      <c r="CH138" s="662"/>
      <c r="CI138" s="665" t="s">
        <v>299</v>
      </c>
      <c r="CJ138" s="666" t="n">
        <f aca="false">SUM(CJ99:CJ137)</f>
        <v>0</v>
      </c>
      <c r="CK138" s="662"/>
      <c r="CL138" s="662"/>
      <c r="CM138" s="662"/>
      <c r="CN138" s="662"/>
      <c r="CO138" s="662"/>
      <c r="CP138" s="662"/>
      <c r="CQ138" s="662"/>
      <c r="CR138" s="662"/>
      <c r="CS138" s="662"/>
      <c r="CT138" s="662"/>
      <c r="CU138" s="662"/>
      <c r="CV138" s="662"/>
      <c r="CW138" s="662"/>
      <c r="CX138" s="662"/>
      <c r="CY138" s="662"/>
      <c r="CZ138" s="662"/>
      <c r="DA138" s="662"/>
      <c r="DB138" s="662"/>
      <c r="DC138" s="662"/>
      <c r="DD138" s="662"/>
      <c r="DE138" s="662"/>
      <c r="DF138" s="662"/>
      <c r="DG138" s="662"/>
      <c r="DH138" s="662"/>
      <c r="DI138" s="662"/>
      <c r="DJ138" s="662"/>
      <c r="DK138" s="708"/>
      <c r="DL138" s="533" t="n">
        <v>39569</v>
      </c>
      <c r="DM138" s="459" t="n">
        <v>21</v>
      </c>
      <c r="DN138" s="662"/>
      <c r="DO138" s="662"/>
      <c r="DP138" s="667" t="n">
        <f aca="false">[1]Cinergy!$D129</f>
        <v>40057</v>
      </c>
      <c r="DQ138" s="234" t="n">
        <f aca="false">[1]OPPD_NPPD!$O129+[1]NSP!$O129</f>
        <v>0</v>
      </c>
      <c r="DR138" s="234" t="n">
        <f aca="false">[1]COMED!$O129</f>
        <v>-32164.35546875</v>
      </c>
      <c r="DS138" s="234" t="n">
        <f aca="false">DQ138+DR138</f>
        <v>-32164.35546875</v>
      </c>
      <c r="DT138" s="234" t="n">
        <f aca="false">SUM([1]OPPD_NPPD!$P129:$R129)+SUM([1]NSP!$P129:$R129)</f>
        <v>0</v>
      </c>
      <c r="DU138" s="234" t="n">
        <f aca="false">SUM([1]COMED!$P129:$R129)</f>
        <v>-12253.0880126953</v>
      </c>
      <c r="DV138" s="234" t="n">
        <f aca="false">DT138+DU138</f>
        <v>-12253.0880126953</v>
      </c>
      <c r="DW138" s="668"/>
      <c r="DX138" s="536" t="n">
        <f aca="false">[1]OtherPosn!$D129</f>
        <v>37171</v>
      </c>
      <c r="DY138" s="234" t="n">
        <f aca="false">[1]OtherPosn!$N129</f>
        <v>0</v>
      </c>
      <c r="DZ138" s="234" t="n">
        <f aca="false">SUM([1]OtherPosn!$O129:$P129)</f>
        <v>9.99999996004197E-012</v>
      </c>
      <c r="EA138" s="662"/>
      <c r="EB138" s="662"/>
      <c r="EC138" s="662"/>
      <c r="ED138" s="662"/>
      <c r="EE138" s="662"/>
      <c r="EF138" s="662"/>
      <c r="EG138" s="662"/>
      <c r="EH138" s="662"/>
      <c r="EI138" s="662"/>
      <c r="EJ138" s="662"/>
      <c r="EK138" s="662"/>
      <c r="EL138" s="662"/>
      <c r="EM138" s="662"/>
      <c r="EN138" s="662"/>
      <c r="EO138" s="662"/>
      <c r="EP138" s="662"/>
      <c r="EQ138" s="662"/>
      <c r="ER138" s="662"/>
      <c r="ES138" s="662"/>
      <c r="ET138" s="662"/>
      <c r="EU138" s="662"/>
      <c r="EV138" s="662"/>
      <c r="EW138" s="662"/>
      <c r="EX138" s="662"/>
      <c r="EY138" s="662"/>
      <c r="EZ138" s="662"/>
      <c r="FA138" s="662"/>
      <c r="FB138" s="662"/>
      <c r="FC138" s="662"/>
      <c r="FD138" s="662"/>
      <c r="FE138" s="662"/>
      <c r="FF138" s="662"/>
      <c r="FG138" s="662"/>
      <c r="FH138" s="662"/>
      <c r="FI138" s="662"/>
      <c r="FJ138" s="662"/>
      <c r="FK138" s="662"/>
      <c r="FL138" s="662"/>
      <c r="FM138" s="662"/>
      <c r="FN138" s="662"/>
      <c r="FO138" s="662"/>
      <c r="FP138" s="662"/>
      <c r="FQ138" s="662"/>
      <c r="FR138" s="662"/>
      <c r="FS138" s="662"/>
      <c r="FT138" s="662"/>
      <c r="FU138" s="662"/>
      <c r="FV138" s="662"/>
      <c r="FW138" s="662"/>
      <c r="FX138" s="662"/>
      <c r="FY138" s="662"/>
      <c r="FZ138" s="662"/>
      <c r="GA138" s="662"/>
      <c r="GB138" s="662"/>
      <c r="GC138" s="662"/>
      <c r="GD138" s="662"/>
      <c r="GE138" s="662"/>
      <c r="GF138" s="662"/>
      <c r="GG138" s="662"/>
      <c r="GH138" s="662"/>
      <c r="GI138" s="662"/>
      <c r="GJ138" s="662"/>
      <c r="GK138" s="662"/>
      <c r="GL138" s="662"/>
      <c r="GM138" s="662"/>
      <c r="GN138" s="662"/>
      <c r="GO138" s="662"/>
      <c r="GP138" s="662"/>
      <c r="GQ138" s="662"/>
      <c r="GR138" s="662"/>
      <c r="GS138" s="662"/>
      <c r="GT138" s="662"/>
      <c r="GU138" s="662"/>
      <c r="GV138" s="662"/>
      <c r="GW138" s="662"/>
      <c r="GX138" s="662"/>
      <c r="GY138" s="662"/>
      <c r="GZ138" s="662"/>
      <c r="HA138" s="662"/>
      <c r="HB138" s="662"/>
      <c r="HC138" s="662"/>
      <c r="HD138" s="662"/>
      <c r="HE138" s="662"/>
      <c r="HF138" s="662"/>
      <c r="HG138" s="662"/>
      <c r="HH138" s="662"/>
      <c r="HI138" s="662"/>
      <c r="HJ138" s="662"/>
      <c r="HK138" s="662"/>
      <c r="HL138" s="662"/>
      <c r="HM138" s="662"/>
      <c r="HN138" s="662"/>
      <c r="HO138" s="662"/>
      <c r="HP138" s="662"/>
      <c r="HQ138" s="662"/>
      <c r="HR138" s="662"/>
      <c r="HS138" s="662"/>
      <c r="HT138" s="662"/>
      <c r="HU138" s="662"/>
      <c r="HV138" s="662"/>
      <c r="HW138" s="662"/>
      <c r="HX138" s="662"/>
      <c r="HY138" s="662"/>
      <c r="HZ138" s="662"/>
      <c r="IA138" s="662"/>
      <c r="IB138" s="662"/>
      <c r="IC138" s="662"/>
      <c r="ID138" s="662"/>
      <c r="IE138" s="662"/>
      <c r="IF138" s="662"/>
      <c r="IG138" s="662"/>
      <c r="IH138" s="662"/>
      <c r="II138" s="662"/>
      <c r="IJ138" s="662"/>
      <c r="IK138" s="662"/>
      <c r="IL138" s="662"/>
      <c r="IM138" s="662"/>
      <c r="IN138" s="662"/>
      <c r="IO138" s="662"/>
      <c r="IP138" s="662"/>
      <c r="IQ138" s="662"/>
      <c r="IR138" s="662"/>
      <c r="IS138" s="662"/>
      <c r="IT138" s="662"/>
      <c r="IU138" s="662"/>
      <c r="IV138" s="662"/>
      <c r="IW138" s="662"/>
    </row>
    <row r="139" customFormat="false" ht="20.25" hidden="false" customHeight="false" outlineLevel="0" collapsed="false">
      <c r="A139" s="49" t="s">
        <v>313</v>
      </c>
      <c r="B139" s="46"/>
      <c r="C139" s="46"/>
      <c r="D139" s="46"/>
      <c r="E139" s="709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DL139" s="533" t="n">
        <v>39600</v>
      </c>
      <c r="DM139" s="459" t="n">
        <v>21</v>
      </c>
      <c r="DP139" s="534" t="n">
        <f aca="false">[1]Cinergy!$D130</f>
        <v>40087</v>
      </c>
      <c r="DQ139" s="234" t="n">
        <f aca="false">[1]OPPD_NPPD!$O130+[1]NSP!$O130</f>
        <v>0</v>
      </c>
      <c r="DR139" s="234" t="n">
        <f aca="false">[1]COMED!$O130</f>
        <v>-33517.93359375</v>
      </c>
      <c r="DS139" s="234" t="n">
        <f aca="false">DQ139+DR139</f>
        <v>-33517.93359375</v>
      </c>
      <c r="DT139" s="234" t="n">
        <f aca="false">SUM([1]OPPD_NPPD!$P130:$R130)+SUM([1]NSP!$P130:$R130)</f>
        <v>0</v>
      </c>
      <c r="DU139" s="234" t="n">
        <f aca="false">SUM([1]COMED!$P130:$R130)</f>
        <v>-12474.0041503906</v>
      </c>
      <c r="DV139" s="234" t="n">
        <f aca="false">DT139+DU139</f>
        <v>-12474.0041503906</v>
      </c>
      <c r="DW139" s="535"/>
      <c r="DX139" s="536" t="n">
        <f aca="false">[1]OtherPosn!$D130</f>
        <v>37172</v>
      </c>
      <c r="DY139" s="234" t="n">
        <f aca="false">[1]OtherPosn!$N130</f>
        <v>7941.37255859375</v>
      </c>
      <c r="DZ139" s="234" t="n">
        <f aca="false">SUM([1]OtherPosn!$O130:$P130)</f>
        <v>9.99999996004197E-013</v>
      </c>
    </row>
    <row r="140" customFormat="false" ht="13.5" hidden="false" customHeight="false" outlineLevel="0" collapsed="false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710"/>
      <c r="AA140" s="710"/>
      <c r="AB140" s="710"/>
      <c r="AC140" s="710"/>
      <c r="AD140" s="46"/>
      <c r="AE140" s="46"/>
      <c r="AF140" s="46"/>
      <c r="AG140" s="46"/>
      <c r="AH140" s="46"/>
      <c r="AI140" s="46"/>
      <c r="DL140" s="533" t="n">
        <v>39630</v>
      </c>
      <c r="DM140" s="459" t="n">
        <v>22</v>
      </c>
      <c r="DP140" s="534" t="n">
        <f aca="false">[1]Cinergy!$D131</f>
        <v>40118</v>
      </c>
      <c r="DQ140" s="234" t="n">
        <f aca="false">[1]OPPD_NPPD!$O131+[1]NSP!$O131</f>
        <v>0</v>
      </c>
      <c r="DR140" s="234" t="n">
        <f aca="false">[1]COMED!$O131</f>
        <v>-30314.65625</v>
      </c>
      <c r="DS140" s="234" t="n">
        <f aca="false">DQ140+DR140</f>
        <v>-30314.65625</v>
      </c>
      <c r="DT140" s="234" t="n">
        <f aca="false">SUM([1]OPPD_NPPD!$P131:$R131)+SUM([1]NSP!$P131:$R131)</f>
        <v>0</v>
      </c>
      <c r="DU140" s="234" t="n">
        <f aca="false">SUM([1]COMED!$P131:$R131)</f>
        <v>-12631.1062011719</v>
      </c>
      <c r="DV140" s="234" t="n">
        <f aca="false">DT140+DU140</f>
        <v>-12631.1062011719</v>
      </c>
      <c r="DW140" s="535"/>
      <c r="DX140" s="536" t="n">
        <f aca="false">[1]OtherPosn!$D131</f>
        <v>37195</v>
      </c>
      <c r="DY140" s="234" t="n">
        <f aca="false">[1]OtherPosn!$N131</f>
        <v>135003.328125</v>
      </c>
      <c r="DZ140" s="234" t="n">
        <f aca="false">SUM([1]OtherPosn!$O131:$P131)</f>
        <v>6.39999988769069E-011</v>
      </c>
    </row>
    <row r="141" customFormat="false" ht="20.25" hidden="false" customHeight="false" outlineLevel="0" collapsed="false">
      <c r="A141" s="711"/>
      <c r="B141" s="712" t="n">
        <f aca="false">T20</f>
        <v>2002</v>
      </c>
      <c r="C141" s="712"/>
      <c r="D141" s="712"/>
      <c r="E141" s="712"/>
      <c r="F141" s="712"/>
      <c r="G141" s="712" t="n">
        <f aca="false">T21</f>
        <v>2003</v>
      </c>
      <c r="H141" s="712"/>
      <c r="I141" s="712"/>
      <c r="J141" s="712"/>
      <c r="K141" s="712"/>
      <c r="L141" s="712" t="n">
        <f aca="false">T22</f>
        <v>2004</v>
      </c>
      <c r="M141" s="712"/>
      <c r="N141" s="712"/>
      <c r="O141" s="712"/>
      <c r="P141" s="712"/>
      <c r="Q141" s="713" t="s">
        <v>314</v>
      </c>
      <c r="R141" s="713"/>
      <c r="S141" s="713"/>
      <c r="T141" s="714"/>
      <c r="U141" s="714"/>
      <c r="V141" s="715"/>
      <c r="W141" s="478"/>
      <c r="X141" s="46"/>
      <c r="Y141" s="68" t="s">
        <v>315</v>
      </c>
      <c r="Z141" s="716"/>
      <c r="AA141" s="68" t="s">
        <v>316</v>
      </c>
      <c r="AB141" s="478" t="s">
        <v>317</v>
      </c>
      <c r="AC141" s="0"/>
      <c r="AD141" s="46"/>
      <c r="AE141" s="46"/>
      <c r="AF141" s="46"/>
      <c r="AG141" s="46"/>
      <c r="AH141" s="46"/>
      <c r="AI141" s="46"/>
      <c r="DJ141" s="439" t="s">
        <v>273</v>
      </c>
      <c r="DK141" s="440" t="n">
        <v>1</v>
      </c>
      <c r="DL141" s="533" t="n">
        <v>39661</v>
      </c>
      <c r="DM141" s="459" t="n">
        <v>21</v>
      </c>
      <c r="DP141" s="534" t="n">
        <f aca="false">[1]Cinergy!$D132</f>
        <v>40148</v>
      </c>
      <c r="DQ141" s="234" t="n">
        <f aca="false">[1]OPPD_NPPD!$O132+[1]NSP!$O132</f>
        <v>0</v>
      </c>
      <c r="DR141" s="234" t="n">
        <f aca="false">[1]COMED!$O132</f>
        <v>-33169.09765625</v>
      </c>
      <c r="DS141" s="234" t="n">
        <f aca="false">DQ141+DR141</f>
        <v>-33169.09765625</v>
      </c>
      <c r="DT141" s="234" t="n">
        <f aca="false">SUM([1]OPPD_NPPD!$P132:$R132)+SUM([1]NSP!$P132:$R132)</f>
        <v>0</v>
      </c>
      <c r="DU141" s="234" t="n">
        <f aca="false">SUM([1]COMED!$P132:$R132)</f>
        <v>-12312.7713623047</v>
      </c>
      <c r="DV141" s="234" t="n">
        <f aca="false">DT141+DU141</f>
        <v>-12312.7713623047</v>
      </c>
      <c r="DW141" s="535"/>
      <c r="DX141" s="536" t="n">
        <f aca="false">[1]OtherPosn!$D132</f>
        <v>37196</v>
      </c>
      <c r="DY141" s="234" t="n">
        <f aca="false">[1]OtherPosn!$N132</f>
        <v>166302.109375</v>
      </c>
      <c r="DZ141" s="234" t="n">
        <f aca="false">SUM([1]OtherPosn!$O132:$P132)</f>
        <v>-1.00000001335143E-010</v>
      </c>
    </row>
    <row r="142" customFormat="false" ht="13.5" hidden="false" customHeight="false" outlineLevel="0" collapsed="false">
      <c r="A142" s="46"/>
      <c r="B142" s="717" t="s">
        <v>171</v>
      </c>
      <c r="C142" s="718" t="s">
        <v>172</v>
      </c>
      <c r="D142" s="718" t="s">
        <v>173</v>
      </c>
      <c r="E142" s="718" t="s">
        <v>174</v>
      </c>
      <c r="F142" s="719" t="s">
        <v>100</v>
      </c>
      <c r="G142" s="717" t="s">
        <v>171</v>
      </c>
      <c r="H142" s="718" t="s">
        <v>172</v>
      </c>
      <c r="I142" s="718" t="s">
        <v>173</v>
      </c>
      <c r="J142" s="717" t="s">
        <v>174</v>
      </c>
      <c r="K142" s="719" t="s">
        <v>100</v>
      </c>
      <c r="L142" s="717" t="s">
        <v>171</v>
      </c>
      <c r="M142" s="718" t="s">
        <v>172</v>
      </c>
      <c r="N142" s="718" t="s">
        <v>173</v>
      </c>
      <c r="O142" s="718" t="s">
        <v>174</v>
      </c>
      <c r="P142" s="719" t="s">
        <v>100</v>
      </c>
      <c r="Q142" s="717" t="s">
        <v>171</v>
      </c>
      <c r="R142" s="718" t="s">
        <v>172</v>
      </c>
      <c r="S142" s="718" t="s">
        <v>173</v>
      </c>
      <c r="T142" s="714"/>
      <c r="U142" s="714"/>
      <c r="V142" s="718" t="s">
        <v>174</v>
      </c>
      <c r="W142" s="719" t="s">
        <v>100</v>
      </c>
      <c r="X142" s="46"/>
      <c r="Y142" s="82" t="s">
        <v>173</v>
      </c>
      <c r="Z142" s="716"/>
      <c r="AA142" s="82" t="s">
        <v>318</v>
      </c>
      <c r="AB142" s="486" t="s">
        <v>173</v>
      </c>
      <c r="AC142" s="0"/>
      <c r="AD142" s="46"/>
      <c r="AE142" s="46"/>
      <c r="AF142" s="46"/>
      <c r="AG142" s="46"/>
      <c r="AH142" s="46"/>
      <c r="AI142" s="46"/>
      <c r="DL142" s="533" t="n">
        <v>39692</v>
      </c>
      <c r="DM142" s="459" t="n">
        <v>21</v>
      </c>
      <c r="DP142" s="534" t="n">
        <f aca="false">[1]Cinergy!$D133</f>
        <v>40179</v>
      </c>
      <c r="DQ142" s="234" t="n">
        <f aca="false">[1]OPPD_NPPD!$O133+[1]NSP!$O133</f>
        <v>0</v>
      </c>
      <c r="DR142" s="234" t="n">
        <f aca="false">[1]COMED!$O133</f>
        <v>-19995.51953125</v>
      </c>
      <c r="DS142" s="234" t="n">
        <f aca="false">DQ142+DR142</f>
        <v>-19995.51953125</v>
      </c>
      <c r="DT142" s="234" t="n">
        <f aca="false">SUM([1]OPPD_NPPD!$P133:$R133)+SUM([1]NSP!$P133:$R133)</f>
        <v>0</v>
      </c>
      <c r="DU142" s="234" t="n">
        <f aca="false">SUM([1]COMED!$P133:$R133)</f>
        <v>-13247.0310058594</v>
      </c>
      <c r="DV142" s="234" t="n">
        <f aca="false">DT142+DU142</f>
        <v>-13247.0310058594</v>
      </c>
      <c r="DW142" s="535"/>
      <c r="DX142" s="536" t="n">
        <f aca="false">[1]OtherPosn!$D133</f>
        <v>37226</v>
      </c>
      <c r="DY142" s="234" t="n">
        <f aca="false">[1]OtherPosn!$N133</f>
        <v>157924.109375</v>
      </c>
      <c r="DZ142" s="234" t="n">
        <f aca="false">SUM([1]OtherPosn!$O133:$P133)</f>
        <v>0</v>
      </c>
    </row>
    <row r="143" customFormat="false" ht="15" hidden="false" customHeight="false" outlineLevel="0" collapsed="false">
      <c r="A143" s="720" t="n">
        <v>35796</v>
      </c>
      <c r="B143" s="721" t="n">
        <f aca="false" t="array" ref="B143:B143">SUM(IF(MONTH($DP$12:$DP$89)&amp;YEAR($DP$12:$DP$89)=MONTH($A143)&amp;$B$141,$DQ$12:$DQ$89))</f>
        <v>0</v>
      </c>
      <c r="C143" s="721" t="n">
        <f aca="false" t="array" ref="C143:C143">SUM(IF(MONTH($DP$12:$DP$89)&amp;YEAR($DP$12:$DP$89)=MONTH($A143)&amp;$B$141,$DR$12:$DR$89))+SUM(IF(MONTH($CB$56:$CB$91)&amp;YEAR($CB$56:$CB$91)=MONTH($A143)&amp;$B$141,$CF$56:$CF$91))</f>
        <v>-422618.8125</v>
      </c>
      <c r="D143" s="721" t="n">
        <v>0</v>
      </c>
      <c r="E143" s="721" t="n">
        <f aca="false" t="array" ref="E143:E143">SUM(IF(MONTH($DX$12:$DX$110)&amp;YEAR($DX$12:$DX$110)=MONTH($A143)&amp;$B$141,$DY$12:$DY$110))+SUM(IF(MONTH(OthNewDeals!$B$8:$B$46)&amp;YEAR(OthNewDeals!$B$8:$B$46)&amp;OthNewDeals!$BK$8:$BK$46=MONTH($A143)&amp;$B$141&amp;$DK$141,OthNewDeals!$G$8:$G$46))</f>
        <v>190653.49609375</v>
      </c>
      <c r="F143" s="721" t="n">
        <f aca="false">SUM(B143:E143)</f>
        <v>-231965.31640625</v>
      </c>
      <c r="G143" s="721" t="n">
        <f aca="false" t="array" ref="G143:G143">SUM(IF(MONTH($DP$12:$DP$89)&amp;YEAR($DP$12:$DP$89)=MONTH($A143)&amp;$G$141,$DQ$12:$DQ$89))</f>
        <v>0</v>
      </c>
      <c r="H143" s="721" t="n">
        <f aca="false" t="array" ref="H143:H143">SUM(IF(MONTH($DP$12:$DP$89)&amp;YEAR($DP$12:$DP$89)=MONTH($A143)&amp;$G$141,$DR$12:$DR$89))+SUM(IF(MONTH($CB$56:$CB$91)&amp;YEAR($CB$56:$CB$91)=MONTH($A143)&amp;$G$141,$CF$56:$CF$91))</f>
        <v>-249736.484375</v>
      </c>
      <c r="I143" s="721" t="n">
        <v>0</v>
      </c>
      <c r="J143" s="721" t="n">
        <f aca="false" t="array" ref="J143:J143">SUM(IF(MONTH($DX$12:$DX$110)&amp;YEAR($DX$12:$DX$110)=MONTH($A143)&amp;$G$141,$DY$12:$DY$110))+SUM(IF(MONTH(OthNewDeals!$B$8:$B$46)&amp;YEAR(OthNewDeals!$B$8:$B$46)&amp;OthNewDeals!$BK$8:$BK$46=MONTH($A143)&amp;$G$141&amp;$DK$141,OthNewDeals!$G$8:$G$46))</f>
        <v>27.46875</v>
      </c>
      <c r="K143" s="721" t="n">
        <f aca="false">SUM(G143:J143)</f>
        <v>-249709.015625</v>
      </c>
      <c r="L143" s="721" t="n">
        <f aca="false" t="array" ref="L143:L143">SUM(IF(MONTH($DP$12:$DP$89)&amp;YEAR($DP$12:$DP$89)=MONTH($A143)&amp;$L$141,$DQ$12:$DQ$89))</f>
        <v>0</v>
      </c>
      <c r="M143" s="721" t="n">
        <f aca="false" t="array" ref="M143:M143">SUM(IF(MONTH($DP$12:$DP$89)&amp;YEAR($DP$12:$DP$89)=MONTH($A143)&amp;$L$141,$DR$12:$DR$89))+SUM(IF(MONTH($CB$56:$CB$91)&amp;YEAR($CB$56:$CB$91)=MONTH($A143)&amp;$L$141,$CF$56:$CF$91))</f>
        <v>0</v>
      </c>
      <c r="N143" s="721" t="n">
        <v>0</v>
      </c>
      <c r="O143" s="721" t="n">
        <f aca="false" t="array" ref="O143:O143">SUM(IF(MONTH($DX$12:$DX$110)&amp;YEAR($DX$12:$DX$110)=MONTH($A143)&amp;$L$141,$DY$12:$DY$110))+SUM(IF(MONTH(OthNewDeals!$B$8:$B$46)&amp;YEAR(OthNewDeals!$B$8:$B$46)&amp;OthNewDeals!$BK$8:$BK$46=MONTH($A143)&amp;$L$141&amp;$DK$141,OthNewDeals!$G$8:$G$46))</f>
        <v>0</v>
      </c>
      <c r="P143" s="721" t="n">
        <f aca="false">SUM(L143:O143)</f>
        <v>0</v>
      </c>
      <c r="Q143" s="721" t="n">
        <f aca="false" t="array" ref="Q143:Q143">SUM(IF(MONTH($DP$12:$DP$176)=MONTH($A143),$DQ$12:$DQ$176))</f>
        <v>0</v>
      </c>
      <c r="R143" s="721" t="n">
        <f aca="false" t="array" ref="R143:R143">SUM(IF(MONTH($CB$56:$CB$91)=MONTH($A143),$CF$56:$CF$91))+SUM(IF(MONTH($DP$12:$DP$176)=MONTH($A143),$DR$12:$DR$176))</f>
        <v>-910377.650390625</v>
      </c>
      <c r="S143" s="721" t="n">
        <v>0</v>
      </c>
      <c r="T143" s="722"/>
      <c r="U143" s="722"/>
      <c r="V143" s="721" t="n">
        <f aca="false" t="array" ref="V143:V143">SUM(IF(MONTH($DX$12:$DX$119)=MONTH($A143),$DY$12:$DY$119))+SUM(IF(MONTH(OthNewDeals!$B$8:$B$46)&amp;OthNewDeals!$BK$8:$BK$46=MONTH($A143)&amp;$DK$141,OthNewDeals!$G$8:$G$46))</f>
        <v>190680.96484375</v>
      </c>
      <c r="W143" s="723" t="n">
        <f aca="false">SUM(Q143:V143)</f>
        <v>-719696.685546875</v>
      </c>
      <c r="X143" s="720" t="n">
        <v>35796</v>
      </c>
      <c r="Y143" s="721" t="n">
        <f aca="false">V143+S143+R143</f>
        <v>-719696.685546875</v>
      </c>
      <c r="Z143" s="724"/>
      <c r="AA143" s="725"/>
      <c r="AB143" s="725"/>
      <c r="AC143" s="0"/>
      <c r="AD143" s="46"/>
      <c r="AE143" s="46"/>
      <c r="AF143" s="46"/>
      <c r="AG143" s="46"/>
      <c r="AH143" s="46"/>
      <c r="AI143" s="46"/>
      <c r="DL143" s="533" t="n">
        <v>39722</v>
      </c>
      <c r="DM143" s="459" t="n">
        <v>23</v>
      </c>
      <c r="DP143" s="534" t="n">
        <f aca="false">[1]Cinergy!$D134</f>
        <v>40210</v>
      </c>
      <c r="DQ143" s="234" t="n">
        <f aca="false">[1]OPPD_NPPD!$O134+[1]NSP!$O134</f>
        <v>0</v>
      </c>
      <c r="DR143" s="234" t="n">
        <f aca="false">[1]COMED!$O134</f>
        <v>-19899.1796875</v>
      </c>
      <c r="DS143" s="234" t="n">
        <f aca="false">DQ143+DR143</f>
        <v>-19899.1796875</v>
      </c>
      <c r="DT143" s="234" t="n">
        <f aca="false">SUM([1]OPPD_NPPD!$P134:$R134)+SUM([1]NSP!$P134:$R134)</f>
        <v>0</v>
      </c>
      <c r="DU143" s="234" t="n">
        <f aca="false">SUM([1]COMED!$P134:$R134)</f>
        <v>-10944.5490722656</v>
      </c>
      <c r="DV143" s="234" t="n">
        <f aca="false">DT143+DU143</f>
        <v>-10944.5490722656</v>
      </c>
      <c r="DW143" s="535"/>
      <c r="DX143" s="536" t="n">
        <f aca="false">[1]OtherPosn!$D134</f>
        <v>37257</v>
      </c>
      <c r="DY143" s="234" t="n">
        <f aca="false">[1]OtherPosn!$N134</f>
        <v>1.00000001335143E-010</v>
      </c>
      <c r="DZ143" s="234" t="n">
        <f aca="false">SUM([1]OtherPosn!$O134:$P134)</f>
        <v>-38577.3505859375</v>
      </c>
    </row>
    <row r="144" customFormat="false" ht="15.75" hidden="false" customHeight="false" outlineLevel="0" collapsed="false">
      <c r="A144" s="726" t="n">
        <v>35827</v>
      </c>
      <c r="B144" s="727" t="n">
        <f aca="false" t="array" ref="B144:B144">SUM(IF(MONTH($DP$12:$DP$89)&amp;YEAR($DP$12:$DP$89)=MONTH($A144)&amp;$B$141,$DQ$12:$DQ$89))</f>
        <v>0</v>
      </c>
      <c r="C144" s="727" t="n">
        <f aca="false" t="array" ref="C144:C144">SUM(IF(MONTH($DP$12:$DP$89)&amp;YEAR($DP$12:$DP$89)=MONTH($A144)&amp;$B$141,$DR$12:$DR$89))+SUM(IF(MONTH($CB$56:$CB$91)&amp;YEAR($CB$56:$CB$91)=MONTH($A144)&amp;$B$141,$CF$56:$CF$91))</f>
        <v>-383171.78125</v>
      </c>
      <c r="D144" s="727" t="n">
        <v>0</v>
      </c>
      <c r="E144" s="727" t="n">
        <f aca="false" t="array" ref="E144:E144">SUM(IF(MONTH($DX$12:$DX$110)&amp;YEAR($DX$12:$DX$110)=MONTH($A144)&amp;$B$141,$DY$12:$DY$110))+SUM(IF(MONTH(OthNewDeals!$B$8:$B$46)&amp;YEAR(OthNewDeals!$B$8:$B$46)&amp;OthNewDeals!$BK$8:$BK$46=MONTH($A144)&amp;$B$141&amp;$DK$141,OthNewDeals!$G$8:$G$46))</f>
        <v>172858.884765625</v>
      </c>
      <c r="F144" s="727" t="n">
        <f aca="false">SUM(B144:E144)</f>
        <v>-210312.896484375</v>
      </c>
      <c r="G144" s="727" t="n">
        <f aca="false" t="array" ref="G144:G144">SUM(IF(MONTH($DP$12:$DP$89)&amp;YEAR($DP$12:$DP$89)=MONTH($A144)&amp;$G$141,$DQ$12:$DQ$89))</f>
        <v>0</v>
      </c>
      <c r="H144" s="727" t="n">
        <f aca="false" t="array" ref="H144:H144">SUM(IF(MONTH($DP$12:$DP$89)&amp;YEAR($DP$12:$DP$89)=MONTH($A144)&amp;$G$141,$DR$12:$DR$89))+SUM(IF(MONTH($CB$56:$CB$91)&amp;YEAR($CB$56:$CB$91)=MONTH($A144)&amp;$G$141,$CF$56:$CF$91))</f>
        <v>-226219.296875</v>
      </c>
      <c r="I144" s="727" t="n">
        <v>0</v>
      </c>
      <c r="J144" s="727" t="n">
        <f aca="false" t="array" ref="J144:J144">SUM(IF(MONTH($DX$12:$DX$110)&amp;YEAR($DX$12:$DX$110)=MONTH($A144)&amp;$G$141,$DY$12:$DY$110))+SUM(IF(MONTH(OthNewDeals!$B$8:$B$46)&amp;YEAR(OthNewDeals!$B$8:$B$46)&amp;OthNewDeals!$BK$8:$BK$46=MONTH($A144)&amp;$G$141&amp;$DK$141,OthNewDeals!$G$8:$G$46))</f>
        <v>25.263671875</v>
      </c>
      <c r="K144" s="727" t="n">
        <f aca="false">SUM(G144:J144)</f>
        <v>-226194.033203125</v>
      </c>
      <c r="L144" s="727" t="n">
        <f aca="false" t="array" ref="L144:L144">SUM(IF(MONTH($DP$12:$DP$89)&amp;YEAR($DP$12:$DP$89)=MONTH($A144)&amp;$L$141,$DQ$12:$DQ$89))</f>
        <v>0</v>
      </c>
      <c r="M144" s="727" t="n">
        <f aca="false" t="array" ref="M144:M144">SUM(IF(MONTH($DP$12:$DP$89)&amp;YEAR($DP$12:$DP$89)=MONTH($A144)&amp;$L$141,$DR$12:$DR$89))+SUM(IF(MONTH($CB$56:$CB$91)&amp;YEAR($CB$56:$CB$91)=MONTH($A144)&amp;$L$141,$CF$56:$CF$91))</f>
        <v>0</v>
      </c>
      <c r="N144" s="727" t="n">
        <v>0</v>
      </c>
      <c r="O144" s="727" t="n">
        <f aca="false" t="array" ref="O144:O144">SUM(IF(MONTH($DX$12:$DX$110)&amp;YEAR($DX$12:$DX$110)=MONTH($A144)&amp;$L$141,$DY$12:$DY$110))+SUM(IF(MONTH(OthNewDeals!$B$8:$B$46)&amp;YEAR(OthNewDeals!$B$8:$B$46)&amp;OthNewDeals!$BK$8:$BK$46=MONTH($A144)&amp;$L$141&amp;$DK$141,OthNewDeals!$G$8:$G$46))</f>
        <v>0</v>
      </c>
      <c r="P144" s="727" t="n">
        <f aca="false">SUM(L144:O144)</f>
        <v>0</v>
      </c>
      <c r="Q144" s="727" t="n">
        <f aca="false" t="array" ref="Q144:Q144">SUM(IF(MONTH($DP$12:$DP$176)=MONTH($A144),$DQ$12:$DQ$176))</f>
        <v>0</v>
      </c>
      <c r="R144" s="727" t="n">
        <f aca="false" t="array" ref="R144:R144">SUM(IF(MONTH($CB$56:$CB$91)=MONTH($A144),$CF$56:$CF$91))+SUM(IF(MONTH($DP$12:$DP$176)=MONTH($A144),$DR$12:$DR$176))</f>
        <v>-833383.709960938</v>
      </c>
      <c r="S144" s="727" t="n">
        <v>0</v>
      </c>
      <c r="T144" s="722"/>
      <c r="U144" s="722"/>
      <c r="V144" s="727" t="n">
        <f aca="false" t="array" ref="V144:V144">SUM(IF(MONTH($DX$12:$DX$119)=MONTH($A144),$DY$12:$DY$119))+SUM(IF(MONTH(OthNewDeals!$B$8:$B$46)&amp;OthNewDeals!$BK$8:$BK$46=MONTH($A144)&amp;$DK$141,OthNewDeals!$G$8:$G$46))</f>
        <v>172884.1484375</v>
      </c>
      <c r="W144" s="723" t="n">
        <f aca="false">SUM(Q144:V144)</f>
        <v>-660499.561523438</v>
      </c>
      <c r="X144" s="726" t="n">
        <v>35827</v>
      </c>
      <c r="Y144" s="727" t="n">
        <f aca="false">V144+S144+R144</f>
        <v>-660499.561523438</v>
      </c>
      <c r="Z144" s="728" t="s">
        <v>141</v>
      </c>
      <c r="AA144" s="729" t="n">
        <f aca="false">SUM(W143:W145)</f>
        <v>-1793415.85351563</v>
      </c>
      <c r="AB144" s="729" t="n">
        <f aca="false">R143+R144+R145+S143+S144+S145</f>
        <v>-2239325.64746094</v>
      </c>
      <c r="AC144" s="0"/>
      <c r="AD144" s="46"/>
      <c r="AE144" s="46"/>
      <c r="AF144" s="46"/>
      <c r="AG144" s="46"/>
      <c r="AH144" s="46"/>
      <c r="AI144" s="46"/>
      <c r="DL144" s="533" t="n">
        <v>39753</v>
      </c>
      <c r="DM144" s="459" t="n">
        <v>19</v>
      </c>
      <c r="DP144" s="534" t="n">
        <f aca="false">[1]Cinergy!$D135</f>
        <v>40238</v>
      </c>
      <c r="DQ144" s="234" t="n">
        <f aca="false">[1]OPPD_NPPD!$O135+[1]NSP!$O135</f>
        <v>0</v>
      </c>
      <c r="DR144" s="234" t="n">
        <f aca="false">[1]COMED!$O135</f>
        <v>-22761.75</v>
      </c>
      <c r="DS144" s="234" t="n">
        <f aca="false">DQ144+DR144</f>
        <v>-22761.75</v>
      </c>
      <c r="DT144" s="234" t="n">
        <f aca="false">SUM([1]OPPD_NPPD!$P135:$R135)+SUM([1]NSP!$P135:$R135)</f>
        <v>0</v>
      </c>
      <c r="DU144" s="234" t="n">
        <f aca="false">SUM([1]COMED!$P135:$R135)</f>
        <v>-11628.2856445313</v>
      </c>
      <c r="DV144" s="234" t="n">
        <f aca="false">DT144+DU144</f>
        <v>-11628.2856445313</v>
      </c>
      <c r="DW144" s="535"/>
      <c r="DX144" s="536" t="n">
        <f aca="false">[1]OtherPosn!$D135</f>
        <v>37288</v>
      </c>
      <c r="DY144" s="234" t="n">
        <f aca="false">[1]OtherPosn!$N135</f>
        <v>-1.00000001335143E-010</v>
      </c>
      <c r="DZ144" s="234" t="n">
        <f aca="false">SUM([1]OtherPosn!$O135:$P135)</f>
        <v>-34548.2739257813</v>
      </c>
    </row>
    <row r="145" customFormat="false" ht="16.5" hidden="false" customHeight="false" outlineLevel="0" collapsed="false">
      <c r="A145" s="726" t="n">
        <v>36586</v>
      </c>
      <c r="B145" s="727" t="n">
        <f aca="false" t="array" ref="B145:B145">SUM(IF(MONTH($DP$12:$DP$89)&amp;YEAR($DP$12:$DP$89)=MONTH($A145)&amp;$B$141,$DQ$12:$DQ$89))</f>
        <v>0</v>
      </c>
      <c r="C145" s="727" t="n">
        <f aca="false" t="array" ref="C145:C145">SUM(IF(MONTH($DP$12:$DP$89)&amp;YEAR($DP$12:$DP$89)=MONTH($A145)&amp;$B$141,$DR$12:$DR$89))+SUM(IF(MONTH($CB$56:$CB$91)&amp;YEAR($CB$56:$CB$91)=MONTH($A145)&amp;$B$141,$CF$56:$CF$91))</f>
        <v>-55894.4921875</v>
      </c>
      <c r="D145" s="727" t="n">
        <v>0</v>
      </c>
      <c r="E145" s="727" t="n">
        <f aca="false" t="array" ref="E145:E145">SUM(IF(MONTH($DX$12:$DX$110)&amp;YEAR($DX$12:$DX$110)=MONTH($A145)&amp;$B$141,$DY$12:$DY$110))+SUM(IF(MONTH(OthNewDeals!$B$8:$B$46)&amp;YEAR(OthNewDeals!$B$8:$B$46)&amp;OthNewDeals!$BK$8:$BK$46=MONTH($A145)&amp;$B$141&amp;$DK$141,OthNewDeals!$G$8:$G$46))</f>
        <v>82317.91796875</v>
      </c>
      <c r="F145" s="727" t="n">
        <f aca="false">SUM(B145:E145)</f>
        <v>26423.42578125</v>
      </c>
      <c r="G145" s="727" t="n">
        <f aca="false" t="array" ref="G145:G145">SUM(IF(MONTH($DP$12:$DP$89)&amp;YEAR($DP$12:$DP$89)=MONTH($A145)&amp;$G$141,$DQ$12:$DQ$89))</f>
        <v>0</v>
      </c>
      <c r="H145" s="727" t="n">
        <f aca="false" t="array" ref="H145:H145">SUM(IF(MONTH($DP$12:$DP$89)&amp;YEAR($DP$12:$DP$89)=MONTH($A145)&amp;$G$141,$DR$12:$DR$89))+SUM(IF(MONTH($CB$56:$CB$91)&amp;YEAR($CB$56:$CB$91)=MONTH($A145)&amp;$G$141,$CF$56:$CF$91))</f>
        <v>-189259.765625</v>
      </c>
      <c r="I145" s="727" t="n">
        <v>0</v>
      </c>
      <c r="J145" s="727" t="n">
        <f aca="false" t="array" ref="J145:J145">SUM(IF(MONTH($DX$12:$DX$110)&amp;YEAR($DX$12:$DX$110)=MONTH($A145)&amp;$G$141,$DY$12:$DY$110))+SUM(IF(MONTH(OthNewDeals!$B$8:$B$46)&amp;YEAR(OthNewDeals!$B$8:$B$46)&amp;OthNewDeals!$BK$8:$BK$46=MONTH($A145)&amp;$G$141&amp;$DK$141,OthNewDeals!$G$8:$G$46))</f>
        <v>26.7626953125</v>
      </c>
      <c r="K145" s="727" t="n">
        <f aca="false">SUM(G145:J145)</f>
        <v>-189233.002929688</v>
      </c>
      <c r="L145" s="727" t="n">
        <f aca="false" t="array" ref="L145:L145">SUM(IF(MONTH($DP$12:$DP$89)&amp;YEAR($DP$12:$DP$89)=MONTH($A145)&amp;$L$141,$DQ$12:$DQ$89))</f>
        <v>0</v>
      </c>
      <c r="M145" s="727" t="n">
        <f aca="false" t="array" ref="M145:M145">SUM(IF(MONTH($DP$12:$DP$89)&amp;YEAR($DP$12:$DP$89)=MONTH($A145)&amp;$L$141,$DR$12:$DR$89))+SUM(IF(MONTH($CB$56:$CB$91)&amp;YEAR($CB$56:$CB$91)=MONTH($A145)&amp;$L$141,$CF$56:$CF$91))</f>
        <v>0</v>
      </c>
      <c r="N145" s="727" t="n">
        <v>0</v>
      </c>
      <c r="O145" s="727" t="n">
        <f aca="false" t="array" ref="O145:O145">SUM(IF(MONTH($DX$12:$DX$110)&amp;YEAR($DX$12:$DX$110)=MONTH($A145)&amp;$L$141,$DY$12:$DY$110))+SUM(IF(MONTH(OthNewDeals!$B$8:$B$46)&amp;YEAR(OthNewDeals!$B$8:$B$46)&amp;OthNewDeals!$BK$8:$BK$46=MONTH($A145)&amp;$L$141&amp;$DK$141,OthNewDeals!$G$8:$G$46))</f>
        <v>0</v>
      </c>
      <c r="P145" s="727" t="n">
        <f aca="false">SUM(L145:O145)</f>
        <v>0</v>
      </c>
      <c r="Q145" s="727" t="n">
        <f aca="false" t="array" ref="Q145:Q145">SUM(IF(MONTH($DP$12:$DP$176)=MONTH($A145),$DQ$12:$DQ$176))</f>
        <v>0</v>
      </c>
      <c r="R145" s="727" t="n">
        <f aca="false" t="array" ref="R145:R145">SUM(IF(MONTH($CB$56:$CB$91)=MONTH($A145),$CF$56:$CF$91))+SUM(IF(MONTH($DP$12:$DP$176)=MONTH($A145),$DR$12:$DR$176))</f>
        <v>-495564.287109375</v>
      </c>
      <c r="S145" s="727" t="n">
        <v>0</v>
      </c>
      <c r="T145" s="722"/>
      <c r="U145" s="722"/>
      <c r="V145" s="727" t="n">
        <f aca="false" t="array" ref="V145:V145">SUM(IF(MONTH($DX$12:$DX$119)=MONTH($A145),$DY$12:$DY$119))+SUM(IF(MONTH(OthNewDeals!$B$8:$B$46)&amp;OthNewDeals!$BK$8:$BK$46=MONTH($A145)&amp;$DK$141,OthNewDeals!$G$8:$G$46))</f>
        <v>82344.6806640625</v>
      </c>
      <c r="W145" s="723" t="n">
        <f aca="false">SUM(Q145:V145)</f>
        <v>-413219.606445313</v>
      </c>
      <c r="X145" s="726" t="n">
        <v>36586</v>
      </c>
      <c r="Y145" s="727" t="n">
        <f aca="false">V145+S145+R145</f>
        <v>-413219.606445313</v>
      </c>
      <c r="Z145" s="82"/>
      <c r="AA145" s="730"/>
      <c r="AB145" s="730"/>
      <c r="AC145" s="0"/>
      <c r="AD145" s="46"/>
      <c r="AE145" s="46"/>
      <c r="AF145" s="46"/>
      <c r="AG145" s="46"/>
      <c r="AH145" s="46"/>
      <c r="AI145" s="46"/>
      <c r="DL145" s="533" t="n">
        <v>39783</v>
      </c>
      <c r="DM145" s="459" t="n">
        <v>22</v>
      </c>
      <c r="DP145" s="534" t="n">
        <f aca="false">[1]Cinergy!$D136</f>
        <v>40269</v>
      </c>
      <c r="DQ145" s="234" t="n">
        <f aca="false">[1]OPPD_NPPD!$O136+[1]NSP!$O136</f>
        <v>0</v>
      </c>
      <c r="DR145" s="234" t="n">
        <f aca="false">[1]COMED!$O136</f>
        <v>-21659.232421875</v>
      </c>
      <c r="DS145" s="234" t="n">
        <f aca="false">DQ145+DR145</f>
        <v>-21659.232421875</v>
      </c>
      <c r="DT145" s="234" t="n">
        <f aca="false">SUM([1]OPPD_NPPD!$P136:$R136)+SUM([1]NSP!$P136:$R136)</f>
        <v>0</v>
      </c>
      <c r="DU145" s="234" t="n">
        <f aca="false">SUM([1]COMED!$P136:$R136)</f>
        <v>-11291.1052246094</v>
      </c>
      <c r="DV145" s="234" t="n">
        <f aca="false">DT145+DU145</f>
        <v>-11291.1052246094</v>
      </c>
      <c r="DW145" s="535"/>
      <c r="DX145" s="536" t="n">
        <f aca="false">[1]OtherPosn!$D136</f>
        <v>37316</v>
      </c>
      <c r="DY145" s="234" t="n">
        <f aca="false">[1]OtherPosn!$N136</f>
        <v>0</v>
      </c>
      <c r="DZ145" s="234" t="n">
        <f aca="false">SUM([1]OtherPosn!$O136:$P136)</f>
        <v>-39924.6376953125</v>
      </c>
    </row>
    <row r="146" customFormat="false" ht="15" hidden="false" customHeight="false" outlineLevel="0" collapsed="false">
      <c r="A146" s="726" t="n">
        <v>36617</v>
      </c>
      <c r="B146" s="727" t="n">
        <f aca="false" t="array" ref="B146:B146">SUM(IF(MONTH($DP$12:$DP$89)&amp;YEAR($DP$12:$DP$89)=MONTH($A146)&amp;$B$141,$DQ$12:$DQ$89))</f>
        <v>0</v>
      </c>
      <c r="C146" s="727" t="n">
        <f aca="false" t="array" ref="C146:C146">SUM(IF(MONTH($DP$12:$DP$89)&amp;YEAR($DP$12:$DP$89)=MONTH($A146)&amp;$B$141,$DR$12:$DR$89))+SUM(IF(MONTH($CB$56:$CB$91)&amp;YEAR($CB$56:$CB$91)=MONTH($A146)&amp;$B$141,$CF$56:$CF$91))</f>
        <v>-58384.8203125</v>
      </c>
      <c r="D146" s="727" t="n">
        <v>0</v>
      </c>
      <c r="E146" s="727" t="n">
        <f aca="false" t="array" ref="E146:E146">SUM(IF(MONTH($DX$12:$DX$110)&amp;YEAR($DX$12:$DX$110)=MONTH($A146)&amp;$B$141,$DY$12:$DY$110))+SUM(IF(MONTH(OthNewDeals!$B$8:$B$46)&amp;YEAR(OthNewDeals!$B$8:$B$46)&amp;OthNewDeals!$BK$8:$BK$46=MONTH($A146)&amp;$B$141&amp;$DK$141,OthNewDeals!$G$8:$G$46))</f>
        <v>85969.234375</v>
      </c>
      <c r="F146" s="727" t="n">
        <f aca="false">SUM(B146:E146)</f>
        <v>27584.4140625</v>
      </c>
      <c r="G146" s="727" t="n">
        <f aca="false" t="array" ref="G146:G146">SUM(IF(MONTH($DP$12:$DP$89)&amp;YEAR($DP$12:$DP$89)=MONTH($A146)&amp;$G$141,$DQ$12:$DQ$89))</f>
        <v>0</v>
      </c>
      <c r="H146" s="727" t="n">
        <f aca="false" t="array" ref="H146:H146">SUM(IF(MONTH($DP$12:$DP$89)&amp;YEAR($DP$12:$DP$89)=MONTH($A146)&amp;$G$141,$DR$12:$DR$89))+SUM(IF(MONTH($CB$56:$CB$91)&amp;YEAR($CB$56:$CB$91)=MONTH($A146)&amp;$G$141,$CF$56:$CF$91))</f>
        <v>-197487.5625</v>
      </c>
      <c r="I146" s="727" t="n">
        <v>0</v>
      </c>
      <c r="J146" s="727" t="n">
        <f aca="false" t="array" ref="J146:J146">SUM(IF(MONTH($DX$12:$DX$110)&amp;YEAR($DX$12:$DX$110)=MONTH($A146)&amp;$G$141,$DY$12:$DY$110))+SUM(IF(MONTH(OthNewDeals!$B$8:$B$46)&amp;YEAR(OthNewDeals!$B$8:$B$46)&amp;OthNewDeals!$BK$8:$BK$46=MONTH($A146)&amp;$G$141&amp;$DK$141,OthNewDeals!$G$8:$G$46))</f>
        <v>28.447265625</v>
      </c>
      <c r="K146" s="727" t="n">
        <f aca="false">SUM(G146:J146)</f>
        <v>-197459.115234375</v>
      </c>
      <c r="L146" s="727" t="n">
        <f aca="false" t="array" ref="L146:L146">SUM(IF(MONTH($DP$12:$DP$89)&amp;YEAR($DP$12:$DP$89)=MONTH($A146)&amp;$L$141,$DQ$12:$DQ$89))</f>
        <v>0</v>
      </c>
      <c r="M146" s="727" t="n">
        <f aca="false" t="array" ref="M146:M146">SUM(IF(MONTH($DP$12:$DP$89)&amp;YEAR($DP$12:$DP$89)=MONTH($A146)&amp;$L$141,$DR$12:$DR$89))+SUM(IF(MONTH($CB$56:$CB$91)&amp;YEAR($CB$56:$CB$91)=MONTH($A146)&amp;$L$141,$CF$56:$CF$91))</f>
        <v>0</v>
      </c>
      <c r="N146" s="727" t="n">
        <v>0</v>
      </c>
      <c r="O146" s="727" t="n">
        <f aca="false" t="array" ref="O146:O146">SUM(IF(MONTH($DX$12:$DX$110)&amp;YEAR($DX$12:$DX$110)=MONTH($A146)&amp;$L$141,$DY$12:$DY$110))+SUM(IF(MONTH(OthNewDeals!$B$8:$B$46)&amp;YEAR(OthNewDeals!$B$8:$B$46)&amp;OthNewDeals!$BK$8:$BK$46=MONTH($A146)&amp;$L$141&amp;$DK$141,OthNewDeals!$G$8:$G$46))</f>
        <v>0</v>
      </c>
      <c r="P146" s="727" t="n">
        <f aca="false">SUM(L146:O146)</f>
        <v>0</v>
      </c>
      <c r="Q146" s="727" t="n">
        <f aca="false" t="array" ref="Q146:Q146">SUM(IF(MONTH($DP$12:$DP$176)=MONTH($A146),$DQ$12:$DQ$176))</f>
        <v>0</v>
      </c>
      <c r="R146" s="727" t="n">
        <f aca="false" t="array" ref="R146:R146">SUM(IF(MONTH($CB$56:$CB$91)=MONTH($A146),$CF$56:$CF$91))+SUM(IF(MONTH($DP$12:$DP$176)=MONTH($A146),$DR$12:$DR$176))</f>
        <v>-489840.271484375</v>
      </c>
      <c r="S146" s="727" t="n">
        <v>0</v>
      </c>
      <c r="T146" s="722"/>
      <c r="U146" s="722"/>
      <c r="V146" s="727" t="n">
        <f aca="false" t="array" ref="V146:V146">SUM(IF(MONTH($DX$12:$DX$119)=MONTH($A146),$DY$12:$DY$119))+SUM(IF(MONTH(OthNewDeals!$B$8:$B$46)&amp;OthNewDeals!$BK$8:$BK$46=MONTH($A146)&amp;$DK$141,OthNewDeals!$G$8:$G$46))</f>
        <v>85997.681640625</v>
      </c>
      <c r="W146" s="723" t="n">
        <f aca="false">SUM(Q146:V146)</f>
        <v>-403842.58984375</v>
      </c>
      <c r="X146" s="726" t="n">
        <v>36617</v>
      </c>
      <c r="Y146" s="727" t="n">
        <f aca="false">V146+S146+R146</f>
        <v>-403842.58984375</v>
      </c>
      <c r="Z146" s="724"/>
      <c r="AA146" s="725"/>
      <c r="AB146" s="731"/>
      <c r="AC146" s="0"/>
      <c r="AD146" s="46"/>
      <c r="AE146" s="46"/>
      <c r="AF146" s="46"/>
      <c r="AG146" s="46"/>
      <c r="AH146" s="46"/>
      <c r="AI146" s="46"/>
      <c r="DL146" s="533" t="n">
        <v>39814</v>
      </c>
      <c r="DM146" s="459" t="n">
        <v>21</v>
      </c>
      <c r="DP146" s="534" t="n">
        <f aca="false">[1]Cinergy!$D137</f>
        <v>40299</v>
      </c>
      <c r="DQ146" s="234" t="n">
        <f aca="false">[1]OPPD_NPPD!$O137+[1]NSP!$O137</f>
        <v>0</v>
      </c>
      <c r="DR146" s="234" t="n">
        <f aca="false">[1]COMED!$O137</f>
        <v>-19584.494140625</v>
      </c>
      <c r="DS146" s="234" t="n">
        <f aca="false">DQ146+DR146</f>
        <v>-19584.494140625</v>
      </c>
      <c r="DT146" s="234" t="n">
        <f aca="false">SUM([1]OPPD_NPPD!$P137:$R137)+SUM([1]NSP!$P137:$R137)</f>
        <v>0</v>
      </c>
      <c r="DU146" s="234" t="n">
        <f aca="false">SUM([1]COMED!$P137:$R137)</f>
        <v>-12974.7270507813</v>
      </c>
      <c r="DV146" s="234" t="n">
        <f aca="false">DT146+DU146</f>
        <v>-12974.7270507813</v>
      </c>
      <c r="DW146" s="535"/>
      <c r="DX146" s="536" t="n">
        <f aca="false">[1]OtherPosn!$D137</f>
        <v>37347</v>
      </c>
      <c r="DY146" s="234" t="n">
        <f aca="false">[1]OtherPosn!$N137</f>
        <v>0</v>
      </c>
      <c r="DZ146" s="234" t="n">
        <f aca="false">SUM([1]OtherPosn!$O137:$P137)</f>
        <v>-35807.5336914063</v>
      </c>
    </row>
    <row r="147" customFormat="false" ht="15.75" hidden="false" customHeight="false" outlineLevel="0" collapsed="false">
      <c r="A147" s="726" t="n">
        <v>36647</v>
      </c>
      <c r="B147" s="727" t="n">
        <f aca="false" t="array" ref="B147:B147">SUM(IF(MONTH($DP$12:$DP$89)&amp;YEAR($DP$12:$DP$89)=MONTH($A147)&amp;$B$141,$DQ$12:$DQ$89))</f>
        <v>0</v>
      </c>
      <c r="C147" s="727" t="n">
        <f aca="false" t="array" ref="C147:C147">SUM(IF(MONTH($DP$12:$DP$89)&amp;YEAR($DP$12:$DP$89)=MONTH($A147)&amp;$B$141,$DR$12:$DR$89))+SUM(IF(MONTH($CB$56:$CB$91)&amp;YEAR($CB$56:$CB$91)=MONTH($A147)&amp;$B$141,$CF$56:$CF$91))</f>
        <v>-143801.96875</v>
      </c>
      <c r="D147" s="727" t="n">
        <v>0</v>
      </c>
      <c r="E147" s="727" t="n">
        <f aca="false" t="array" ref="E147:E147">SUM(IF(MONTH($DX$12:$DX$110)&amp;YEAR($DX$12:$DX$110)=MONTH($A147)&amp;$B$141,$DY$12:$DY$110))+SUM(IF(MONTH(OthNewDeals!$B$8:$B$46)&amp;YEAR(OthNewDeals!$B$8:$B$46)&amp;OthNewDeals!$BK$8:$BK$46=MONTH($A147)&amp;$B$141&amp;$DK$141,OthNewDeals!$G$8:$G$46))</f>
        <v>102849.3984375</v>
      </c>
      <c r="F147" s="727" t="n">
        <f aca="false">SUM(B147:E147)</f>
        <v>-40952.5703125</v>
      </c>
      <c r="G147" s="727" t="n">
        <f aca="false" t="array" ref="G147:G147">SUM(IF(MONTH($DP$12:$DP$89)&amp;YEAR($DP$12:$DP$89)=MONTH($A147)&amp;$G$141,$DQ$12:$DQ$89))</f>
        <v>0</v>
      </c>
      <c r="H147" s="727" t="n">
        <f aca="false" t="array" ref="H147:H147">SUM(IF(MONTH($DP$12:$DP$89)&amp;YEAR($DP$12:$DP$89)=MONTH($A147)&amp;$G$141,$DR$12:$DR$89))+SUM(IF(MONTH($CB$56:$CB$91)&amp;YEAR($CB$56:$CB$91)=MONTH($A147)&amp;$G$141,$CF$56:$CF$91))</f>
        <v>-187725.765625</v>
      </c>
      <c r="I147" s="727" t="n">
        <v>0</v>
      </c>
      <c r="J147" s="727" t="n">
        <f aca="false" t="array" ref="J147:J147">SUM(IF(MONTH($DX$12:$DX$110)&amp;YEAR($DX$12:$DX$110)=MONTH($A147)&amp;$G$141,$DY$12:$DY$110))+SUM(IF(MONTH(OthNewDeals!$B$8:$B$46)&amp;YEAR(OthNewDeals!$B$8:$B$46)&amp;OthNewDeals!$BK$8:$BK$46=MONTH($A147)&amp;$G$141&amp;$DK$141,OthNewDeals!$G$8:$G$46))</f>
        <v>29.6611328125</v>
      </c>
      <c r="K147" s="727" t="n">
        <f aca="false">SUM(G147:J147)</f>
        <v>-187696.104492188</v>
      </c>
      <c r="L147" s="727" t="n">
        <f aca="false" t="array" ref="L147:L147">SUM(IF(MONTH($DP$12:$DP$89)&amp;YEAR($DP$12:$DP$89)=MONTH($A147)&amp;$L$141,$DQ$12:$DQ$89))</f>
        <v>0</v>
      </c>
      <c r="M147" s="727" t="n">
        <f aca="false" t="array" ref="M147:M147">SUM(IF(MONTH($DP$12:$DP$89)&amp;YEAR($DP$12:$DP$89)=MONTH($A147)&amp;$L$141,$DR$12:$DR$89))+SUM(IF(MONTH($CB$56:$CB$91)&amp;YEAR($CB$56:$CB$91)=MONTH($A147)&amp;$L$141,$CF$56:$CF$91))</f>
        <v>0</v>
      </c>
      <c r="N147" s="727" t="n">
        <v>0</v>
      </c>
      <c r="O147" s="727" t="n">
        <f aca="false" t="array" ref="O147:O147">SUM(IF(MONTH($DX$12:$DX$110)&amp;YEAR($DX$12:$DX$110)=MONTH($A147)&amp;$L$141,$DY$12:$DY$110))+SUM(IF(MONTH(OthNewDeals!$B$8:$B$46)&amp;YEAR(OthNewDeals!$B$8:$B$46)&amp;OthNewDeals!$BK$8:$BK$46=MONTH($A147)&amp;$L$141&amp;$DK$141,OthNewDeals!$G$8:$G$46))</f>
        <v>0</v>
      </c>
      <c r="P147" s="727" t="n">
        <f aca="false">SUM(L147:O147)</f>
        <v>0</v>
      </c>
      <c r="Q147" s="727" t="n">
        <f aca="false" t="array" ref="Q147:Q147">SUM(IF(MONTH($DP$12:$DP$176)=MONTH($A147),$DQ$12:$DQ$176))</f>
        <v>0</v>
      </c>
      <c r="R147" s="727" t="n">
        <f aca="false" t="array" ref="R147:R147">SUM(IF(MONTH($CB$56:$CB$91)=MONTH($A147),$CF$56:$CF$91))+SUM(IF(MONTH($DP$12:$DP$176)=MONTH($A147),$DR$12:$DR$176))</f>
        <v>-560682.587890625</v>
      </c>
      <c r="S147" s="727" t="n">
        <v>0</v>
      </c>
      <c r="T147" s="722"/>
      <c r="U147" s="722"/>
      <c r="V147" s="727" t="n">
        <f aca="false" t="array" ref="V147:V147">SUM(IF(MONTH($DX$12:$DX$119)=MONTH($A147),$DY$12:$DY$119))+SUM(IF(MONTH(OthNewDeals!$B$8:$B$46)&amp;OthNewDeals!$BK$8:$BK$46=MONTH($A147)&amp;$DK$141,OthNewDeals!$G$8:$G$46))</f>
        <v>102879.059570313</v>
      </c>
      <c r="W147" s="723" t="n">
        <f aca="false">SUM(Q147:V147)</f>
        <v>-457803.528320313</v>
      </c>
      <c r="X147" s="726" t="n">
        <v>36647</v>
      </c>
      <c r="Y147" s="727" t="n">
        <f aca="false">V147+S147+R147</f>
        <v>-457803.528320313</v>
      </c>
      <c r="Z147" s="728" t="s">
        <v>142</v>
      </c>
      <c r="AA147" s="729" t="n">
        <f aca="false">SUM(W146:W148)</f>
        <v>-1244705.80664063</v>
      </c>
      <c r="AB147" s="729" t="n">
        <f aca="false">R146+R147+R148+S146+S147+S148</f>
        <v>-1526815.51269531</v>
      </c>
      <c r="AC147" s="0"/>
      <c r="AD147" s="46"/>
      <c r="AE147" s="46"/>
      <c r="AF147" s="46"/>
      <c r="AG147" s="46"/>
      <c r="AH147" s="46"/>
      <c r="AI147" s="46"/>
      <c r="DL147" s="533" t="n">
        <v>39845</v>
      </c>
      <c r="DM147" s="459" t="n">
        <v>20</v>
      </c>
      <c r="DP147" s="534" t="n">
        <f aca="false">[1]Cinergy!$D138</f>
        <v>40330</v>
      </c>
      <c r="DQ147" s="234" t="n">
        <f aca="false">[1]OPPD_NPPD!$O138+[1]NSP!$O138</f>
        <v>0</v>
      </c>
      <c r="DR147" s="234" t="n">
        <f aca="false">[1]COMED!$O138</f>
        <v>-21430.74609375</v>
      </c>
      <c r="DS147" s="234" t="n">
        <f aca="false">DQ147+DR147</f>
        <v>-21430.74609375</v>
      </c>
      <c r="DT147" s="234" t="n">
        <f aca="false">SUM([1]OPPD_NPPD!$P138:$R138)+SUM([1]NSP!$P138:$R138)</f>
        <v>0</v>
      </c>
      <c r="DU147" s="234" t="n">
        <f aca="false">SUM([1]COMED!$P138:$R138)</f>
        <v>-11202.4353027344</v>
      </c>
      <c r="DV147" s="234" t="n">
        <f aca="false">DT147+DU147</f>
        <v>-11202.4353027344</v>
      </c>
      <c r="DW147" s="535"/>
      <c r="DX147" s="536" t="n">
        <f aca="false">[1]OtherPosn!$D138</f>
        <v>37377</v>
      </c>
      <c r="DY147" s="234" t="n">
        <f aca="false">[1]OtherPosn!$N138</f>
        <v>17119.28125</v>
      </c>
      <c r="DZ147" s="234" t="n">
        <f aca="false">SUM([1]OtherPosn!$O138:$P138)</f>
        <v>-38129.3100585938</v>
      </c>
    </row>
    <row r="148" customFormat="false" ht="16.5" hidden="false" customHeight="false" outlineLevel="0" collapsed="false">
      <c r="A148" s="726" t="n">
        <v>36678</v>
      </c>
      <c r="B148" s="727" t="n">
        <f aca="false" t="array" ref="B148:B148">SUM(IF(MONTH($DP$12:$DP$89)&amp;YEAR($DP$12:$DP$89)=MONTH($A148)&amp;$B$141,$DQ$12:$DQ$89))</f>
        <v>0</v>
      </c>
      <c r="C148" s="727" t="n">
        <f aca="false" t="array" ref="C148:C148">SUM(IF(MONTH($DP$12:$DP$89)&amp;YEAR($DP$12:$DP$89)=MONTH($A148)&amp;$B$141,$DR$12:$DR$89))+SUM(IF(MONTH($CB$56:$CB$91)&amp;YEAR($CB$56:$CB$91)=MONTH($A148)&amp;$B$141,$CF$56:$CF$91))</f>
        <v>-62060.53515625</v>
      </c>
      <c r="D148" s="727" t="n">
        <v>0</v>
      </c>
      <c r="E148" s="727" t="n">
        <f aca="false" t="array" ref="E148:E148">SUM(IF(MONTH($DX$12:$DX$110)&amp;YEAR($DX$12:$DX$110)=MONTH($A148)&amp;$B$141,$DY$12:$DY$110))+SUM(IF(MONTH(OthNewDeals!$B$8:$B$46)&amp;YEAR(OthNewDeals!$B$8:$B$46)&amp;OthNewDeals!$BK$8:$BK$46=MONTH($A148)&amp;$B$141&amp;$DK$141,OthNewDeals!$G$8:$G$46))</f>
        <v>93207.1875</v>
      </c>
      <c r="F148" s="727" t="n">
        <f aca="false">SUM(B148:E148)</f>
        <v>31146.65234375</v>
      </c>
      <c r="G148" s="727" t="n">
        <f aca="false" t="array" ref="G148:G148">SUM(IF(MONTH($DP$12:$DP$89)&amp;YEAR($DP$12:$DP$89)=MONTH($A148)&amp;$G$141,$DQ$12:$DQ$89))</f>
        <v>0</v>
      </c>
      <c r="H148" s="727" t="n">
        <f aca="false" t="array" ref="H148:H148">SUM(IF(MONTH($DP$12:$DP$89)&amp;YEAR($DP$12:$DP$89)=MONTH($A148)&amp;$G$141,$DR$12:$DR$89))+SUM(IF(MONTH($CB$56:$CB$91)&amp;YEAR($CB$56:$CB$91)=MONTH($A148)&amp;$G$141,$CF$56:$CF$91))</f>
        <v>-186955.484375</v>
      </c>
      <c r="I148" s="727" t="n">
        <v>0</v>
      </c>
      <c r="J148" s="727" t="n">
        <f aca="false" t="array" ref="J148:J148">SUM(IF(MONTH($DX$12:$DX$110)&amp;YEAR($DX$12:$DX$110)=MONTH($A148)&amp;$G$141,$DY$12:$DY$110))+SUM(IF(MONTH(OthNewDeals!$B$8:$B$46)&amp;YEAR(OthNewDeals!$B$8:$B$46)&amp;OthNewDeals!$BK$8:$BK$46=MONTH($A148)&amp;$G$141&amp;$DK$141,OthNewDeals!$G$8:$G$46))</f>
        <v>25.77734375</v>
      </c>
      <c r="K148" s="727" t="n">
        <f aca="false">SUM(G148:J148)</f>
        <v>-186929.70703125</v>
      </c>
      <c r="L148" s="727" t="n">
        <f aca="false" t="array" ref="L148:L148">SUM(IF(MONTH($DP$12:$DP$89)&amp;YEAR($DP$12:$DP$89)=MONTH($A148)&amp;$L$141,$DQ$12:$DQ$89))</f>
        <v>0</v>
      </c>
      <c r="M148" s="727" t="n">
        <f aca="false" t="array" ref="M148:M148">SUM(IF(MONTH($DP$12:$DP$89)&amp;YEAR($DP$12:$DP$89)=MONTH($A148)&amp;$L$141,$DR$12:$DR$89))+SUM(IF(MONTH($CB$56:$CB$91)&amp;YEAR($CB$56:$CB$91)=MONTH($A148)&amp;$L$141,$CF$56:$CF$91))</f>
        <v>0</v>
      </c>
      <c r="N148" s="727" t="n">
        <v>0</v>
      </c>
      <c r="O148" s="727" t="n">
        <f aca="false" t="array" ref="O148:O148">SUM(IF(MONTH($DX$12:$DX$110)&amp;YEAR($DX$12:$DX$110)=MONTH($A148)&amp;$L$141,$DY$12:$DY$110))+SUM(IF(MONTH(OthNewDeals!$B$8:$B$46)&amp;YEAR(OthNewDeals!$B$8:$B$46)&amp;OthNewDeals!$BK$8:$BK$46=MONTH($A148)&amp;$L$141&amp;$DK$141,OthNewDeals!$G$8:$G$46))</f>
        <v>0</v>
      </c>
      <c r="P148" s="727" t="n">
        <f aca="false">SUM(L148:O148)</f>
        <v>0</v>
      </c>
      <c r="Q148" s="727" t="n">
        <f aca="false" t="array" ref="Q148:Q148">SUM(IF(MONTH($DP$12:$DP$176)=MONTH($A148),$DQ$12:$DQ$176))</f>
        <v>0</v>
      </c>
      <c r="R148" s="727" t="n">
        <f aca="false" t="array" ref="R148:R148">SUM(IF(MONTH($CB$56:$CB$91)=MONTH($A148),$CF$56:$CF$91))+SUM(IF(MONTH($DP$12:$DP$176)=MONTH($A148),$DR$12:$DR$176))</f>
        <v>-476292.653320313</v>
      </c>
      <c r="S148" s="727" t="n">
        <v>0</v>
      </c>
      <c r="T148" s="722"/>
      <c r="U148" s="722"/>
      <c r="V148" s="727" t="n">
        <f aca="false" t="array" ref="V148:V148">SUM(IF(MONTH($DX$12:$DX$119)=MONTH($A148),$DY$12:$DY$119))+SUM(IF(MONTH(OthNewDeals!$B$8:$B$46)&amp;OthNewDeals!$BK$8:$BK$46=MONTH($A148)&amp;$DK$141,OthNewDeals!$G$8:$G$46))</f>
        <v>93232.96484375</v>
      </c>
      <c r="W148" s="723" t="n">
        <f aca="false">SUM(Q148:V148)</f>
        <v>-383059.688476563</v>
      </c>
      <c r="X148" s="726" t="n">
        <v>36678</v>
      </c>
      <c r="Y148" s="727" t="n">
        <f aca="false">V148+S148+R148</f>
        <v>-383059.688476563</v>
      </c>
      <c r="Z148" s="82"/>
      <c r="AA148" s="730"/>
      <c r="AB148" s="732"/>
      <c r="AC148" s="0"/>
      <c r="AD148" s="46"/>
      <c r="AE148" s="46"/>
      <c r="AF148" s="46"/>
      <c r="AG148" s="46"/>
      <c r="AH148" s="46"/>
      <c r="AI148" s="46"/>
      <c r="DL148" s="533" t="n">
        <v>39873</v>
      </c>
      <c r="DM148" s="459" t="n">
        <v>22</v>
      </c>
      <c r="DP148" s="534" t="n">
        <f aca="false">[1]Cinergy!$D139</f>
        <v>40360</v>
      </c>
      <c r="DQ148" s="234" t="n">
        <f aca="false">[1]OPPD_NPPD!$O139+[1]NSP!$O139</f>
        <v>0</v>
      </c>
      <c r="DR148" s="234" t="n">
        <f aca="false">[1]COMED!$O139</f>
        <v>-20346.2890625</v>
      </c>
      <c r="DS148" s="234" t="n">
        <f aca="false">DQ148+DR148</f>
        <v>-20346.2890625</v>
      </c>
      <c r="DT148" s="234" t="n">
        <f aca="false">SUM([1]OPPD_NPPD!$P139:$R139)+SUM([1]NSP!$P139:$R139)</f>
        <v>0</v>
      </c>
      <c r="DU148" s="234" t="n">
        <f aca="false">SUM([1]COMED!$P139:$R139)</f>
        <v>-12353.1040039063</v>
      </c>
      <c r="DV148" s="234" t="n">
        <f aca="false">DT148+DU148</f>
        <v>-12353.1040039063</v>
      </c>
      <c r="DW148" s="535"/>
      <c r="DX148" s="536" t="n">
        <f aca="false">[1]OtherPosn!$D139</f>
        <v>37408</v>
      </c>
      <c r="DY148" s="234" t="n">
        <f aca="false">[1]OtherPosn!$N139</f>
        <v>93090.8046875</v>
      </c>
      <c r="DZ148" s="234" t="n">
        <f aca="false">SUM([1]OtherPosn!$O139:$P139)</f>
        <v>-38787.8344726563</v>
      </c>
    </row>
    <row r="149" customFormat="false" ht="15" hidden="false" customHeight="false" outlineLevel="0" collapsed="false">
      <c r="A149" s="726" t="n">
        <v>36708</v>
      </c>
      <c r="B149" s="727" t="n">
        <f aca="false" t="array" ref="B149:B149">SUM(IF(MONTH($DP$12:$DP$89)&amp;YEAR($DP$12:$DP$89)=MONTH($A149)&amp;$B$141,$DQ$12:$DQ$89))</f>
        <v>-17011.126953125</v>
      </c>
      <c r="C149" s="727" t="n">
        <f aca="false" t="array" ref="C149:C149">SUM(IF(MONTH($DP$12:$DP$89)&amp;YEAR($DP$12:$DP$89)=MONTH($A149)&amp;$B$141,$DR$12:$DR$89))+SUM(IF(MONTH($CB$56:$CB$91)&amp;YEAR($CB$56:$CB$91)=MONTH($A149)&amp;$B$141,$CF$56:$CF$91))</f>
        <v>-289189.15625</v>
      </c>
      <c r="D149" s="727" t="n">
        <v>0</v>
      </c>
      <c r="E149" s="727" t="n">
        <f aca="false" t="array" ref="E149:E149">SUM(IF(MONTH($DX$12:$DX$110)&amp;YEAR($DX$12:$DX$110)=MONTH($A149)&amp;$B$141,$DY$12:$DY$110))+SUM(IF(MONTH(OthNewDeals!$B$8:$B$46)&amp;YEAR(OthNewDeals!$B$8:$B$46)&amp;OthNewDeals!$BK$8:$BK$46=MONTH($A149)&amp;$B$141&amp;$DK$141,OthNewDeals!$G$8:$G$46))</f>
        <v>664344.7109375</v>
      </c>
      <c r="F149" s="727" t="n">
        <f aca="false">SUM(B149:E149)</f>
        <v>358144.427734375</v>
      </c>
      <c r="G149" s="727" t="n">
        <f aca="false" t="array" ref="G149:G149">SUM(IF(MONTH($DP$12:$DP$89)&amp;YEAR($DP$12:$DP$89)=MONTH($A149)&amp;$G$141,$DQ$12:$DQ$89))</f>
        <v>0</v>
      </c>
      <c r="H149" s="727" t="n">
        <f aca="false" t="array" ref="H149:H149">SUM(IF(MONTH($DP$12:$DP$89)&amp;YEAR($DP$12:$DP$89)=MONTH($A149)&amp;$G$141,$DR$12:$DR$89))+SUM(IF(MONTH($CB$56:$CB$91)&amp;YEAR($CB$56:$CB$91)=MONTH($A149)&amp;$G$141,$CF$56:$CF$91))</f>
        <v>-292519.34375</v>
      </c>
      <c r="I149" s="727" t="n">
        <v>0</v>
      </c>
      <c r="J149" s="727" t="n">
        <f aca="false" t="array" ref="J149:J149">SUM(IF(MONTH($DX$12:$DX$110)&amp;YEAR($DX$12:$DX$110)=MONTH($A149)&amp;$G$141,$DY$12:$DY$110))+SUM(IF(MONTH(OthNewDeals!$B$8:$B$46)&amp;YEAR(OthNewDeals!$B$8:$B$46)&amp;OthNewDeals!$BK$8:$BK$46=MONTH($A149)&amp;$G$141&amp;$DK$141,OthNewDeals!$G$8:$G$46))</f>
        <v>29.654296875</v>
      </c>
      <c r="K149" s="727" t="n">
        <f aca="false">SUM(G149:J149)</f>
        <v>-292489.689453125</v>
      </c>
      <c r="L149" s="727" t="n">
        <f aca="false" t="array" ref="L149:L149">SUM(IF(MONTH($DP$12:$DP$89)&amp;YEAR($DP$12:$DP$89)=MONTH($A149)&amp;$L$141,$DQ$12:$DQ$89))</f>
        <v>0</v>
      </c>
      <c r="M149" s="727" t="n">
        <f aca="false" t="array" ref="M149:M149">SUM(IF(MONTH($DP$12:$DP$89)&amp;YEAR($DP$12:$DP$89)=MONTH($A149)&amp;$L$141,$DR$12:$DR$89))+SUM(IF(MONTH($CB$56:$CB$91)&amp;YEAR($CB$56:$CB$91)=MONTH($A149)&amp;$L$141,$CF$56:$CF$91))</f>
        <v>0</v>
      </c>
      <c r="N149" s="727" t="n">
        <v>0</v>
      </c>
      <c r="O149" s="727" t="n">
        <f aca="false" t="array" ref="O149:O149">SUM(IF(MONTH($DX$12:$DX$110)&amp;YEAR($DX$12:$DX$110)=MONTH($A149)&amp;$L$141,$DY$12:$DY$110))+SUM(IF(MONTH(OthNewDeals!$B$8:$B$46)&amp;YEAR(OthNewDeals!$B$8:$B$46)&amp;OthNewDeals!$BK$8:$BK$46=MONTH($A149)&amp;$L$141&amp;$DK$141,OthNewDeals!$G$8:$G$46))</f>
        <v>0</v>
      </c>
      <c r="P149" s="727" t="n">
        <f aca="false">SUM(L149:O149)</f>
        <v>0</v>
      </c>
      <c r="Q149" s="727" t="n">
        <f aca="false" t="array" ref="Q149:Q149">SUM(IF(MONTH($DP$12:$DP$176)=MONTH($A149),$DQ$12:$DQ$176))</f>
        <v>-17011.126953125</v>
      </c>
      <c r="R149" s="727" t="n">
        <f aca="false" t="array" ref="R149:R149">SUM(IF(MONTH($CB$56:$CB$91)=MONTH($A149),$CF$56:$CF$91))+SUM(IF(MONTH($DP$12:$DP$176)=MONTH($A149),$DR$12:$DR$176))</f>
        <v>-795753.173828125</v>
      </c>
      <c r="S149" s="727" t="n">
        <v>0</v>
      </c>
      <c r="T149" s="722"/>
      <c r="U149" s="722"/>
      <c r="V149" s="727" t="n">
        <f aca="false" t="array" ref="V149:V149">SUM(IF(MONTH($DX$12:$DX$119)=MONTH($A149),$DY$12:$DY$119))+SUM(IF(MONTH(OthNewDeals!$B$8:$B$46)&amp;OthNewDeals!$BK$8:$BK$46=MONTH($A149)&amp;$DK$141,OthNewDeals!$G$8:$G$46))</f>
        <v>664374.365234375</v>
      </c>
      <c r="W149" s="723" t="n">
        <f aca="false">SUM(Q149:V149)</f>
        <v>-148389.935546875</v>
      </c>
      <c r="X149" s="726" t="n">
        <v>36708</v>
      </c>
      <c r="Y149" s="727" t="n">
        <f aca="false">V149+S149+R149</f>
        <v>-131378.80859375</v>
      </c>
      <c r="Z149" s="724"/>
      <c r="AA149" s="725"/>
      <c r="AB149" s="731"/>
      <c r="AC149" s="0"/>
      <c r="AD149" s="46"/>
      <c r="AE149" s="46"/>
      <c r="AF149" s="46"/>
      <c r="AG149" s="46"/>
      <c r="AH149" s="46"/>
      <c r="AI149" s="46"/>
      <c r="DL149" s="533" t="n">
        <v>39904</v>
      </c>
      <c r="DM149" s="459" t="n">
        <v>22</v>
      </c>
      <c r="DP149" s="534" t="n">
        <f aca="false">[1]Cinergy!$D140</f>
        <v>40391</v>
      </c>
      <c r="DQ149" s="234" t="n">
        <f aca="false">[1]OPPD_NPPD!$O140+[1]NSP!$O140</f>
        <v>0</v>
      </c>
      <c r="DR149" s="234" t="n">
        <f aca="false">[1]COMED!$O140</f>
        <v>-21199.93359375</v>
      </c>
      <c r="DS149" s="234" t="n">
        <f aca="false">DQ149+DR149</f>
        <v>-21199.93359375</v>
      </c>
      <c r="DT149" s="234" t="n">
        <f aca="false">SUM([1]OPPD_NPPD!$P140:$R140)+SUM([1]NSP!$P140:$R140)</f>
        <v>0</v>
      </c>
      <c r="DU149" s="234" t="n">
        <f aca="false">SUM([1]COMED!$P140:$R140)</f>
        <v>-11804.5093994141</v>
      </c>
      <c r="DV149" s="234" t="n">
        <f aca="false">DT149+DU149</f>
        <v>-11804.5093994141</v>
      </c>
      <c r="DW149" s="535"/>
      <c r="DX149" s="536" t="n">
        <f aca="false">[1]OtherPosn!$D140</f>
        <v>37438</v>
      </c>
      <c r="DY149" s="234" t="n">
        <f aca="false">[1]OtherPosn!$N140</f>
        <v>425278.15625</v>
      </c>
      <c r="DZ149" s="234" t="n">
        <f aca="false">SUM([1]OtherPosn!$O140:$P140)</f>
        <v>-37888.4184570313</v>
      </c>
    </row>
    <row r="150" customFormat="false" ht="15.75" hidden="false" customHeight="false" outlineLevel="0" collapsed="false">
      <c r="A150" s="726" t="n">
        <v>36739</v>
      </c>
      <c r="B150" s="727" t="n">
        <f aca="false" t="array" ref="B150:B150">SUM(IF(MONTH($DP$12:$DP$89)&amp;YEAR($DP$12:$DP$89)=MONTH($A150)&amp;$B$141,$DQ$12:$DQ$89))</f>
        <v>-16954.423828125</v>
      </c>
      <c r="C150" s="727" t="n">
        <f aca="false" t="array" ref="C150:C150">SUM(IF(MONTH($DP$12:$DP$89)&amp;YEAR($DP$12:$DP$89)=MONTH($A150)&amp;$B$141,$DR$12:$DR$89))+SUM(IF(MONTH($CB$56:$CB$91)&amp;YEAR($CB$56:$CB$91)=MONTH($A150)&amp;$B$141,$CF$56:$CF$91))</f>
        <v>-288225.1875</v>
      </c>
      <c r="D150" s="727" t="n">
        <v>0</v>
      </c>
      <c r="E150" s="727" t="n">
        <f aca="false" t="array" ref="E150:E150">SUM(IF(MONTH($DX$12:$DX$110)&amp;YEAR($DX$12:$DX$110)=MONTH($A150)&amp;$B$141,$DY$12:$DY$110))+SUM(IF(MONTH(OthNewDeals!$B$8:$B$46)&amp;YEAR(OthNewDeals!$B$8:$B$46)&amp;OthNewDeals!$BK$8:$BK$46=MONTH($A150)&amp;$B$141&amp;$DK$141,OthNewDeals!$G$8:$G$46))</f>
        <v>662015.390625</v>
      </c>
      <c r="F150" s="727" t="n">
        <f aca="false">SUM(B150:E150)</f>
        <v>356835.779296875</v>
      </c>
      <c r="G150" s="727" t="n">
        <f aca="false" t="array" ref="G150:G150">SUM(IF(MONTH($DP$12:$DP$89)&amp;YEAR($DP$12:$DP$89)=MONTH($A150)&amp;$G$141,$DQ$12:$DQ$89))</f>
        <v>0</v>
      </c>
      <c r="H150" s="727" t="n">
        <f aca="false" t="array" ref="H150:H150">SUM(IF(MONTH($DP$12:$DP$89)&amp;YEAR($DP$12:$DP$89)=MONTH($A150)&amp;$G$141,$DR$12:$DR$89))+SUM(IF(MONTH($CB$56:$CB$91)&amp;YEAR($CB$56:$CB$91)=MONTH($A150)&amp;$G$141,$CF$56:$CF$91))</f>
        <v>-277999.78125</v>
      </c>
      <c r="I150" s="727" t="n">
        <v>0</v>
      </c>
      <c r="J150" s="727" t="n">
        <f aca="false" t="array" ref="J150:J150">SUM(IF(MONTH($DX$12:$DX$110)&amp;YEAR($DX$12:$DX$110)=MONTH($A150)&amp;$G$141,$DY$12:$DY$110))+SUM(IF(MONTH(OthNewDeals!$B$8:$B$46)&amp;YEAR(OthNewDeals!$B$8:$B$46)&amp;OthNewDeals!$BK$8:$BK$46=MONTH($A150)&amp;$G$141&amp;$DK$141,OthNewDeals!$G$8:$G$46))</f>
        <v>26.3671875</v>
      </c>
      <c r="K150" s="727" t="n">
        <f aca="false">SUM(G150:J150)</f>
        <v>-277973.4140625</v>
      </c>
      <c r="L150" s="727" t="n">
        <f aca="false" t="array" ref="L150:L150">SUM(IF(MONTH($DP$12:$DP$89)&amp;YEAR($DP$12:$DP$89)=MONTH($A150)&amp;$L$141,$DQ$12:$DQ$89))</f>
        <v>0</v>
      </c>
      <c r="M150" s="727" t="n">
        <f aca="false" t="array" ref="M150:M150">SUM(IF(MONTH($DP$12:$DP$89)&amp;YEAR($DP$12:$DP$89)=MONTH($A150)&amp;$L$141,$DR$12:$DR$89))+SUM(IF(MONTH($CB$56:$CB$91)&amp;YEAR($CB$56:$CB$91)=MONTH($A150)&amp;$L$141,$CF$56:$CF$91))</f>
        <v>0</v>
      </c>
      <c r="N150" s="727" t="n">
        <v>0</v>
      </c>
      <c r="O150" s="727" t="n">
        <f aca="false" t="array" ref="O150:O150">SUM(IF(MONTH($DX$12:$DX$110)&amp;YEAR($DX$12:$DX$110)=MONTH($A150)&amp;$L$141,$DY$12:$DY$110))+SUM(IF(MONTH(OthNewDeals!$B$8:$B$46)&amp;YEAR(OthNewDeals!$B$8:$B$46)&amp;OthNewDeals!$BK$8:$BK$46=MONTH($A150)&amp;$L$141&amp;$DK$141,OthNewDeals!$G$8:$G$46))</f>
        <v>0</v>
      </c>
      <c r="P150" s="727" t="n">
        <f aca="false">SUM(L150:O150)</f>
        <v>0</v>
      </c>
      <c r="Q150" s="727" t="n">
        <f aca="false" t="array" ref="Q150:Q150">SUM(IF(MONTH($DP$12:$DP$176)=MONTH($A150),$DQ$12:$DQ$176))</f>
        <v>-16954.423828125</v>
      </c>
      <c r="R150" s="727" t="n">
        <f aca="false" t="array" ref="R150:R150">SUM(IF(MONTH($CB$56:$CB$91)=MONTH($A150),$CF$56:$CF$91))+SUM(IF(MONTH($DP$12:$DP$176)=MONTH($A150),$DR$12:$DR$176))</f>
        <v>-791687.356445313</v>
      </c>
      <c r="S150" s="727" t="n">
        <v>0</v>
      </c>
      <c r="T150" s="722"/>
      <c r="U150" s="722"/>
      <c r="V150" s="727" t="n">
        <f aca="false" t="array" ref="V150:V150">SUM(IF(MONTH($DX$12:$DX$119)=MONTH($A150),$DY$12:$DY$119))+SUM(IF(MONTH(OthNewDeals!$B$8:$B$46)&amp;OthNewDeals!$BK$8:$BK$46=MONTH($A150)&amp;$DK$141,OthNewDeals!$G$8:$G$46))</f>
        <v>662041.7578125</v>
      </c>
      <c r="W150" s="723" t="n">
        <f aca="false">SUM(Q150:V150)</f>
        <v>-146600.022460938</v>
      </c>
      <c r="X150" s="726" t="n">
        <v>36739</v>
      </c>
      <c r="Y150" s="727" t="n">
        <f aca="false">V150+S150+R150</f>
        <v>-129645.598632813</v>
      </c>
      <c r="Z150" s="728" t="s">
        <v>143</v>
      </c>
      <c r="AA150" s="729" t="n">
        <f aca="false">SUM(W149:W151)</f>
        <v>-487373.720703125</v>
      </c>
      <c r="AB150" s="729" t="n">
        <f aca="false">R149+R150+R151+S149+S150+S151</f>
        <v>-1617419.01367188</v>
      </c>
      <c r="AC150" s="0"/>
      <c r="AD150" s="46"/>
      <c r="AE150" s="46"/>
      <c r="AF150" s="46"/>
      <c r="AG150" s="46"/>
      <c r="AH150" s="46"/>
      <c r="AI150" s="46"/>
      <c r="DL150" s="533" t="n">
        <v>39934</v>
      </c>
      <c r="DM150" s="459" t="n">
        <v>20</v>
      </c>
      <c r="DP150" s="534" t="n">
        <f aca="false">[1]Cinergy!$D141</f>
        <v>40422</v>
      </c>
      <c r="DQ150" s="234" t="n">
        <f aca="false">[1]OPPD_NPPD!$O141+[1]NSP!$O141</f>
        <v>0</v>
      </c>
      <c r="DR150" s="234" t="n">
        <f aca="false">[1]COMED!$O141</f>
        <v>-20130.1875</v>
      </c>
      <c r="DS150" s="234" t="n">
        <f aca="false">DQ150+DR150</f>
        <v>-20130.1875</v>
      </c>
      <c r="DT150" s="234" t="n">
        <f aca="false">SUM([1]OPPD_NPPD!$P141:$R141)+SUM([1]NSP!$P141:$R141)</f>
        <v>0</v>
      </c>
      <c r="DU150" s="234" t="n">
        <f aca="false">SUM([1]COMED!$P141:$R141)</f>
        <v>-11502.9645996094</v>
      </c>
      <c r="DV150" s="234" t="n">
        <f aca="false">DT150+DU150</f>
        <v>-11502.9645996094</v>
      </c>
      <c r="DW150" s="535"/>
      <c r="DX150" s="536" t="n">
        <f aca="false">[1]OtherPosn!$D141</f>
        <v>37469</v>
      </c>
      <c r="DY150" s="234" t="n">
        <f aca="false">[1]OtherPosn!$N141</f>
        <v>423860.59375</v>
      </c>
      <c r="DZ150" s="234" t="n">
        <f aca="false">SUM([1]OtherPosn!$O141:$P141)</f>
        <v>-37762.1235351563</v>
      </c>
    </row>
    <row r="151" customFormat="false" ht="16.5" hidden="false" customHeight="false" outlineLevel="0" collapsed="false">
      <c r="A151" s="726" t="n">
        <v>36770</v>
      </c>
      <c r="B151" s="727" t="n">
        <f aca="false" t="array" ref="B151:B151">SUM(IF(MONTH($DP$12:$DP$89)&amp;YEAR($DP$12:$DP$89)=MONTH($A151)&amp;$B$141,$DQ$12:$DQ$89))</f>
        <v>0</v>
      </c>
      <c r="C151" s="727" t="n">
        <f aca="false" t="array" ref="C151:C151">SUM(IF(MONTH($DP$12:$DP$89)&amp;YEAR($DP$12:$DP$89)=MONTH($A151)&amp;$B$141,$DR$12:$DR$89))+SUM(IF(MONTH($CB$56:$CB$91)&amp;YEAR($CB$56:$CB$91)=MONTH($A151)&amp;$B$141,$CF$56:$CF$91))</f>
        <v>92168.7890625</v>
      </c>
      <c r="D151" s="727" t="n">
        <v>0</v>
      </c>
      <c r="E151" s="727" t="n">
        <f aca="false" t="array" ref="E151:E151">SUM(IF(MONTH($DX$12:$DX$110)&amp;YEAR($DX$12:$DX$110)=MONTH($A151)&amp;$B$141,$DY$12:$DY$110))+SUM(IF(MONTH(OthNewDeals!$B$8:$B$46)&amp;YEAR(OthNewDeals!$B$8:$B$46)&amp;OthNewDeals!$BK$8:$BK$46=MONTH($A151)&amp;$B$141&amp;$DK$141,OthNewDeals!$G$8:$G$46))</f>
        <v>76920.67578125</v>
      </c>
      <c r="F151" s="727" t="n">
        <f aca="false">SUM(B151:E151)</f>
        <v>169089.46484375</v>
      </c>
      <c r="G151" s="727" t="n">
        <f aca="false" t="array" ref="G151:G151">SUM(IF(MONTH($DP$12:$DP$89)&amp;YEAR($DP$12:$DP$89)=MONTH($A151)&amp;$G$141,$DQ$12:$DQ$89))</f>
        <v>0</v>
      </c>
      <c r="H151" s="727" t="n">
        <f aca="false" t="array" ref="H151:H151">SUM(IF(MONTH($DP$12:$DP$89)&amp;YEAR($DP$12:$DP$89)=MONTH($A151)&amp;$G$141,$DR$12:$DR$89))+SUM(IF(MONTH($CB$56:$CB$91)&amp;YEAR($CB$56:$CB$91)=MONTH($A151)&amp;$G$141,$CF$56:$CF$91))</f>
        <v>-153781.765625</v>
      </c>
      <c r="I151" s="727" t="n">
        <v>0</v>
      </c>
      <c r="J151" s="727" t="n">
        <f aca="false" t="array" ref="J151:J151">SUM(IF(MONTH($DX$12:$DX$110)&amp;YEAR($DX$12:$DX$110)=MONTH($A151)&amp;$G$141,$DY$12:$DY$110))+SUM(IF(MONTH(OthNewDeals!$B$8:$B$46)&amp;YEAR(OthNewDeals!$B$8:$B$46)&amp;OthNewDeals!$BK$8:$BK$46=MONTH($A151)&amp;$G$141&amp;$DK$141,OthNewDeals!$G$8:$G$46))</f>
        <v>28.7509765625</v>
      </c>
      <c r="K151" s="727" t="n">
        <f aca="false">SUM(G151:J151)</f>
        <v>-153753.014648438</v>
      </c>
      <c r="L151" s="727" t="n">
        <f aca="false" t="array" ref="L151:L151">SUM(IF(MONTH($DP$12:$DP$89)&amp;YEAR($DP$12:$DP$89)=MONTH($A151)&amp;$L$141,$DQ$12:$DQ$89))</f>
        <v>0</v>
      </c>
      <c r="M151" s="727" t="n">
        <f aca="false" t="array" ref="M151:M151">SUM(IF(MONTH($DP$12:$DP$89)&amp;YEAR($DP$12:$DP$89)=MONTH($A151)&amp;$L$141,$DR$12:$DR$89))+SUM(IF(MONTH($CB$56:$CB$91)&amp;YEAR($CB$56:$CB$91)=MONTH($A151)&amp;$L$141,$CF$56:$CF$91))</f>
        <v>0</v>
      </c>
      <c r="N151" s="727" t="n">
        <v>0</v>
      </c>
      <c r="O151" s="727" t="n">
        <f aca="false" t="array" ref="O151:O151">SUM(IF(MONTH($DX$12:$DX$110)&amp;YEAR($DX$12:$DX$110)=MONTH($A151)&amp;$L$141,$DY$12:$DY$110))+SUM(IF(MONTH(OthNewDeals!$B$8:$B$46)&amp;YEAR(OthNewDeals!$B$8:$B$46)&amp;OthNewDeals!$BK$8:$BK$46=MONTH($A151)&amp;$L$141&amp;$DK$141,OthNewDeals!$G$8:$G$46))</f>
        <v>0</v>
      </c>
      <c r="P151" s="727" t="n">
        <f aca="false">SUM(L151:O151)</f>
        <v>0</v>
      </c>
      <c r="Q151" s="727" t="n">
        <f aca="false" t="array" ref="Q151:Q151">SUM(IF(MONTH($DP$12:$DP$176)=MONTH($A151),$DQ$12:$DQ$176))</f>
        <v>21904.3408203125</v>
      </c>
      <c r="R151" s="727" t="n">
        <f aca="false" t="array" ref="R151:R151">SUM(IF(MONTH($CB$56:$CB$91)=MONTH($A151),$CF$56:$CF$91))+SUM(IF(MONTH($DP$12:$DP$176)=MONTH($A151),$DR$12:$DR$176))</f>
        <v>-29978.4833984375</v>
      </c>
      <c r="S151" s="727" t="n">
        <v>0</v>
      </c>
      <c r="T151" s="722"/>
      <c r="U151" s="722"/>
      <c r="V151" s="727" t="n">
        <f aca="false" t="array" ref="V151:V151">SUM(IF(MONTH($DX$12:$DX$119)=MONTH($A151),$DY$12:$DY$119))+SUM(IF(MONTH(OthNewDeals!$B$8:$B$46)&amp;OthNewDeals!$BK$8:$BK$46=MONTH($A151)&amp;$DK$141,OthNewDeals!$G$8:$G$46))</f>
        <v>-184309.620117188</v>
      </c>
      <c r="W151" s="723" t="n">
        <f aca="false">SUM(Q151:V151)</f>
        <v>-192383.762695313</v>
      </c>
      <c r="X151" s="726" t="n">
        <v>36770</v>
      </c>
      <c r="Y151" s="727" t="n">
        <f aca="false">V151+S151+R151</f>
        <v>-214288.103515625</v>
      </c>
      <c r="Z151" s="82"/>
      <c r="AA151" s="730"/>
      <c r="AB151" s="732"/>
      <c r="AC151" s="0"/>
      <c r="AD151" s="46"/>
      <c r="AE151" s="46"/>
      <c r="AF151" s="46"/>
      <c r="AG151" s="46"/>
      <c r="AH151" s="46"/>
      <c r="AI151" s="46"/>
      <c r="DL151" s="533" t="n">
        <v>39965</v>
      </c>
      <c r="DM151" s="459" t="n">
        <v>22</v>
      </c>
      <c r="DP151" s="534" t="n">
        <f aca="false">[1]Cinergy!$D142</f>
        <v>40452</v>
      </c>
      <c r="DQ151" s="234" t="n">
        <f aca="false">[1]OPPD_NPPD!$O142+[1]NSP!$O142</f>
        <v>0</v>
      </c>
      <c r="DR151" s="234" t="n">
        <f aca="false">[1]COMED!$O142</f>
        <v>-20020.875</v>
      </c>
      <c r="DS151" s="234" t="n">
        <f aca="false">DQ151+DR151</f>
        <v>-20020.875</v>
      </c>
      <c r="DT151" s="234" t="n">
        <f aca="false">SUM([1]OPPD_NPPD!$P142:$R142)+SUM([1]NSP!$P142:$R142)</f>
        <v>0</v>
      </c>
      <c r="DU151" s="234" t="n">
        <f aca="false">SUM([1]COMED!$P142:$R142)</f>
        <v>-12185.32421875</v>
      </c>
      <c r="DV151" s="234" t="n">
        <f aca="false">DT151+DU151</f>
        <v>-12185.32421875</v>
      </c>
      <c r="DW151" s="535"/>
      <c r="DX151" s="536" t="n">
        <f aca="false">[1]OtherPosn!$D142</f>
        <v>37500</v>
      </c>
      <c r="DY151" s="234" t="n">
        <f aca="false">[1]OtherPosn!$N142</f>
        <v>15361.46484375</v>
      </c>
      <c r="DZ151" s="234" t="n">
        <f aca="false">SUM([1]OtherPosn!$O142:$P142)</f>
        <v>-38403.662109375</v>
      </c>
    </row>
    <row r="152" customFormat="false" ht="15" hidden="false" customHeight="false" outlineLevel="0" collapsed="false">
      <c r="A152" s="726" t="n">
        <v>36800</v>
      </c>
      <c r="B152" s="727" t="n">
        <f aca="false" t="array" ref="B152:B152">SUM(IF(MONTH($DP$12:$DP$89)&amp;YEAR($DP$12:$DP$89)=MONTH($A152)&amp;$B$141,$DQ$12:$DQ$89))</f>
        <v>0</v>
      </c>
      <c r="C152" s="727" t="n">
        <f aca="false" t="array" ref="C152:C152">SUM(IF(MONTH($DP$12:$DP$89)&amp;YEAR($DP$12:$DP$89)=MONTH($A152)&amp;$B$141,$DR$12:$DR$89))+SUM(IF(MONTH($CB$56:$CB$91)&amp;YEAR($CB$56:$CB$91)=MONTH($A152)&amp;$B$141,$CF$56:$CF$91))</f>
        <v>-176028.328125</v>
      </c>
      <c r="D152" s="727" t="n">
        <v>0</v>
      </c>
      <c r="E152" s="727" t="n">
        <f aca="false" t="array" ref="E152:E152">SUM(IF(MONTH($DX$12:$DX$110)&amp;YEAR($DX$12:$DX$110)=MONTH($A152)&amp;$B$141,$DY$12:$DY$110))+SUM(IF(MONTH(OthNewDeals!$B$8:$B$46)&amp;YEAR(OthNewDeals!$B$8:$B$46)&amp;OthNewDeals!$BK$8:$BK$46=MONTH($A152)&amp;$B$141&amp;$DK$141,OthNewDeals!$G$8:$G$46))</f>
        <v>158663.76171875</v>
      </c>
      <c r="F152" s="727" t="n">
        <f aca="false">SUM(B152:E152)</f>
        <v>-17364.56640625</v>
      </c>
      <c r="G152" s="727" t="n">
        <f aca="false" t="array" ref="G152:G152">SUM(IF(MONTH($DP$12:$DP$89)&amp;YEAR($DP$12:$DP$89)=MONTH($A152)&amp;$G$141,$DQ$12:$DQ$89))</f>
        <v>0</v>
      </c>
      <c r="H152" s="727" t="n">
        <f aca="false" t="array" ref="H152:H152">SUM(IF(MONTH($DP$12:$DP$89)&amp;YEAR($DP$12:$DP$89)=MONTH($A152)&amp;$G$141,$DR$12:$DR$89))+SUM(IF(MONTH($CB$56:$CB$91)&amp;YEAR($CB$56:$CB$91)=MONTH($A152)&amp;$G$141,$CF$56:$CF$91))</f>
        <v>-167670.328125</v>
      </c>
      <c r="I152" s="727" t="n">
        <v>0</v>
      </c>
      <c r="J152" s="727" t="n">
        <f aca="false" t="array" ref="J152:J152">SUM(IF(MONTH($DX$12:$DX$110)&amp;YEAR($DX$12:$DX$110)=MONTH($A152)&amp;$G$141,$DY$12:$DY$110))+SUM(IF(MONTH(OthNewDeals!$B$8:$B$46)&amp;YEAR(OthNewDeals!$B$8:$B$46)&amp;OthNewDeals!$BK$8:$BK$46=MONTH($A152)&amp;$G$141&amp;$DK$141,OthNewDeals!$G$8:$G$46))</f>
        <v>31.869140625</v>
      </c>
      <c r="K152" s="727" t="n">
        <f aca="false">SUM(G152:J152)</f>
        <v>-167638.458984375</v>
      </c>
      <c r="L152" s="727" t="n">
        <f aca="false" t="array" ref="L152:L152">SUM(IF(MONTH($DP$12:$DP$89)&amp;YEAR($DP$12:$DP$89)=MONTH($A152)&amp;$L$141,$DQ$12:$DQ$89))</f>
        <v>0</v>
      </c>
      <c r="M152" s="727" t="n">
        <f aca="false" t="array" ref="M152:M152">SUM(IF(MONTH($DP$12:$DP$89)&amp;YEAR($DP$12:$DP$89)=MONTH($A152)&amp;$L$141,$DR$12:$DR$89))+SUM(IF(MONTH($CB$56:$CB$91)&amp;YEAR($CB$56:$CB$91)=MONTH($A152)&amp;$L$141,$CF$56:$CF$91))</f>
        <v>0</v>
      </c>
      <c r="N152" s="727" t="n">
        <v>0</v>
      </c>
      <c r="O152" s="727" t="n">
        <f aca="false" t="array" ref="O152:O152">SUM(IF(MONTH($DX$12:$DX$110)&amp;YEAR($DX$12:$DX$110)=MONTH($A152)&amp;$L$141,$DY$12:$DY$110))+SUM(IF(MONTH(OthNewDeals!$B$8:$B$46)&amp;YEAR(OthNewDeals!$B$8:$B$46)&amp;OthNewDeals!$BK$8:$BK$46=MONTH($A152)&amp;$L$141&amp;$DK$141,OthNewDeals!$G$8:$G$46))</f>
        <v>0</v>
      </c>
      <c r="P152" s="727" t="n">
        <f aca="false">SUM(L152:O152)</f>
        <v>0</v>
      </c>
      <c r="Q152" s="727" t="n">
        <f aca="false" t="array" ref="Q152:Q152">SUM(IF(MONTH($DP$12:$DP$176)=MONTH($A152),$DQ$12:$DQ$176))</f>
        <v>36530.3125</v>
      </c>
      <c r="R152" s="727" t="n">
        <f aca="false" t="array" ref="R152:R152">SUM(IF(MONTH($CB$56:$CB$91)=MONTH($A152),$CF$56:$CF$91))+SUM(IF(MONTH($DP$12:$DP$176)=MONTH($A152),$DR$12:$DR$176))</f>
        <v>-469175.718132296</v>
      </c>
      <c r="S152" s="727" t="n">
        <v>0</v>
      </c>
      <c r="T152" s="722"/>
      <c r="U152" s="722"/>
      <c r="V152" s="727" t="n">
        <f aca="false" t="array" ref="V152:V152">SUM(IF(MONTH($DX$12:$DX$119)=MONTH($A152),$DY$12:$DY$119))+SUM(IF(MONTH(OthNewDeals!$B$8:$B$46)&amp;OthNewDeals!$BK$8:$BK$46=MONTH($A152)&amp;$DK$141,OthNewDeals!$G$8:$G$46))</f>
        <v>213559.652832031</v>
      </c>
      <c r="W152" s="723" t="n">
        <f aca="false">SUM(Q152:V152)</f>
        <v>-219085.752800264</v>
      </c>
      <c r="X152" s="726" t="n">
        <v>36800</v>
      </c>
      <c r="Y152" s="727" t="n">
        <f aca="false">V152+S152+R152</f>
        <v>-255616.065300264</v>
      </c>
      <c r="Z152" s="724"/>
      <c r="AA152" s="725"/>
      <c r="AB152" s="731"/>
      <c r="AC152" s="0"/>
      <c r="AD152" s="46"/>
      <c r="AE152" s="46"/>
      <c r="AF152" s="46"/>
      <c r="AG152" s="46"/>
      <c r="AH152" s="46"/>
      <c r="AI152" s="46"/>
      <c r="DL152" s="533" t="n">
        <v>39995</v>
      </c>
      <c r="DM152" s="459" t="n">
        <v>23</v>
      </c>
      <c r="DP152" s="534" t="n">
        <f aca="false">[1]Cinergy!$D143</f>
        <v>40483</v>
      </c>
      <c r="DQ152" s="234" t="n">
        <f aca="false">[1]OPPD_NPPD!$O143+[1]NSP!$O143</f>
        <v>0</v>
      </c>
      <c r="DR152" s="234" t="n">
        <f aca="false">[1]COMED!$O143</f>
        <v>-19915.419921875</v>
      </c>
      <c r="DS152" s="234" t="n">
        <f aca="false">DQ152+DR152</f>
        <v>-19915.419921875</v>
      </c>
      <c r="DT152" s="234" t="n">
        <f aca="false">SUM([1]OPPD_NPPD!$P143:$R143)+SUM([1]NSP!$P143:$R143)</f>
        <v>0</v>
      </c>
      <c r="DU152" s="234" t="n">
        <f aca="false">SUM([1]COMED!$P143:$R143)</f>
        <v>-11380.2398681641</v>
      </c>
      <c r="DV152" s="234" t="n">
        <f aca="false">DT152+DU152</f>
        <v>-11380.2398681641</v>
      </c>
      <c r="DW152" s="535"/>
      <c r="DX152" s="536" t="n">
        <f aca="false">[1]OtherPosn!$D143</f>
        <v>37530</v>
      </c>
      <c r="DY152" s="234" t="n">
        <f aca="false">[1]OtherPosn!$N143</f>
        <v>17602.833984375</v>
      </c>
      <c r="DZ152" s="234" t="n">
        <f aca="false">SUM([1]OtherPosn!$O143:$P143)</f>
        <v>-36066.673828125</v>
      </c>
    </row>
    <row r="153" customFormat="false" ht="15.75" hidden="false" customHeight="false" outlineLevel="0" collapsed="false">
      <c r="A153" s="726" t="n">
        <v>36831</v>
      </c>
      <c r="B153" s="727" t="n">
        <f aca="false" t="array" ref="B153:B153">SUM(IF(MONTH($DP$12:$DP$89)&amp;YEAR($DP$12:$DP$89)=MONTH($A153)&amp;$B$141,$DQ$12:$DQ$89))</f>
        <v>0</v>
      </c>
      <c r="C153" s="727" t="n">
        <f aca="false" t="array" ref="C153:C153">SUM(IF(MONTH($DP$12:$DP$89)&amp;YEAR($DP$12:$DP$89)=MONTH($A153)&amp;$B$141,$DR$12:$DR$89))+SUM(IF(MONTH($CB$56:$CB$91)&amp;YEAR($CB$56:$CB$91)=MONTH($A153)&amp;$B$141,$CF$56:$CF$91))</f>
        <v>-152526.265625</v>
      </c>
      <c r="D153" s="727" t="n">
        <v>0</v>
      </c>
      <c r="E153" s="727" t="n">
        <f aca="false" t="array" ref="E153:E153">SUM(IF(MONTH($DX$12:$DX$110)&amp;YEAR($DX$12:$DX$110)=MONTH($A153)&amp;$B$141,$DY$12:$DY$110))+SUM(IF(MONTH(OthNewDeals!$B$8:$B$46)&amp;YEAR(OthNewDeals!$B$8:$B$46)&amp;OthNewDeals!$BK$8:$BK$46=MONTH($A153)&amp;$B$141&amp;$DK$141,OthNewDeals!$G$8:$G$46))</f>
        <v>137503.3359375</v>
      </c>
      <c r="F153" s="727" t="n">
        <f aca="false">SUM(B153:E153)</f>
        <v>-15022.9296875</v>
      </c>
      <c r="G153" s="727" t="n">
        <f aca="false" t="array" ref="G153:G153">SUM(IF(MONTH($DP$12:$DP$89)&amp;YEAR($DP$12:$DP$89)=MONTH($A153)&amp;$G$141,$DQ$12:$DQ$89))</f>
        <v>0</v>
      </c>
      <c r="H153" s="727" t="n">
        <f aca="false" t="array" ref="H153:H153">SUM(IF(MONTH($DP$12:$DP$89)&amp;YEAR($DP$12:$DP$89)=MONTH($A153)&amp;$G$141,$DR$12:$DR$89))+SUM(IF(MONTH($CB$56:$CB$91)&amp;YEAR($CB$56:$CB$91)=MONTH($A153)&amp;$G$141,$CF$56:$CF$91))</f>
        <v>-137899.078125</v>
      </c>
      <c r="I153" s="727" t="n">
        <v>0</v>
      </c>
      <c r="J153" s="727" t="n">
        <f aca="false" t="array" ref="J153:J153">SUM(IF(MONTH($DX$12:$DX$110)&amp;YEAR($DX$12:$DX$110)=MONTH($A153)&amp;$G$141,$DY$12:$DY$110))+SUM(IF(MONTH(OthNewDeals!$B$8:$B$46)&amp;YEAR(OthNewDeals!$B$8:$B$46)&amp;OthNewDeals!$BK$8:$BK$46=MONTH($A153)&amp;$G$141&amp;$DK$141,OthNewDeals!$G$8:$G$46))</f>
        <v>30.6083984375</v>
      </c>
      <c r="K153" s="727" t="n">
        <f aca="false">SUM(G153:J153)</f>
        <v>-137868.469726563</v>
      </c>
      <c r="L153" s="727" t="n">
        <f aca="false" t="array" ref="L153:L153">SUM(IF(MONTH($DP$12:$DP$89)&amp;YEAR($DP$12:$DP$89)=MONTH($A153)&amp;$L$141,$DQ$12:$DQ$89))</f>
        <v>0</v>
      </c>
      <c r="M153" s="727" t="n">
        <f aca="false" t="array" ref="M153:M153">SUM(IF(MONTH($DP$12:$DP$89)&amp;YEAR($DP$12:$DP$89)=MONTH($A153)&amp;$L$141,$DR$12:$DR$89))+SUM(IF(MONTH($CB$56:$CB$91)&amp;YEAR($CB$56:$CB$91)=MONTH($A153)&amp;$L$141,$CF$56:$CF$91))</f>
        <v>0</v>
      </c>
      <c r="N153" s="727" t="n">
        <v>0</v>
      </c>
      <c r="O153" s="727" t="n">
        <f aca="false" t="array" ref="O153:O153">SUM(IF(MONTH($DX$12:$DX$110)&amp;YEAR($DX$12:$DX$110)=MONTH($A153)&amp;$L$141,$DY$12:$DY$110))+SUM(IF(MONTH(OthNewDeals!$B$8:$B$46)&amp;YEAR(OthNewDeals!$B$8:$B$46)&amp;OthNewDeals!$BK$8:$BK$46=MONTH($A153)&amp;$L$141&amp;$DK$141,OthNewDeals!$G$8:$G$46))</f>
        <v>0</v>
      </c>
      <c r="P153" s="727" t="n">
        <f aca="false">SUM(L153:O153)</f>
        <v>0</v>
      </c>
      <c r="Q153" s="727" t="n">
        <f aca="false" t="array" ref="Q153:Q153">SUM(IF(MONTH($DP$12:$DP$176)=MONTH($A153),$DQ$12:$DQ$176))</f>
        <v>0</v>
      </c>
      <c r="R153" s="727" t="n">
        <f aca="false" t="array" ref="R153:R153">SUM(IF(MONTH($CB$56:$CB$91)=MONTH($A153),$CF$56:$CF$91))+SUM(IF(MONTH($DP$12:$DP$176)=MONTH($A153),$DR$12:$DR$176))</f>
        <v>-358549.567382813</v>
      </c>
      <c r="S153" s="727" t="n">
        <v>0</v>
      </c>
      <c r="T153" s="722"/>
      <c r="U153" s="722"/>
      <c r="V153" s="727" t="n">
        <f aca="false" t="array" ref="V153:V153">SUM(IF(MONTH($DX$12:$DX$119)=MONTH($A153),$DY$12:$DY$119))+SUM(IF(MONTH(OthNewDeals!$B$8:$B$46)&amp;OthNewDeals!$BK$8:$BK$46=MONTH($A153)&amp;$DK$141,OthNewDeals!$G$8:$G$46))</f>
        <v>187484.233398438</v>
      </c>
      <c r="W153" s="723" t="n">
        <f aca="false">SUM(Q153:V153)</f>
        <v>-171065.333984375</v>
      </c>
      <c r="X153" s="726" t="n">
        <v>36831</v>
      </c>
      <c r="Y153" s="727" t="n">
        <f aca="false">V153+S153+R153</f>
        <v>-171065.333984375</v>
      </c>
      <c r="Z153" s="728" t="s">
        <v>135</v>
      </c>
      <c r="AA153" s="729" t="n">
        <f aca="false">SUM(W152:W154)</f>
        <v>-562423.702995577</v>
      </c>
      <c r="AB153" s="729" t="n">
        <f aca="false">R152+R153+R154+S152+S153+S154</f>
        <v>-1191262.94176511</v>
      </c>
      <c r="AC153" s="46"/>
      <c r="AD153" s="46"/>
      <c r="AE153" s="46"/>
      <c r="AF153" s="46"/>
      <c r="AG153" s="46"/>
      <c r="AH153" s="46"/>
      <c r="AI153" s="46"/>
      <c r="DL153" s="533" t="n">
        <v>40026</v>
      </c>
      <c r="DM153" s="459" t="n">
        <v>21</v>
      </c>
      <c r="DP153" s="534" t="n">
        <f aca="false">[1]Cinergy!$D144</f>
        <v>40513</v>
      </c>
      <c r="DQ153" s="234" t="n">
        <f aca="false">[1]OPPD_NPPD!$O144+[1]NSP!$O144</f>
        <v>0</v>
      </c>
      <c r="DR153" s="234" t="n">
        <f aca="false">[1]COMED!$O144</f>
        <v>-21693.1484375</v>
      </c>
      <c r="DS153" s="234" t="n">
        <f aca="false">DQ153+DR153</f>
        <v>-21693.1484375</v>
      </c>
      <c r="DT153" s="234" t="n">
        <f aca="false">SUM([1]OPPD_NPPD!$P144:$R144)+SUM([1]NSP!$P144:$R144)</f>
        <v>0</v>
      </c>
      <c r="DU153" s="234" t="n">
        <f aca="false">SUM([1]COMED!$P144:$R144)</f>
        <v>-11082.3699951172</v>
      </c>
      <c r="DV153" s="234" t="n">
        <f aca="false">DT153+DU153</f>
        <v>-11082.3699951172</v>
      </c>
      <c r="DW153" s="535"/>
      <c r="DX153" s="536" t="n">
        <f aca="false">[1]OtherPosn!$D144</f>
        <v>37561</v>
      </c>
      <c r="DY153" s="234" t="n">
        <f aca="false">[1]OtherPosn!$N144</f>
        <v>15252.6259765625</v>
      </c>
      <c r="DZ153" s="234" t="n">
        <f aca="false">SUM([1]OtherPosn!$O144:$P144)</f>
        <v>-38131.5649414063</v>
      </c>
    </row>
    <row r="154" customFormat="false" ht="15.75" hidden="false" customHeight="false" outlineLevel="0" collapsed="false">
      <c r="A154" s="726" t="n">
        <v>36861</v>
      </c>
      <c r="B154" s="727" t="n">
        <f aca="false" t="array" ref="B154:B154">SUM(IF(MONTH($DP$12:$DP$89)&amp;YEAR($DP$12:$DP$89)=MONTH($A154)&amp;$B$141,$DQ$12:$DQ$89))</f>
        <v>0</v>
      </c>
      <c r="C154" s="727" t="n">
        <f aca="false" t="array" ref="C154:C154">SUM(IF(MONTH($DP$12:$DP$89)&amp;YEAR($DP$12:$DP$89)=MONTH($A154)&amp;$B$141,$DR$12:$DR$89))+SUM(IF(MONTH($CB$56:$CB$91)&amp;YEAR($CB$56:$CB$91)=MONTH($A154)&amp;$B$141,$CF$56:$CF$91))</f>
        <v>-159545.34375</v>
      </c>
      <c r="D154" s="727" t="n">
        <v>0</v>
      </c>
      <c r="E154" s="727" t="n">
        <f aca="false" t="array" ref="E154:E154">SUM(IF(MONTH($DX$12:$DX$110)&amp;YEAR($DX$12:$DX$110)=MONTH($A154)&amp;$B$141,$DY$12:$DY$110))+SUM(IF(MONTH(OthNewDeals!$B$8:$B$46)&amp;YEAR(OthNewDeals!$B$8:$B$46)&amp;OthNewDeals!$BK$8:$BK$46=MONTH($A154)&amp;$B$141&amp;$DK$141,OthNewDeals!$G$8:$G$46))</f>
        <v>143804.93359375</v>
      </c>
      <c r="F154" s="727" t="n">
        <f aca="false">SUM(B154:E154)</f>
        <v>-15740.41015625</v>
      </c>
      <c r="G154" s="727" t="n">
        <f aca="false" t="array" ref="G154:G154">SUM(IF(MONTH($DP$12:$DP$89)&amp;YEAR($DP$12:$DP$89)=MONTH($A154)&amp;$G$141,$DQ$12:$DQ$89))</f>
        <v>0</v>
      </c>
      <c r="H154" s="727" t="n">
        <f aca="false" t="array" ref="H154:H154">SUM(IF(MONTH($DP$12:$DP$89)&amp;YEAR($DP$12:$DP$89)=MONTH($A154)&amp;$G$141,$DR$12:$DR$89))+SUM(IF(MONTH($CB$56:$CB$91)&amp;YEAR($CB$56:$CB$91)=MONTH($A154)&amp;$G$141,$CF$56:$CF$91))</f>
        <v>-158935.65625</v>
      </c>
      <c r="I154" s="727" t="n">
        <v>0</v>
      </c>
      <c r="J154" s="727" t="n">
        <f aca="false" t="array" ref="J154:J154">SUM(IF(MONTH($DX$12:$DX$110)&amp;YEAR($DX$12:$DX$110)=MONTH($A154)&amp;$G$141,$DY$12:$DY$110))+SUM(IF(MONTH(OthNewDeals!$B$8:$B$46)&amp;YEAR(OthNewDeals!$B$8:$B$46)&amp;OthNewDeals!$BK$8:$BK$46=MONTH($A154)&amp;$G$141&amp;$DK$141,OthNewDeals!$G$8:$G$46))</f>
        <v>28.5830078125</v>
      </c>
      <c r="K154" s="727" t="n">
        <f aca="false">SUM(G154:J154)</f>
        <v>-158907.073242188</v>
      </c>
      <c r="L154" s="727" t="n">
        <f aca="false" t="array" ref="L154:L154">SUM(IF(MONTH($DP$12:$DP$89)&amp;YEAR($DP$12:$DP$89)=MONTH($A154)&amp;$L$141,$DQ$12:$DQ$89))</f>
        <v>0</v>
      </c>
      <c r="M154" s="727" t="n">
        <f aca="false" t="array" ref="M154:M154">SUM(IF(MONTH($DP$12:$DP$89)&amp;YEAR($DP$12:$DP$89)=MONTH($A154)&amp;$L$141,$DR$12:$DR$89))+SUM(IF(MONTH($CB$56:$CB$91)&amp;YEAR($CB$56:$CB$91)=MONTH($A154)&amp;$L$141,$CF$56:$CF$91))</f>
        <v>0</v>
      </c>
      <c r="N154" s="727" t="n">
        <v>0</v>
      </c>
      <c r="O154" s="727" t="n">
        <f aca="false" t="array" ref="O154:O154">SUM(IF(MONTH($DX$12:$DX$110)&amp;YEAR($DX$12:$DX$110)=MONTH($A154)&amp;$L$141,$DY$12:$DY$110))+SUM(IF(MONTH(OthNewDeals!$B$8:$B$46)&amp;YEAR(OthNewDeals!$B$8:$B$46)&amp;OthNewDeals!$BK$8:$BK$46=MONTH($A154)&amp;$L$141&amp;$DK$141,OthNewDeals!$G$8:$G$46))</f>
        <v>0</v>
      </c>
      <c r="P154" s="727" t="n">
        <f aca="false">SUM(L154:O154)</f>
        <v>0</v>
      </c>
      <c r="Q154" s="727" t="n">
        <f aca="false" t="array" ref="Q154:Q154">SUM(IF(MONTH($DP$12:$DP$176)=MONTH($A154),$DQ$12:$DQ$176))</f>
        <v>0</v>
      </c>
      <c r="R154" s="727" t="n">
        <f aca="false" t="array" ref="R154:R154">SUM(IF(MONTH($CB$56:$CB$91)=MONTH($A154),$CF$56:$CF$91))+SUM(IF(MONTH($DP$12:$DP$176)=MONTH($A154),$DR$12:$DR$176))</f>
        <v>-363537.65625</v>
      </c>
      <c r="S154" s="727" t="n">
        <v>0</v>
      </c>
      <c r="T154" s="722"/>
      <c r="U154" s="722"/>
      <c r="V154" s="727" t="n">
        <f aca="false" t="array" ref="V154:V154">SUM(IF(MONTH($DX$12:$DX$119)=MONTH($A154),$DY$12:$DY$119))+SUM(IF(MONTH(OthNewDeals!$B$8:$B$46)&amp;OthNewDeals!$BK$8:$BK$46=MONTH($A154)&amp;$DK$141,OthNewDeals!$G$8:$G$46))</f>
        <v>191265.040039063</v>
      </c>
      <c r="W154" s="723" t="n">
        <f aca="false">SUM(Q154:V154)</f>
        <v>-172272.616210938</v>
      </c>
      <c r="X154" s="733" t="n">
        <v>36861</v>
      </c>
      <c r="Y154" s="727" t="n">
        <f aca="false">V154+S154+R154</f>
        <v>-172272.616210938</v>
      </c>
      <c r="Z154" s="734"/>
      <c r="AA154" s="735"/>
      <c r="AB154" s="736"/>
      <c r="AC154" s="46"/>
      <c r="AD154" s="46"/>
      <c r="AE154" s="46"/>
      <c r="AF154" s="46"/>
      <c r="AG154" s="46"/>
      <c r="AH154" s="46"/>
      <c r="AI154" s="46"/>
      <c r="DL154" s="533" t="n">
        <v>40057</v>
      </c>
      <c r="DM154" s="459" t="n">
        <v>21</v>
      </c>
      <c r="DP154" s="534" t="n">
        <f aca="false">[1]Cinergy!$D145</f>
        <v>40544</v>
      </c>
      <c r="DQ154" s="234" t="n">
        <f aca="false">[1]OPPD_NPPD!$O145+[1]NSP!$O145</f>
        <v>0</v>
      </c>
      <c r="DR154" s="234" t="n">
        <f aca="false">[1]COMED!$O145</f>
        <v>0</v>
      </c>
      <c r="DS154" s="234" t="n">
        <f aca="false">DQ154+DR154</f>
        <v>0</v>
      </c>
      <c r="DT154" s="234" t="n">
        <f aca="false">SUM([1]OPPD_NPPD!$P145:$R145)+SUM([1]NSP!$P145:$R145)</f>
        <v>0</v>
      </c>
      <c r="DU154" s="234" t="n">
        <f aca="false">SUM([1]COMED!$P145:$R145)</f>
        <v>0</v>
      </c>
      <c r="DV154" s="234" t="n">
        <f aca="false">DT154+DU154</f>
        <v>0</v>
      </c>
      <c r="DW154" s="535"/>
      <c r="DX154" s="536" t="n">
        <f aca="false">[1]OtherPosn!$D145</f>
        <v>37591</v>
      </c>
      <c r="DY154" s="234" t="n">
        <f aca="false">[1]OtherPosn!$N145</f>
        <v>15954.5341796875</v>
      </c>
      <c r="DZ154" s="234" t="n">
        <f aca="false">SUM([1]OtherPosn!$O145:$P145)</f>
        <v>-38746.7265625</v>
      </c>
    </row>
    <row r="155" customFormat="false" ht="16.5" hidden="false" customHeight="false" outlineLevel="0" collapsed="false">
      <c r="A155" s="737" t="s">
        <v>100</v>
      </c>
      <c r="B155" s="738" t="n">
        <f aca="false">SUM(B143:B154)</f>
        <v>-33965.55078125</v>
      </c>
      <c r="C155" s="738" t="n">
        <f aca="false">SUM(C143:C154)</f>
        <v>-2099277.90234375</v>
      </c>
      <c r="D155" s="738" t="n">
        <v>0</v>
      </c>
      <c r="E155" s="738" t="n">
        <f aca="false">SUM(E143:E154)</f>
        <v>2571108.92773438</v>
      </c>
      <c r="F155" s="738" t="n">
        <f aca="false">SUM(B155:E155)</f>
        <v>437865.474609375</v>
      </c>
      <c r="G155" s="738" t="n">
        <f aca="false">SUM(G143:G154)</f>
        <v>0</v>
      </c>
      <c r="H155" s="738" t="n">
        <f aca="false">SUM(H143:H154)</f>
        <v>-2426190.3125</v>
      </c>
      <c r="I155" s="738" t="n">
        <v>0</v>
      </c>
      <c r="J155" s="738" t="n">
        <f aca="false">SUM(J143:J154)</f>
        <v>339.2138671875</v>
      </c>
      <c r="K155" s="738" t="n">
        <f aca="false">SUM(G155:J155)</f>
        <v>-2425851.09863281</v>
      </c>
      <c r="L155" s="738" t="n">
        <f aca="false">SUM(L143:L154)</f>
        <v>0</v>
      </c>
      <c r="M155" s="738" t="n">
        <f aca="false">SUM(M143:M154)</f>
        <v>0</v>
      </c>
      <c r="N155" s="738" t="n">
        <v>0</v>
      </c>
      <c r="O155" s="738" t="n">
        <f aca="false">SUM(O143:O154)</f>
        <v>0</v>
      </c>
      <c r="P155" s="738" t="n">
        <f aca="false">SUM(L155:O155)</f>
        <v>0</v>
      </c>
      <c r="Q155" s="738" t="n">
        <f aca="false">SUM(Q143:Q154)</f>
        <v>24469.1025390625</v>
      </c>
      <c r="R155" s="738" t="n">
        <f aca="false">SUM(R143:R154)</f>
        <v>-6574823.11559323</v>
      </c>
      <c r="S155" s="738" t="n">
        <v>0</v>
      </c>
      <c r="T155" s="739"/>
      <c r="U155" s="739"/>
      <c r="V155" s="738" t="n">
        <f aca="false">SUM(V143:V154)</f>
        <v>2462434.92919922</v>
      </c>
      <c r="W155" s="740" t="n">
        <f aca="false">SUM(Q155:V155)</f>
        <v>-4087919.08385495</v>
      </c>
      <c r="X155" s="741"/>
      <c r="Y155" s="738" t="n">
        <f aca="false">SUM(Y143:Y154)</f>
        <v>-4112388.18639401</v>
      </c>
      <c r="Z155" s="46"/>
      <c r="AA155" s="742"/>
      <c r="AB155" s="742"/>
      <c r="AC155" s="46"/>
      <c r="AD155" s="46"/>
      <c r="AE155" s="46"/>
      <c r="AF155" s="46"/>
      <c r="AG155" s="46"/>
      <c r="AH155" s="46"/>
      <c r="AI155" s="46"/>
      <c r="DL155" s="533" t="n">
        <v>40087</v>
      </c>
      <c r="DM155" s="459" t="n">
        <v>22</v>
      </c>
      <c r="DP155" s="534" t="n">
        <f aca="false">[1]Cinergy!$D146</f>
        <v>40575</v>
      </c>
      <c r="DQ155" s="234" t="n">
        <f aca="false">[1]OPPD_NPPD!$O146+[1]NSP!$O146</f>
        <v>0</v>
      </c>
      <c r="DR155" s="234" t="n">
        <f aca="false">[1]COMED!$O146</f>
        <v>0</v>
      </c>
      <c r="DS155" s="234" t="n">
        <f aca="false">DQ155+DR155</f>
        <v>0</v>
      </c>
      <c r="DT155" s="234" t="n">
        <f aca="false">SUM([1]OPPD_NPPD!$P146:$R146)+SUM([1]NSP!$P146:$R146)</f>
        <v>0</v>
      </c>
      <c r="DU155" s="234" t="n">
        <f aca="false">SUM([1]COMED!$P146:$R146)</f>
        <v>0</v>
      </c>
      <c r="DV155" s="234" t="n">
        <f aca="false">DT155+DU155</f>
        <v>0</v>
      </c>
      <c r="DW155" s="535"/>
      <c r="DX155" s="536" t="n">
        <f aca="false">[1]OtherPosn!$D146</f>
        <v>37622</v>
      </c>
      <c r="DY155" s="234" t="n">
        <f aca="false">[1]OtherPosn!$N146</f>
        <v>149841.890625</v>
      </c>
      <c r="DZ155" s="234" t="n">
        <f aca="false">SUM([1]OtherPosn!$O146:$P146)</f>
        <v>0</v>
      </c>
    </row>
    <row r="156" customFormat="false" ht="13.5" hidden="false" customHeight="false" outlineLevel="0" collapsed="false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742"/>
      <c r="AB156" s="742"/>
      <c r="AC156" s="46"/>
      <c r="AD156" s="46"/>
      <c r="AE156" s="46"/>
      <c r="AF156" s="46"/>
      <c r="AG156" s="46"/>
      <c r="AH156" s="46"/>
      <c r="AI156" s="46"/>
      <c r="DL156" s="533" t="n">
        <v>40118</v>
      </c>
      <c r="DM156" s="459" t="n">
        <v>20</v>
      </c>
      <c r="DP156" s="534" t="n">
        <f aca="false">[1]Cinergy!$D147</f>
        <v>40603</v>
      </c>
      <c r="DQ156" s="234" t="n">
        <f aca="false">[1]OPPD_NPPD!$O147+[1]NSP!$O147</f>
        <v>0</v>
      </c>
      <c r="DR156" s="234" t="n">
        <f aca="false">[1]COMED!$O147</f>
        <v>0</v>
      </c>
      <c r="DS156" s="234" t="n">
        <f aca="false">DQ156+DR156</f>
        <v>0</v>
      </c>
      <c r="DT156" s="234" t="n">
        <f aca="false">SUM([1]OPPD_NPPD!$P147:$R147)+SUM([1]NSP!$P147:$R147)</f>
        <v>0</v>
      </c>
      <c r="DU156" s="234" t="n">
        <f aca="false">SUM([1]COMED!$P147:$R147)</f>
        <v>0</v>
      </c>
      <c r="DV156" s="234" t="n">
        <f aca="false">DT156+DU156</f>
        <v>0</v>
      </c>
      <c r="DW156" s="535"/>
      <c r="DX156" s="536" t="n">
        <f aca="false">[1]OtherPosn!$D147</f>
        <v>37653</v>
      </c>
      <c r="DY156" s="234" t="n">
        <f aca="false">[1]OtherPosn!$N147</f>
        <v>135731.578125</v>
      </c>
      <c r="DZ156" s="234" t="n">
        <f aca="false">SUM([1]OtherPosn!$O147:$P147)</f>
        <v>0</v>
      </c>
    </row>
    <row r="157" customFormat="false" ht="16.5" hidden="false" customHeight="false" outlineLevel="0" collapsed="false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738" t="n">
        <f aca="false" t="array" ref="Y157:Y157">SUM(IF(MONTH($X$143:$X$154)=7,$Y$143:$Y$154))+SUM(IF(MONTH($X$143:$X$154)=8,$Y$143:$Y$154))</f>
        <v>-261024.407226563</v>
      </c>
      <c r="Z157" s="567" t="s">
        <v>319</v>
      </c>
      <c r="AA157" s="742"/>
      <c r="AB157" s="742"/>
      <c r="AC157" s="46"/>
      <c r="AD157" s="46"/>
      <c r="AE157" s="46"/>
      <c r="AF157" s="46"/>
      <c r="AG157" s="46"/>
      <c r="AH157" s="46"/>
      <c r="AI157" s="46"/>
      <c r="DL157" s="533" t="n">
        <v>40148</v>
      </c>
      <c r="DM157" s="459" t="n">
        <v>22</v>
      </c>
      <c r="DP157" s="534" t="n">
        <f aca="false">[1]Cinergy!$D148</f>
        <v>40634</v>
      </c>
      <c r="DQ157" s="234" t="n">
        <f aca="false">[1]OPPD_NPPD!$O148+[1]NSP!$O148</f>
        <v>0</v>
      </c>
      <c r="DR157" s="234" t="n">
        <f aca="false">[1]COMED!$O148</f>
        <v>0</v>
      </c>
      <c r="DS157" s="234" t="n">
        <f aca="false">DQ157+DR157</f>
        <v>0</v>
      </c>
      <c r="DT157" s="234" t="n">
        <f aca="false">SUM([1]OPPD_NPPD!$P148:$R148)+SUM([1]NSP!$P148:$R148)</f>
        <v>0</v>
      </c>
      <c r="DU157" s="234" t="n">
        <f aca="false">SUM([1]COMED!$P148:$R148)</f>
        <v>0</v>
      </c>
      <c r="DV157" s="234" t="n">
        <f aca="false">DT157+DU157</f>
        <v>0</v>
      </c>
      <c r="DW157" s="535"/>
      <c r="DX157" s="536" t="n">
        <f aca="false">[1]OtherPosn!$D148</f>
        <v>37681</v>
      </c>
      <c r="DY157" s="234" t="n">
        <f aca="false">[1]OtherPosn!$N148</f>
        <v>141944.828125</v>
      </c>
      <c r="DZ157" s="234" t="n">
        <f aca="false">SUM([1]OtherPosn!$O148:$P148)</f>
        <v>0</v>
      </c>
    </row>
    <row r="158" customFormat="false" ht="12.75" hidden="false" customHeight="false" outlineLevel="0" collapsed="false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742"/>
      <c r="AB158" s="742"/>
      <c r="AC158" s="46"/>
      <c r="AD158" s="46"/>
      <c r="AE158" s="46"/>
      <c r="AF158" s="46"/>
      <c r="AG158" s="46"/>
      <c r="AH158" s="46"/>
      <c r="AI158" s="46"/>
      <c r="DL158" s="533" t="n">
        <v>40179</v>
      </c>
      <c r="DM158" s="459" t="n">
        <v>20</v>
      </c>
      <c r="DP158" s="534" t="n">
        <f aca="false">[1]Cinergy!$D149</f>
        <v>40664</v>
      </c>
      <c r="DQ158" s="234" t="n">
        <f aca="false">[1]OPPD_NPPD!$O149+[1]NSP!$O149</f>
        <v>0</v>
      </c>
      <c r="DR158" s="234" t="n">
        <f aca="false">[1]COMED!$O149</f>
        <v>0</v>
      </c>
      <c r="DS158" s="234" t="n">
        <f aca="false">DQ158+DR158</f>
        <v>0</v>
      </c>
      <c r="DT158" s="234" t="n">
        <f aca="false">SUM([1]OPPD_NPPD!$P149:$R149)+SUM([1]NSP!$P149:$R149)</f>
        <v>0</v>
      </c>
      <c r="DU158" s="234" t="n">
        <f aca="false">SUM([1]COMED!$P149:$R149)</f>
        <v>0</v>
      </c>
      <c r="DV158" s="234" t="n">
        <f aca="false">DT158+DU158</f>
        <v>0</v>
      </c>
      <c r="DW158" s="535"/>
      <c r="DX158" s="536" t="n">
        <f aca="false">[1]OtherPosn!$D149</f>
        <v>37712</v>
      </c>
      <c r="DY158" s="234" t="n">
        <f aca="false">[1]OtherPosn!$N149</f>
        <v>148115.671875</v>
      </c>
      <c r="DZ158" s="234" t="n">
        <f aca="false">SUM([1]OtherPosn!$O149:$P149)</f>
        <v>0</v>
      </c>
    </row>
    <row r="159" customFormat="false" ht="20.25" hidden="false" customHeight="false" outlineLevel="0" collapsed="false">
      <c r="A159" s="49" t="s">
        <v>320</v>
      </c>
      <c r="B159" s="46"/>
      <c r="C159" s="46"/>
      <c r="D159" s="46"/>
      <c r="E159" s="709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742"/>
      <c r="AB159" s="742"/>
      <c r="AC159" s="46"/>
      <c r="AD159" s="46"/>
      <c r="AE159" s="46"/>
      <c r="AF159" s="46"/>
      <c r="AG159" s="46"/>
      <c r="AH159" s="46"/>
      <c r="AI159" s="46"/>
      <c r="DL159" s="533" t="n">
        <v>40210</v>
      </c>
      <c r="DM159" s="459" t="n">
        <v>20</v>
      </c>
      <c r="DP159" s="534" t="n">
        <f aca="false">[1]Cinergy!$D150</f>
        <v>40695</v>
      </c>
      <c r="DQ159" s="234" t="n">
        <f aca="false">[1]OPPD_NPPD!$O150+[1]NSP!$O150</f>
        <v>0</v>
      </c>
      <c r="DR159" s="234" t="n">
        <f aca="false">[1]COMED!$O150</f>
        <v>0</v>
      </c>
      <c r="DS159" s="234" t="n">
        <f aca="false">DQ159+DR159</f>
        <v>0</v>
      </c>
      <c r="DT159" s="234" t="n">
        <f aca="false">SUM([1]OPPD_NPPD!$P150:$R150)+SUM([1]NSP!$P150:$R150)</f>
        <v>0</v>
      </c>
      <c r="DU159" s="234" t="n">
        <f aca="false">SUM([1]COMED!$P150:$R150)</f>
        <v>0</v>
      </c>
      <c r="DV159" s="234" t="n">
        <f aca="false">DT159+DU159</f>
        <v>0</v>
      </c>
      <c r="DW159" s="535"/>
      <c r="DX159" s="536" t="n">
        <f aca="false">[1]OtherPosn!$D150</f>
        <v>37742</v>
      </c>
      <c r="DY159" s="234" t="n">
        <f aca="false">[1]OtherPosn!$N150</f>
        <v>219013.40625</v>
      </c>
      <c r="DZ159" s="234" t="n">
        <f aca="false">SUM([1]OtherPosn!$O150:$P150)</f>
        <v>0</v>
      </c>
    </row>
    <row r="160" customFormat="false" ht="13.5" hidden="false" customHeight="false" outlineLevel="0" collapsed="false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742"/>
      <c r="AB160" s="742"/>
      <c r="AC160" s="46"/>
      <c r="AD160" s="46"/>
      <c r="AE160" s="46"/>
      <c r="AF160" s="46"/>
      <c r="AG160" s="46"/>
      <c r="AH160" s="46"/>
      <c r="AI160" s="46"/>
      <c r="DL160" s="533" t="n">
        <v>40238</v>
      </c>
      <c r="DM160" s="459" t="n">
        <v>23</v>
      </c>
      <c r="DP160" s="534" t="n">
        <f aca="false">[1]Cinergy!$D151</f>
        <v>40725</v>
      </c>
      <c r="DQ160" s="234" t="n">
        <f aca="false">[1]OPPD_NPPD!$O151+[1]NSP!$O151</f>
        <v>0</v>
      </c>
      <c r="DR160" s="234" t="n">
        <f aca="false">[1]COMED!$O151</f>
        <v>0</v>
      </c>
      <c r="DS160" s="234" t="n">
        <f aca="false">DQ160+DR160</f>
        <v>0</v>
      </c>
      <c r="DT160" s="234" t="n">
        <f aca="false">SUM([1]OPPD_NPPD!$P151:$R151)+SUM([1]NSP!$P151:$R151)</f>
        <v>0</v>
      </c>
      <c r="DU160" s="234" t="n">
        <f aca="false">SUM([1]COMED!$P151:$R151)</f>
        <v>0</v>
      </c>
      <c r="DV160" s="234" t="n">
        <f aca="false">DT160+DU160</f>
        <v>0</v>
      </c>
      <c r="DW160" s="535"/>
    </row>
    <row r="161" customFormat="false" ht="20.25" hidden="false" customHeight="false" outlineLevel="0" collapsed="false">
      <c r="A161" s="711"/>
      <c r="B161" s="712" t="n">
        <f aca="false">B141</f>
        <v>2002</v>
      </c>
      <c r="C161" s="712"/>
      <c r="D161" s="712"/>
      <c r="E161" s="712"/>
      <c r="F161" s="712"/>
      <c r="G161" s="712" t="n">
        <f aca="false">G141</f>
        <v>2003</v>
      </c>
      <c r="H161" s="712"/>
      <c r="I161" s="712"/>
      <c r="J161" s="712"/>
      <c r="K161" s="712"/>
      <c r="L161" s="712" t="n">
        <f aca="false">L141</f>
        <v>2004</v>
      </c>
      <c r="M161" s="712"/>
      <c r="N161" s="712"/>
      <c r="O161" s="712"/>
      <c r="P161" s="712"/>
      <c r="Q161" s="713" t="s">
        <v>314</v>
      </c>
      <c r="R161" s="713"/>
      <c r="S161" s="713"/>
      <c r="T161" s="714"/>
      <c r="U161" s="714"/>
      <c r="V161" s="715"/>
      <c r="W161" s="478"/>
      <c r="X161" s="46"/>
      <c r="Y161" s="46"/>
      <c r="Z161" s="716"/>
      <c r="AA161" s="68" t="s">
        <v>316</v>
      </c>
      <c r="AB161" s="478" t="s">
        <v>317</v>
      </c>
      <c r="AC161" s="0"/>
      <c r="AD161" s="46"/>
      <c r="AE161" s="46"/>
      <c r="AF161" s="46"/>
      <c r="AG161" s="46"/>
      <c r="AH161" s="46"/>
      <c r="AI161" s="46"/>
      <c r="DJ161" s="439" t="s">
        <v>274</v>
      </c>
      <c r="DK161" s="440" t="n">
        <v>2</v>
      </c>
      <c r="DL161" s="533" t="n">
        <v>40269</v>
      </c>
      <c r="DM161" s="459" t="n">
        <v>22</v>
      </c>
      <c r="DP161" s="534" t="n">
        <f aca="false">[1]Cinergy!$D152</f>
        <v>40756</v>
      </c>
      <c r="DQ161" s="234" t="n">
        <f aca="false">[1]OPPD_NPPD!$O152+[1]NSP!$O152</f>
        <v>0</v>
      </c>
      <c r="DR161" s="234" t="n">
        <f aca="false">[1]COMED!$O152</f>
        <v>0</v>
      </c>
      <c r="DS161" s="234" t="n">
        <f aca="false">DQ161+DR161</f>
        <v>0</v>
      </c>
      <c r="DT161" s="234" t="n">
        <f aca="false">SUM([1]OPPD_NPPD!$P152:$R152)+SUM([1]NSP!$P152:$R152)</f>
        <v>0</v>
      </c>
      <c r="DU161" s="234" t="n">
        <f aca="false">SUM([1]COMED!$P152:$R152)</f>
        <v>0</v>
      </c>
      <c r="DV161" s="234" t="n">
        <f aca="false">DT161+DU161</f>
        <v>0</v>
      </c>
      <c r="DW161" s="535"/>
    </row>
    <row r="162" customFormat="false" ht="13.5" hidden="false" customHeight="false" outlineLevel="0" collapsed="false">
      <c r="A162" s="46"/>
      <c r="B162" s="717" t="s">
        <v>171</v>
      </c>
      <c r="C162" s="718" t="s">
        <v>172</v>
      </c>
      <c r="D162" s="718" t="s">
        <v>173</v>
      </c>
      <c r="E162" s="718" t="s">
        <v>174</v>
      </c>
      <c r="F162" s="719" t="s">
        <v>100</v>
      </c>
      <c r="G162" s="717" t="s">
        <v>171</v>
      </c>
      <c r="H162" s="718" t="s">
        <v>172</v>
      </c>
      <c r="I162" s="718" t="s">
        <v>173</v>
      </c>
      <c r="J162" s="717" t="s">
        <v>174</v>
      </c>
      <c r="K162" s="719" t="s">
        <v>100</v>
      </c>
      <c r="L162" s="717" t="s">
        <v>171</v>
      </c>
      <c r="M162" s="718" t="s">
        <v>172</v>
      </c>
      <c r="N162" s="718" t="s">
        <v>173</v>
      </c>
      <c r="O162" s="718" t="s">
        <v>174</v>
      </c>
      <c r="P162" s="719" t="s">
        <v>100</v>
      </c>
      <c r="Q162" s="717" t="s">
        <v>171</v>
      </c>
      <c r="R162" s="718" t="s">
        <v>172</v>
      </c>
      <c r="S162" s="718" t="s">
        <v>173</v>
      </c>
      <c r="T162" s="714" t="s">
        <v>100</v>
      </c>
      <c r="U162" s="714"/>
      <c r="V162" s="718" t="s">
        <v>174</v>
      </c>
      <c r="W162" s="719" t="s">
        <v>100</v>
      </c>
      <c r="X162" s="46"/>
      <c r="Y162" s="46"/>
      <c r="Z162" s="716"/>
      <c r="AA162" s="82" t="s">
        <v>318</v>
      </c>
      <c r="AB162" s="486" t="s">
        <v>173</v>
      </c>
      <c r="AC162" s="0"/>
      <c r="AD162" s="46"/>
      <c r="AE162" s="46"/>
      <c r="AF162" s="46"/>
      <c r="AG162" s="46"/>
      <c r="AH162" s="46"/>
      <c r="AI162" s="46"/>
      <c r="DL162" s="533" t="n">
        <v>40299</v>
      </c>
      <c r="DM162" s="459" t="n">
        <v>20</v>
      </c>
      <c r="DP162" s="534" t="n">
        <f aca="false">[1]Cinergy!$D153</f>
        <v>40787</v>
      </c>
      <c r="DQ162" s="234" t="n">
        <f aca="false">[1]OPPD_NPPD!$O153+[1]NSP!$O153</f>
        <v>0</v>
      </c>
      <c r="DR162" s="234" t="n">
        <f aca="false">[1]COMED!$O153</f>
        <v>0</v>
      </c>
      <c r="DS162" s="234" t="n">
        <f aca="false">DQ162+DR162</f>
        <v>0</v>
      </c>
      <c r="DT162" s="234" t="n">
        <f aca="false">SUM([1]OPPD_NPPD!$P153:$R153)+SUM([1]NSP!$P153:$R153)</f>
        <v>0</v>
      </c>
      <c r="DU162" s="234" t="n">
        <f aca="false">SUM([1]COMED!$P153:$R153)</f>
        <v>0</v>
      </c>
      <c r="DV162" s="234" t="n">
        <f aca="false">DT162+DU162</f>
        <v>0</v>
      </c>
      <c r="DW162" s="535"/>
    </row>
    <row r="163" customFormat="false" ht="15" hidden="false" customHeight="false" outlineLevel="0" collapsed="false">
      <c r="A163" s="720" t="n">
        <f aca="false">A143</f>
        <v>35796</v>
      </c>
      <c r="B163" s="721" t="n">
        <f aca="false" t="array" ref="B163:B163">SUM(IF(MONTH($DP$12:$DP$89)&amp;YEAR($DP$12:$DP$89)=MONTH($A163)&amp;$B$141,$DT$12:$DT$89))</f>
        <v>0</v>
      </c>
      <c r="C163" s="721" t="n">
        <f aca="false" t="array" ref="C163:C163">SUM(IF(MONTH($DP$12:$DP$89)&amp;YEAR($DP$12:$DP$89)=MONTH($A163)&amp;$B$141,$DU$12:$DU$89))</f>
        <v>18895.0283203125</v>
      </c>
      <c r="D163" s="721" t="e">
        <f aca="false" t="array" ref="D163:D163">SUM(IF(MONTH($DP$12:$DP$89)&amp;YEAR($DP$12:$DP$89)=MONTH($A163)&amp;$B$141,#REF!))</f>
        <v>#REF!</v>
      </c>
      <c r="E163" s="721" t="n">
        <f aca="false" t="array" ref="E163:E163">SUM(IF(MONTH($DX$12:$DX$110)&amp;YEAR($DX$12:$DX$110)=MONTH($A163)&amp;$B$141,$DZ$12:$DZ$110))+SUM(IF(MONTH(OthNewDeals!$B$8:$B$46)&amp;YEAR(OthNewDeals!$B$8:$B$46)&amp;OthNewDeals!$BK$8:$BK$46=MONTH($A163)&amp;$B$141&amp;$DK$161,OthNewDeals!$G$8:$G$46))</f>
        <v>0</v>
      </c>
      <c r="F163" s="721" t="e">
        <f aca="false">SUM(B163:E163)</f>
        <v>#REF!</v>
      </c>
      <c r="G163" s="721" t="n">
        <f aca="false" t="array" ref="G163:G163">SUM(IF(MONTH($DP$12:$DP$89)&amp;YEAR($DP$12:$DP$89)=MONTH($A163)&amp;$G$141,$DT$12:$DT$89))</f>
        <v>0</v>
      </c>
      <c r="H163" s="721" t="n">
        <f aca="false" t="array" ref="H163:H163">SUM(IF(MONTH($DP$12:$DP$89)&amp;YEAR($DP$12:$DP$89)=MONTH($A163)&amp;$G$141,$DU$12:$DU$89))</f>
        <v>-378.388610839844</v>
      </c>
      <c r="I163" s="721" t="n">
        <v>0</v>
      </c>
      <c r="J163" s="721" t="n">
        <f aca="false" t="array" ref="J163:J163">SUM(IF(MONTH($DX$12:$DX$110)&amp;YEAR($DX$12:$DX$110)=MONTH($A163)&amp;$G$141,$DZ$12:$DZ$110))+SUM(IF(MONTH(OthNewDeals!$B$8:$B$46)&amp;YEAR(OthNewDeals!$B$8:$B$46)&amp;OthNewDeals!$BK$8:$BK$46=MONTH($A163)&amp;$G$141&amp;$DK$161,OthNewDeals!$G$8:$G$46))</f>
        <v>0</v>
      </c>
      <c r="K163" s="721" t="n">
        <f aca="false">SUM(G163:J163)</f>
        <v>-378.388610839844</v>
      </c>
      <c r="L163" s="721" t="n">
        <f aca="false" t="array" ref="L163:L163">SUM(IF(MONTH($DP$12:$DP$89)&amp;YEAR($DP$12:$DP$89)=MONTH($A163)&amp;$L$141,$DT$12:$DT$89))</f>
        <v>0</v>
      </c>
      <c r="M163" s="721" t="n">
        <f aca="false" t="array" ref="M163:M163">SUM(IF(MONTH($DP$12:$DP$89)&amp;YEAR($DP$12:$DP$89)=MONTH($A163)&amp;$L$141,$DU$12:$DU$89))</f>
        <v>0</v>
      </c>
      <c r="N163" s="721" t="n">
        <v>0</v>
      </c>
      <c r="O163" s="721" t="n">
        <f aca="false" t="array" ref="O163:O163">SUM(IF(MONTH($DX$12:$DX$110)&amp;YEAR($DX$12:$DX$110)=MONTH($A163)&amp;$L$141,$DZ$12:$DZ$110))+SUM(IF(MONTH(OthNewDeals!$B$8:$B$46)&amp;YEAR(OthNewDeals!$B$8:$B$46)&amp;OthNewDeals!$BK$8:$BK$46=MONTH($A163)&amp;$L$141&amp;$DK$161,OthNewDeals!$G$8:$G$46))</f>
        <v>0</v>
      </c>
      <c r="P163" s="721" t="n">
        <f aca="false">SUM(L163:O163)</f>
        <v>0</v>
      </c>
      <c r="Q163" s="721" t="n">
        <f aca="false" t="array" ref="Q163:Q163">SUM(IF(MONTH($DP$12:$DP$176)=MONTH($A163),$DT$12:$DT$176))</f>
        <v>0</v>
      </c>
      <c r="R163" s="721" t="n">
        <f aca="false" t="array" ref="R163:R163">SUM(IF(MONTH($DP$12:$DP$176)=MONTH($A163),$DU$12:$DU$176))</f>
        <v>-75779.6015014648</v>
      </c>
      <c r="S163" s="721" t="n">
        <v>0</v>
      </c>
      <c r="T163" s="722"/>
      <c r="U163" s="722"/>
      <c r="V163" s="721" t="n">
        <f aca="false" t="array" ref="V163:V163">SUM(IF(MONTH($DX$12:$DX$119)=MONTH($A163),$DZ$12:$DZ$119))+SUM(IF(MONTH(OthNewDeals!$B$8:$B$46)&amp;OthNewDeals!$BK$8:$BK$46=MONTH($A163)&amp;$DK$161,OthNewDeals!$G$8:$G$46))</f>
        <v>0</v>
      </c>
      <c r="W163" s="721" t="n">
        <f aca="false">SUM(S163:V163)</f>
        <v>0</v>
      </c>
      <c r="X163" s="720" t="n">
        <v>35796</v>
      </c>
      <c r="Y163" s="46"/>
      <c r="Z163" s="724"/>
      <c r="AA163" s="725"/>
      <c r="AB163" s="731"/>
      <c r="AC163" s="0"/>
      <c r="AD163" s="46"/>
      <c r="AE163" s="46"/>
      <c r="AF163" s="46"/>
      <c r="AG163" s="46"/>
      <c r="AH163" s="46"/>
      <c r="AI163" s="46"/>
      <c r="DL163" s="533" t="n">
        <v>40330</v>
      </c>
      <c r="DM163" s="459" t="n">
        <v>22</v>
      </c>
      <c r="DP163" s="534" t="n">
        <f aca="false">[1]Cinergy!$D154</f>
        <v>40817</v>
      </c>
      <c r="DQ163" s="234" t="n">
        <f aca="false">[1]OPPD_NPPD!$O154+[1]NSP!$O154</f>
        <v>0</v>
      </c>
      <c r="DR163" s="234" t="n">
        <f aca="false">[1]COMED!$O154</f>
        <v>0</v>
      </c>
      <c r="DS163" s="234" t="n">
        <f aca="false">DQ163+DR163</f>
        <v>0</v>
      </c>
      <c r="DT163" s="234" t="n">
        <f aca="false">SUM([1]OPPD_NPPD!$P154:$R154)+SUM([1]NSP!$P154:$R154)</f>
        <v>0</v>
      </c>
      <c r="DU163" s="234" t="n">
        <f aca="false">SUM([1]COMED!$P154:$R154)</f>
        <v>0</v>
      </c>
      <c r="DV163" s="234" t="n">
        <f aca="false">DT163+DU163</f>
        <v>0</v>
      </c>
      <c r="DW163" s="535"/>
    </row>
    <row r="164" customFormat="false" ht="15.75" hidden="false" customHeight="false" outlineLevel="0" collapsed="false">
      <c r="A164" s="726" t="n">
        <v>35827</v>
      </c>
      <c r="B164" s="727" t="n">
        <f aca="false" t="array" ref="B164:B164">SUM(IF(MONTH($DP$12:$DP$89)&amp;YEAR($DP$12:$DP$89)=MONTH($A164)&amp;$B$141,$DT$12:$DT$89))</f>
        <v>0</v>
      </c>
      <c r="C164" s="727" t="n">
        <f aca="false" t="array" ref="C164:C164">SUM(IF(MONTH($DP$12:$DP$89)&amp;YEAR($DP$12:$DP$89)=MONTH($A164)&amp;$B$141,$DU$12:$DU$89))</f>
        <v>17274.1372070313</v>
      </c>
      <c r="D164" s="727" t="e">
        <f aca="false" t="array" ref="D164:D164">SUM(IF(MONTH($DP$12:$DP$89)&amp;YEAR($DP$12:$DP$89)=MONTH($A164)&amp;$B$141,#REF!))</f>
        <v>#REF!</v>
      </c>
      <c r="E164" s="727" t="n">
        <f aca="false" t="array" ref="E164:E164">SUM(IF(MONTH($DX$12:$DX$110)&amp;YEAR($DX$12:$DX$110)=MONTH($A164)&amp;$B$141,$DZ$12:$DZ$110))+SUM(IF(MONTH(OthNewDeals!$B$8:$B$46)&amp;YEAR(OthNewDeals!$B$8:$B$46)&amp;OthNewDeals!$BK$8:$BK$46=MONTH($A164)&amp;$B$141&amp;$DK$161,OthNewDeals!$G$8:$G$46))</f>
        <v>0</v>
      </c>
      <c r="F164" s="727" t="e">
        <f aca="false">SUM(B164:E164)</f>
        <v>#REF!</v>
      </c>
      <c r="G164" s="727" t="n">
        <f aca="false" t="array" ref="G164:G164">SUM(IF(MONTH($DP$12:$DP$89)&amp;YEAR($DP$12:$DP$89)=MONTH($A164)&amp;$G$141,$DT$12:$DT$89))</f>
        <v>0</v>
      </c>
      <c r="H164" s="727" t="n">
        <f aca="false" t="array" ref="H164:H164">SUM(IF(MONTH($DP$12:$DP$89)&amp;YEAR($DP$12:$DP$89)=MONTH($A164)&amp;$G$141,$DU$12:$DU$89))</f>
        <v>0</v>
      </c>
      <c r="I164" s="727" t="n">
        <v>0</v>
      </c>
      <c r="J164" s="727" t="n">
        <f aca="false" t="array" ref="J164:J164">SUM(IF(MONTH($DX$12:$DX$110)&amp;YEAR($DX$12:$DX$110)=MONTH($A164)&amp;$G$141,$DZ$12:$DZ$110))+SUM(IF(MONTH(OthNewDeals!$B$8:$B$46)&amp;YEAR(OthNewDeals!$B$8:$B$46)&amp;OthNewDeals!$BK$8:$BK$46=MONTH($A164)&amp;$G$141&amp;$DK$161,OthNewDeals!$G$8:$G$46))</f>
        <v>0</v>
      </c>
      <c r="K164" s="727" t="n">
        <f aca="false">SUM(G164:J164)</f>
        <v>0</v>
      </c>
      <c r="L164" s="727" t="n">
        <f aca="false" t="array" ref="L164:L164">SUM(IF(MONTH($DP$12:$DP$89)&amp;YEAR($DP$12:$DP$89)=MONTH($A164)&amp;$L$141,$DT$12:$DT$89))</f>
        <v>0</v>
      </c>
      <c r="M164" s="727" t="n">
        <f aca="false" t="array" ref="M164:M164">SUM(IF(MONTH($DP$12:$DP$89)&amp;YEAR($DP$12:$DP$89)=MONTH($A164)&amp;$L$141,$DU$12:$DU$89))</f>
        <v>0</v>
      </c>
      <c r="N164" s="727" t="n">
        <v>0</v>
      </c>
      <c r="O164" s="727" t="n">
        <f aca="false" t="array" ref="O164:O164">SUM(IF(MONTH($DX$12:$DX$110)&amp;YEAR($DX$12:$DX$110)=MONTH($A164)&amp;$L$141,$DZ$12:$DZ$110))+SUM(IF(MONTH(OthNewDeals!$B$8:$B$46)&amp;YEAR(OthNewDeals!$B$8:$B$46)&amp;OthNewDeals!$BK$8:$BK$46=MONTH($A164)&amp;$L$141&amp;$DK$161,OthNewDeals!$G$8:$G$46))</f>
        <v>0</v>
      </c>
      <c r="P164" s="727" t="n">
        <f aca="false">SUM(L164:O164)</f>
        <v>0</v>
      </c>
      <c r="Q164" s="727" t="n">
        <f aca="false" t="array" ref="Q164:Q164">SUM(IF(MONTH($DP$12:$DP$176)=MONTH($A164),$DT$12:$DT$176))</f>
        <v>0</v>
      </c>
      <c r="R164" s="727" t="n">
        <f aca="false" t="array" ref="R164:R164">SUM(IF(MONTH($DP$12:$DP$176)=MONTH($A164),$DU$12:$DU$176))</f>
        <v>-63595.1154785156</v>
      </c>
      <c r="S164" s="727" t="n">
        <v>0</v>
      </c>
      <c r="T164" s="722"/>
      <c r="U164" s="722"/>
      <c r="V164" s="727" t="n">
        <f aca="false" t="array" ref="V164:V164">SUM(IF(MONTH($DX$12:$DX$119)=MONTH($A164),$DZ$12:$DZ$119))+SUM(IF(MONTH(OthNewDeals!$B$8:$B$46)&amp;OthNewDeals!$BK$8:$BK$46=MONTH($A164)&amp;$DK$161,OthNewDeals!$G$8:$G$46))</f>
        <v>0</v>
      </c>
      <c r="W164" s="727" t="n">
        <f aca="false">SUM(S164:V164)</f>
        <v>0</v>
      </c>
      <c r="X164" s="726" t="n">
        <v>35827</v>
      </c>
      <c r="Y164" s="46"/>
      <c r="Z164" s="728" t="s">
        <v>141</v>
      </c>
      <c r="AA164" s="729" t="n">
        <f aca="false">SUM(W163:W165)</f>
        <v>0</v>
      </c>
      <c r="AB164" s="729" t="n">
        <f aca="false">R163+R164+R165+S163+S164+S165</f>
        <v>-209700.065612793</v>
      </c>
      <c r="AC164" s="0"/>
      <c r="AD164" s="46"/>
      <c r="AE164" s="46"/>
      <c r="AF164" s="46"/>
      <c r="AG164" s="46"/>
      <c r="AH164" s="46"/>
      <c r="AI164" s="46"/>
      <c r="DL164" s="533" t="n">
        <v>40360</v>
      </c>
      <c r="DM164" s="459" t="n">
        <v>22</v>
      </c>
      <c r="DP164" s="534" t="n">
        <f aca="false">[1]Cinergy!$D155</f>
        <v>40848</v>
      </c>
      <c r="DQ164" s="234" t="n">
        <f aca="false">[1]OPPD_NPPD!$O155+[1]NSP!$O155</f>
        <v>0</v>
      </c>
      <c r="DR164" s="234" t="n">
        <f aca="false">[1]COMED!$O155</f>
        <v>0</v>
      </c>
      <c r="DS164" s="234" t="n">
        <f aca="false">DQ164+DR164</f>
        <v>0</v>
      </c>
      <c r="DT164" s="234" t="n">
        <f aca="false">SUM([1]OPPD_NPPD!$P155:$R155)+SUM([1]NSP!$P155:$R155)</f>
        <v>0</v>
      </c>
      <c r="DU164" s="234" t="n">
        <f aca="false">SUM([1]COMED!$P155:$R155)</f>
        <v>0</v>
      </c>
      <c r="DV164" s="234" t="n">
        <f aca="false">DT164+DU164</f>
        <v>0</v>
      </c>
      <c r="DW164" s="535"/>
    </row>
    <row r="165" customFormat="false" ht="16.5" hidden="false" customHeight="false" outlineLevel="0" collapsed="false">
      <c r="A165" s="726" t="n">
        <f aca="false">A145</f>
        <v>36586</v>
      </c>
      <c r="B165" s="727" t="n">
        <f aca="false" t="array" ref="B165:B165">SUM(IF(MONTH($DP$12:$DP$89)&amp;YEAR($DP$12:$DP$89)=MONTH($A165)&amp;$B$141,$DT$12:$DT$89))</f>
        <v>0</v>
      </c>
      <c r="C165" s="727" t="n">
        <f aca="false" t="array" ref="C165:C165">SUM(IF(MONTH($DP$12:$DP$89)&amp;YEAR($DP$12:$DP$89)=MONTH($A165)&amp;$B$141,$DU$12:$DU$89))</f>
        <v>19962.3193359375</v>
      </c>
      <c r="D165" s="727" t="e">
        <f aca="false" t="array" ref="D165:D165">SUM(IF(MONTH($DP$12:$DP$89)&amp;YEAR($DP$12:$DP$89)=MONTH($A165)&amp;$B$141,#REF!))</f>
        <v>#REF!</v>
      </c>
      <c r="E165" s="727" t="n">
        <f aca="false" t="array" ref="E165:E165">SUM(IF(MONTH($DX$12:$DX$110)&amp;YEAR($DX$12:$DX$110)=MONTH($A165)&amp;$B$141,$DZ$12:$DZ$110))+SUM(IF(MONTH(OthNewDeals!$B$8:$B$46)&amp;YEAR(OthNewDeals!$B$8:$B$46)&amp;OthNewDeals!$BK$8:$BK$46=MONTH($A165)&amp;$B$141&amp;$DK$161,OthNewDeals!$G$8:$G$46))</f>
        <v>0</v>
      </c>
      <c r="F165" s="727" t="e">
        <f aca="false">SUM(B165:E165)</f>
        <v>#REF!</v>
      </c>
      <c r="G165" s="727" t="n">
        <f aca="false" t="array" ref="G165:G165">SUM(IF(MONTH($DP$12:$DP$89)&amp;YEAR($DP$12:$DP$89)=MONTH($A165)&amp;$G$141,$DT$12:$DT$89))</f>
        <v>0</v>
      </c>
      <c r="H165" s="727" t="n">
        <f aca="false" t="array" ref="H165:H165">SUM(IF(MONTH($DP$12:$DP$89)&amp;YEAR($DP$12:$DP$89)=MONTH($A165)&amp;$G$141,$DU$12:$DU$89))</f>
        <v>0</v>
      </c>
      <c r="I165" s="727" t="n">
        <v>0</v>
      </c>
      <c r="J165" s="727" t="n">
        <f aca="false" t="array" ref="J165:J165">SUM(IF(MONTH($DX$12:$DX$110)&amp;YEAR($DX$12:$DX$110)=MONTH($A165)&amp;$G$141,$DZ$12:$DZ$110))+SUM(IF(MONTH(OthNewDeals!$B$8:$B$46)&amp;YEAR(OthNewDeals!$B$8:$B$46)&amp;OthNewDeals!$BK$8:$BK$46=MONTH($A165)&amp;$G$141&amp;$DK$161,OthNewDeals!$G$8:$G$46))</f>
        <v>0</v>
      </c>
      <c r="K165" s="727" t="n">
        <f aca="false">SUM(G165:J165)</f>
        <v>0</v>
      </c>
      <c r="L165" s="727" t="n">
        <f aca="false" t="array" ref="L165:L165">SUM(IF(MONTH($DP$12:$DP$89)&amp;YEAR($DP$12:$DP$89)=MONTH($A165)&amp;$L$141,$DT$12:$DT$89))</f>
        <v>0</v>
      </c>
      <c r="M165" s="727" t="n">
        <f aca="false" t="array" ref="M165:M165">SUM(IF(MONTH($DP$12:$DP$89)&amp;YEAR($DP$12:$DP$89)=MONTH($A165)&amp;$L$141,$DU$12:$DU$89))</f>
        <v>0</v>
      </c>
      <c r="N165" s="727" t="n">
        <v>0</v>
      </c>
      <c r="O165" s="727" t="n">
        <f aca="false" t="array" ref="O165:O165">SUM(IF(MONTH($DX$12:$DX$110)&amp;YEAR($DX$12:$DX$110)=MONTH($A165)&amp;$L$141,$DZ$12:$DZ$110))+SUM(IF(MONTH(OthNewDeals!$B$8:$B$46)&amp;YEAR(OthNewDeals!$B$8:$B$46)&amp;OthNewDeals!$BK$8:$BK$46=MONTH($A165)&amp;$L$141&amp;$DK$161,OthNewDeals!$G$8:$G$46))</f>
        <v>0</v>
      </c>
      <c r="P165" s="727" t="n">
        <f aca="false">SUM(L165:O165)</f>
        <v>0</v>
      </c>
      <c r="Q165" s="727" t="n">
        <f aca="false" t="array" ref="Q165:Q165">SUM(IF(MONTH($DP$12:$DP$176)=MONTH($A165),$DT$12:$DT$176))</f>
        <v>0</v>
      </c>
      <c r="R165" s="727" t="n">
        <f aca="false" t="array" ref="R165:R165">SUM(IF(MONTH($DP$12:$DP$176)=MONTH($A165),$DU$12:$DU$176))</f>
        <v>-70325.3486328125</v>
      </c>
      <c r="S165" s="727" t="n">
        <v>0</v>
      </c>
      <c r="T165" s="722"/>
      <c r="U165" s="722"/>
      <c r="V165" s="727" t="n">
        <f aca="false" t="array" ref="V165:V165">SUM(IF(MONTH($DX$12:$DX$119)=MONTH($A165),$DZ$12:$DZ$119))+SUM(IF(MONTH(OthNewDeals!$B$8:$B$46)&amp;OthNewDeals!$BK$8:$BK$46=MONTH($A165)&amp;$DK$161,OthNewDeals!$G$8:$G$46))</f>
        <v>0</v>
      </c>
      <c r="W165" s="727" t="n">
        <f aca="false">SUM(S165:V165)</f>
        <v>0</v>
      </c>
      <c r="X165" s="726" t="n">
        <v>36586</v>
      </c>
      <c r="Y165" s="46"/>
      <c r="Z165" s="82"/>
      <c r="AA165" s="730"/>
      <c r="AB165" s="732"/>
      <c r="AC165" s="0"/>
      <c r="AD165" s="46"/>
      <c r="AE165" s="46"/>
      <c r="AF165" s="46"/>
      <c r="AG165" s="46"/>
      <c r="AH165" s="46"/>
      <c r="AI165" s="46"/>
      <c r="DL165" s="533" t="n">
        <v>40391</v>
      </c>
      <c r="DM165" s="459" t="n">
        <v>22</v>
      </c>
      <c r="DP165" s="534" t="n">
        <f aca="false">[1]Cinergy!$D156</f>
        <v>40878</v>
      </c>
      <c r="DQ165" s="234" t="n">
        <f aca="false">[1]OPPD_NPPD!$O156+[1]NSP!$O156</f>
        <v>0</v>
      </c>
      <c r="DR165" s="234" t="n">
        <f aca="false">[1]COMED!$O156</f>
        <v>0</v>
      </c>
      <c r="DS165" s="234" t="n">
        <f aca="false">DQ165+DR165</f>
        <v>0</v>
      </c>
      <c r="DT165" s="234" t="n">
        <f aca="false">SUM([1]OPPD_NPPD!$P156:$R156)+SUM([1]NSP!$P156:$R156)</f>
        <v>0</v>
      </c>
      <c r="DU165" s="234" t="n">
        <f aca="false">SUM([1]COMED!$P156:$R156)</f>
        <v>0</v>
      </c>
      <c r="DV165" s="234" t="n">
        <f aca="false">DT165+DU165</f>
        <v>0</v>
      </c>
      <c r="DW165" s="535"/>
    </row>
    <row r="166" customFormat="false" ht="15" hidden="false" customHeight="false" outlineLevel="0" collapsed="false">
      <c r="A166" s="726" t="n">
        <f aca="false">A146</f>
        <v>36617</v>
      </c>
      <c r="B166" s="727" t="n">
        <f aca="false" t="array" ref="B166:B166">SUM(IF(MONTH($DP$12:$DP$89)&amp;YEAR($DP$12:$DP$89)=MONTH($A166)&amp;$B$141,$DT$12:$DT$89))</f>
        <v>0</v>
      </c>
      <c r="C166" s="727" t="n">
        <f aca="false" t="array" ref="C166:C166">SUM(IF(MONTH($DP$12:$DP$89)&amp;YEAR($DP$12:$DP$89)=MONTH($A166)&amp;$B$141,$DU$12:$DU$89))</f>
        <v>17903.7670898438</v>
      </c>
      <c r="D166" s="727" t="e">
        <f aca="false" t="array" ref="D166:D166">SUM(IF(MONTH($DP$12:$DP$89)&amp;YEAR($DP$12:$DP$89)=MONTH($A166)&amp;$B$141,#REF!))</f>
        <v>#REF!</v>
      </c>
      <c r="E166" s="727" t="n">
        <f aca="false" t="array" ref="E166:E166">SUM(IF(MONTH($DX$12:$DX$110)&amp;YEAR($DX$12:$DX$110)=MONTH($A166)&amp;$B$141,$DZ$12:$DZ$110))+SUM(IF(MONTH(OthNewDeals!$B$8:$B$46)&amp;YEAR(OthNewDeals!$B$8:$B$46)&amp;OthNewDeals!$BK$8:$BK$46=MONTH($A166)&amp;$B$141&amp;$DK$161,OthNewDeals!$G$8:$G$46))</f>
        <v>0</v>
      </c>
      <c r="F166" s="727" t="e">
        <f aca="false">SUM(B166:E166)</f>
        <v>#REF!</v>
      </c>
      <c r="G166" s="727" t="n">
        <f aca="false" t="array" ref="G166:G166">SUM(IF(MONTH($DP$12:$DP$89)&amp;YEAR($DP$12:$DP$89)=MONTH($A166)&amp;$G$141,$DT$12:$DT$89))</f>
        <v>0</v>
      </c>
      <c r="H166" s="727" t="n">
        <f aca="false" t="array" ref="H166:H166">SUM(IF(MONTH($DP$12:$DP$89)&amp;YEAR($DP$12:$DP$89)=MONTH($A166)&amp;$G$141,$DU$12:$DU$89))</f>
        <v>0</v>
      </c>
      <c r="I166" s="727" t="n">
        <v>0</v>
      </c>
      <c r="J166" s="727" t="n">
        <f aca="false" t="array" ref="J166:J166">SUM(IF(MONTH($DX$12:$DX$110)&amp;YEAR($DX$12:$DX$110)=MONTH($A166)&amp;$G$141,$DZ$12:$DZ$110))+SUM(IF(MONTH(OthNewDeals!$B$8:$B$46)&amp;YEAR(OthNewDeals!$B$8:$B$46)&amp;OthNewDeals!$BK$8:$BK$46=MONTH($A166)&amp;$G$141&amp;$DK$161,OthNewDeals!$G$8:$G$46))</f>
        <v>0</v>
      </c>
      <c r="K166" s="727" t="n">
        <f aca="false">SUM(G166:J166)</f>
        <v>0</v>
      </c>
      <c r="L166" s="727" t="n">
        <f aca="false" t="array" ref="L166:L166">SUM(IF(MONTH($DP$12:$DP$89)&amp;YEAR($DP$12:$DP$89)=MONTH($A166)&amp;$L$141,$DT$12:$DT$89))</f>
        <v>0</v>
      </c>
      <c r="M166" s="727" t="n">
        <f aca="false" t="array" ref="M166:M166">SUM(IF(MONTH($DP$12:$DP$89)&amp;YEAR($DP$12:$DP$89)=MONTH($A166)&amp;$L$141,$DU$12:$DU$89))</f>
        <v>0</v>
      </c>
      <c r="N166" s="727" t="n">
        <v>0</v>
      </c>
      <c r="O166" s="727" t="n">
        <f aca="false" t="array" ref="O166:O166">SUM(IF(MONTH($DX$12:$DX$110)&amp;YEAR($DX$12:$DX$110)=MONTH($A166)&amp;$L$141,$DZ$12:$DZ$110))+SUM(IF(MONTH(OthNewDeals!$B$8:$B$46)&amp;YEAR(OthNewDeals!$B$8:$B$46)&amp;OthNewDeals!$BK$8:$BK$46=MONTH($A166)&amp;$L$141&amp;$DK$161,OthNewDeals!$G$8:$G$46))</f>
        <v>0</v>
      </c>
      <c r="P166" s="727" t="n">
        <f aca="false">SUM(L166:O166)</f>
        <v>0</v>
      </c>
      <c r="Q166" s="727" t="n">
        <f aca="false" t="array" ref="Q166:Q166">SUM(IF(MONTH($DP$12:$DP$176)=MONTH($A166),$DT$12:$DT$176))</f>
        <v>0</v>
      </c>
      <c r="R166" s="727" t="n">
        <f aca="false" t="array" ref="R166:R166">SUM(IF(MONTH($DP$12:$DP$176)=MONTH($A166),$DU$12:$DU$176))</f>
        <v>-68743.0913085938</v>
      </c>
      <c r="S166" s="727" t="n">
        <v>0</v>
      </c>
      <c r="T166" s="722"/>
      <c r="U166" s="722"/>
      <c r="V166" s="727" t="n">
        <f aca="false" t="array" ref="V166:V166">SUM(IF(MONTH($DX$12:$DX$119)=MONTH($A166),$DZ$12:$DZ$119))+SUM(IF(MONTH(OthNewDeals!$B$8:$B$46)&amp;OthNewDeals!$BK$8:$BK$46=MONTH($A166)&amp;$DK$161,OthNewDeals!$G$8:$G$46))</f>
        <v>0</v>
      </c>
      <c r="W166" s="727" t="n">
        <f aca="false">SUM(S166:V166)</f>
        <v>0</v>
      </c>
      <c r="X166" s="726" t="n">
        <v>36617</v>
      </c>
      <c r="Y166" s="46"/>
      <c r="Z166" s="724"/>
      <c r="AA166" s="725"/>
      <c r="AB166" s="731"/>
      <c r="AC166" s="0"/>
      <c r="AD166" s="46"/>
      <c r="AE166" s="46"/>
      <c r="AF166" s="46"/>
      <c r="AG166" s="46"/>
      <c r="AH166" s="46"/>
      <c r="AI166" s="46"/>
      <c r="DL166" s="533" t="n">
        <v>40422</v>
      </c>
      <c r="DM166" s="459" t="n">
        <v>21</v>
      </c>
      <c r="DP166" s="534" t="n">
        <f aca="false">[1]Cinergy!$D157</f>
        <v>40909</v>
      </c>
      <c r="DQ166" s="234" t="n">
        <f aca="false">[1]OPPD_NPPD!$O157+[1]NSP!$O157</f>
        <v>0</v>
      </c>
      <c r="DR166" s="234" t="n">
        <f aca="false">[1]COMED!$O157</f>
        <v>0</v>
      </c>
      <c r="DS166" s="234" t="n">
        <f aca="false">DQ166+DR166</f>
        <v>0</v>
      </c>
      <c r="DT166" s="234" t="n">
        <f aca="false">SUM([1]OPPD_NPPD!$P157:$R157)+SUM([1]NSP!$P157:$R157)</f>
        <v>0</v>
      </c>
      <c r="DU166" s="234" t="n">
        <f aca="false">SUM([1]COMED!$P157:$R157)</f>
        <v>0</v>
      </c>
      <c r="DV166" s="234" t="n">
        <f aca="false">DT166+DU166</f>
        <v>0</v>
      </c>
      <c r="DW166" s="535"/>
    </row>
    <row r="167" customFormat="false" ht="15.75" hidden="false" customHeight="false" outlineLevel="0" collapsed="false">
      <c r="A167" s="726" t="n">
        <f aca="false">A147</f>
        <v>36647</v>
      </c>
      <c r="B167" s="727" t="n">
        <f aca="false" t="array" ref="B167:B167">SUM(IF(MONTH($DP$12:$DP$89)&amp;YEAR($DP$12:$DP$89)=MONTH($A167)&amp;$B$141,$DT$12:$DT$89))</f>
        <v>0</v>
      </c>
      <c r="C167" s="727" t="n">
        <f aca="false" t="array" ref="C167:C167">SUM(IF(MONTH($DP$12:$DP$89)&amp;YEAR($DP$12:$DP$89)=MONTH($A167)&amp;$B$141,$DU$12:$DU$89))</f>
        <v>18675.5808105469</v>
      </c>
      <c r="D167" s="727" t="e">
        <f aca="false" t="array" ref="D167:D167">SUM(IF(MONTH($DP$12:$DP$89)&amp;YEAR($DP$12:$DP$89)=MONTH($A167)&amp;$B$141,#REF!))</f>
        <v>#REF!</v>
      </c>
      <c r="E167" s="727" t="n">
        <f aca="false" t="array" ref="E167:E167">SUM(IF(MONTH($DX$12:$DX$110)&amp;YEAR($DX$12:$DX$110)=MONTH($A167)&amp;$B$141,$DZ$12:$DZ$110))+SUM(IF(MONTH(OthNewDeals!$B$8:$B$46)&amp;YEAR(OthNewDeals!$B$8:$B$46)&amp;OthNewDeals!$BK$8:$BK$46=MONTH($A167)&amp;$B$141&amp;$DK$161,OthNewDeals!$G$8:$G$46))</f>
        <v>0</v>
      </c>
      <c r="F167" s="727" t="e">
        <f aca="false">SUM(B167:E167)</f>
        <v>#REF!</v>
      </c>
      <c r="G167" s="727" t="n">
        <f aca="false" t="array" ref="G167:G167">SUM(IF(MONTH($DP$12:$DP$89)&amp;YEAR($DP$12:$DP$89)=MONTH($A167)&amp;$G$141,$DT$12:$DT$89))</f>
        <v>0</v>
      </c>
      <c r="H167" s="727" t="n">
        <f aca="false" t="array" ref="H167:H167">SUM(IF(MONTH($DP$12:$DP$89)&amp;YEAR($DP$12:$DP$89)=MONTH($A167)&amp;$G$141,$DU$12:$DU$89))</f>
        <v>-372.471771240234</v>
      </c>
      <c r="I167" s="727" t="n">
        <v>0</v>
      </c>
      <c r="J167" s="727" t="n">
        <f aca="false" t="array" ref="J167:J167">SUM(IF(MONTH($DX$12:$DX$110)&amp;YEAR($DX$12:$DX$110)=MONTH($A167)&amp;$G$141,$DZ$12:$DZ$110))+SUM(IF(MONTH(OthNewDeals!$B$8:$B$46)&amp;YEAR(OthNewDeals!$B$8:$B$46)&amp;OthNewDeals!$BK$8:$BK$46=MONTH($A167)&amp;$G$141&amp;$DK$161,OthNewDeals!$G$8:$G$46))</f>
        <v>0</v>
      </c>
      <c r="K167" s="727" t="n">
        <f aca="false">SUM(G167:J167)</f>
        <v>-372.471771240234</v>
      </c>
      <c r="L167" s="727" t="n">
        <f aca="false" t="array" ref="L167:L167">SUM(IF(MONTH($DP$12:$DP$89)&amp;YEAR($DP$12:$DP$89)=MONTH($A167)&amp;$L$141,$DT$12:$DT$89))</f>
        <v>0</v>
      </c>
      <c r="M167" s="727" t="n">
        <f aca="false" t="array" ref="M167:M167">SUM(IF(MONTH($DP$12:$DP$89)&amp;YEAR($DP$12:$DP$89)=MONTH($A167)&amp;$L$141,$DU$12:$DU$89))</f>
        <v>0</v>
      </c>
      <c r="N167" s="727" t="n">
        <v>0</v>
      </c>
      <c r="O167" s="727" t="n">
        <f aca="false" t="array" ref="O167:O167">SUM(IF(MONTH($DX$12:$DX$110)&amp;YEAR($DX$12:$DX$110)=MONTH($A167)&amp;$L$141,$DZ$12:$DZ$110))+SUM(IF(MONTH(OthNewDeals!$B$8:$B$46)&amp;YEAR(OthNewDeals!$B$8:$B$46)&amp;OthNewDeals!$BK$8:$BK$46=MONTH($A167)&amp;$L$141&amp;$DK$161,OthNewDeals!$G$8:$G$46))</f>
        <v>0</v>
      </c>
      <c r="P167" s="727" t="n">
        <f aca="false">SUM(L167:O167)</f>
        <v>0</v>
      </c>
      <c r="Q167" s="727" t="n">
        <f aca="false" t="array" ref="Q167:Q167">SUM(IF(MONTH($DP$12:$DP$176)=MONTH($A167),$DT$12:$DT$176))</f>
        <v>0</v>
      </c>
      <c r="R167" s="727" t="n">
        <f aca="false" t="array" ref="R167:R167">SUM(IF(MONTH($DP$12:$DP$176)=MONTH($A167),$DU$12:$DU$176))</f>
        <v>-65689.6202087402</v>
      </c>
      <c r="S167" s="727" t="n">
        <v>0</v>
      </c>
      <c r="T167" s="722"/>
      <c r="U167" s="722"/>
      <c r="V167" s="727" t="n">
        <f aca="false" t="array" ref="V167:V167">SUM(IF(MONTH($DX$12:$DX$119)=MONTH($A167),$DZ$12:$DZ$119))+SUM(IF(MONTH(OthNewDeals!$B$8:$B$46)&amp;OthNewDeals!$BK$8:$BK$46=MONTH($A167)&amp;$DK$161,OthNewDeals!$G$8:$G$46))</f>
        <v>0</v>
      </c>
      <c r="W167" s="727" t="n">
        <f aca="false">SUM(S167:V167)</f>
        <v>0</v>
      </c>
      <c r="X167" s="726" t="n">
        <v>36647</v>
      </c>
      <c r="Y167" s="46"/>
      <c r="Z167" s="728" t="s">
        <v>142</v>
      </c>
      <c r="AA167" s="729" t="n">
        <f aca="false">SUM(W166:W168)</f>
        <v>0</v>
      </c>
      <c r="AB167" s="729" t="n">
        <f aca="false">R166+R167+R168+S166+S167+S168</f>
        <v>-189893.66708374</v>
      </c>
      <c r="AC167" s="0"/>
      <c r="AD167" s="46"/>
      <c r="AE167" s="46"/>
      <c r="AF167" s="46"/>
      <c r="AG167" s="46"/>
      <c r="AH167" s="46"/>
      <c r="AI167" s="46"/>
      <c r="DL167" s="533" t="n">
        <v>40452</v>
      </c>
      <c r="DM167" s="459" t="n">
        <v>21</v>
      </c>
      <c r="DP167" s="534" t="n">
        <f aca="false">[1]Cinergy!$D158</f>
        <v>40940</v>
      </c>
      <c r="DQ167" s="234" t="n">
        <f aca="false">[1]OPPD_NPPD!$O158+[1]NSP!$O158</f>
        <v>0</v>
      </c>
      <c r="DR167" s="234" t="n">
        <f aca="false">[1]COMED!$O158</f>
        <v>0</v>
      </c>
      <c r="DS167" s="234" t="n">
        <f aca="false">DQ167+DR167</f>
        <v>0</v>
      </c>
      <c r="DT167" s="234" t="n">
        <f aca="false">SUM([1]OPPD_NPPD!$P158:$R158)+SUM([1]NSP!$P158:$R158)</f>
        <v>0</v>
      </c>
      <c r="DU167" s="234" t="n">
        <f aca="false">SUM([1]COMED!$P158:$R158)</f>
        <v>0</v>
      </c>
      <c r="DV167" s="234" t="n">
        <f aca="false">DT167+DU167</f>
        <v>0</v>
      </c>
      <c r="DW167" s="535"/>
    </row>
    <row r="168" customFormat="false" ht="16.5" hidden="false" customHeight="false" outlineLevel="0" collapsed="false">
      <c r="A168" s="726" t="n">
        <f aca="false">A148</f>
        <v>36678</v>
      </c>
      <c r="B168" s="727" t="n">
        <f aca="false" t="array" ref="B168:B168">SUM(IF(MONTH($DP$12:$DP$89)&amp;YEAR($DP$12:$DP$89)=MONTH($A168)&amp;$B$141,$DT$12:$DT$89))</f>
        <v>0</v>
      </c>
      <c r="C168" s="727" t="n">
        <f aca="false" t="array" ref="C168:C168">SUM(IF(MONTH($DP$12:$DP$89)&amp;YEAR($DP$12:$DP$89)=MONTH($A168)&amp;$B$141,$DU$12:$DU$89))</f>
        <v>19393.9174804688</v>
      </c>
      <c r="D168" s="727" t="n">
        <v>0</v>
      </c>
      <c r="E168" s="727" t="n">
        <f aca="false" t="array" ref="E168:E168">SUM(IF(MONTH($DX$12:$DX$110)&amp;YEAR($DX$12:$DX$110)=MONTH($A168)&amp;$B$141,$DZ$12:$DZ$110))+SUM(IF(MONTH(OthNewDeals!$B$8:$B$46)&amp;YEAR(OthNewDeals!$B$8:$B$46)&amp;OthNewDeals!$BK$8:$BK$46=MONTH($A168)&amp;$B$141&amp;$DK$161,OthNewDeals!$G$8:$G$46))</f>
        <v>0</v>
      </c>
      <c r="F168" s="727" t="n">
        <v>0</v>
      </c>
      <c r="G168" s="727" t="n">
        <f aca="false" t="array" ref="G168:G168">SUM(IF(MONTH($DP$12:$DP$89)&amp;YEAR($DP$12:$DP$89)=MONTH($A168)&amp;$G$141,$DT$12:$DT$89))</f>
        <v>0</v>
      </c>
      <c r="H168" s="727" t="n">
        <f aca="false" t="array" ref="H168:H168">SUM(IF(MONTH($DP$12:$DP$89)&amp;YEAR($DP$12:$DP$89)=MONTH($A168)&amp;$G$141,$DU$12:$DU$89))</f>
        <v>0</v>
      </c>
      <c r="I168" s="727" t="n">
        <v>0</v>
      </c>
      <c r="J168" s="727" t="n">
        <f aca="false" t="array" ref="J168:J168">SUM(IF(MONTH($DX$12:$DX$110)&amp;YEAR($DX$12:$DX$110)=MONTH($A168)&amp;$G$141,$DZ$12:$DZ$110))+SUM(IF(MONTH(OthNewDeals!$B$8:$B$46)&amp;YEAR(OthNewDeals!$B$8:$B$46)&amp;OthNewDeals!$BK$8:$BK$46=MONTH($A168)&amp;$G$141&amp;$DK$161,OthNewDeals!$G$8:$G$46))</f>
        <v>0</v>
      </c>
      <c r="K168" s="727" t="n">
        <f aca="false">SUM(G168:J168)</f>
        <v>0</v>
      </c>
      <c r="L168" s="727" t="n">
        <f aca="false" t="array" ref="L168:L168">SUM(IF(MONTH($DP$12:$DP$89)&amp;YEAR($DP$12:$DP$89)=MONTH($A168)&amp;$L$141,$DT$12:$DT$89))</f>
        <v>0</v>
      </c>
      <c r="M168" s="727" t="n">
        <f aca="false" t="array" ref="M168:M168">SUM(IF(MONTH($DP$12:$DP$89)&amp;YEAR($DP$12:$DP$89)=MONTH($A168)&amp;$L$141,$DU$12:$DU$89))</f>
        <v>0</v>
      </c>
      <c r="N168" s="727" t="n">
        <v>0</v>
      </c>
      <c r="O168" s="727" t="n">
        <f aca="false" t="array" ref="O168:O168">SUM(IF(MONTH($DX$12:$DX$110)&amp;YEAR($DX$12:$DX$110)=MONTH($A168)&amp;$L$141,$DZ$12:$DZ$110))+SUM(IF(MONTH(OthNewDeals!$B$8:$B$46)&amp;YEAR(OthNewDeals!$B$8:$B$46)&amp;OthNewDeals!$BK$8:$BK$46=MONTH($A168)&amp;$L$141&amp;$DK$161,OthNewDeals!$G$8:$G$46))</f>
        <v>0</v>
      </c>
      <c r="P168" s="727" t="n">
        <f aca="false">SUM(L168:O168)</f>
        <v>0</v>
      </c>
      <c r="Q168" s="727" t="n">
        <f aca="false" t="array" ref="Q168:Q168">SUM(IF(MONTH($DP$12:$DP$176)=MONTH($A168),$DT$12:$DT$176))</f>
        <v>0</v>
      </c>
      <c r="R168" s="727" t="n">
        <f aca="false" t="array" ref="R168:R168">SUM(IF(MONTH($DP$12:$DP$176)=MONTH($A168),$DU$12:$DU$176))</f>
        <v>-55460.9555664063</v>
      </c>
      <c r="S168" s="727" t="n">
        <v>0</v>
      </c>
      <c r="T168" s="722"/>
      <c r="U168" s="722"/>
      <c r="V168" s="727" t="n">
        <f aca="false" t="array" ref="V168:V168">SUM(IF(MONTH($DX$12:$DX$119)=MONTH($A168),$DZ$12:$DZ$119))+SUM(IF(MONTH(OthNewDeals!$B$8:$B$46)&amp;OthNewDeals!$BK$8:$BK$46=MONTH($A168)&amp;$DK$161,OthNewDeals!$G$8:$G$46))</f>
        <v>0</v>
      </c>
      <c r="W168" s="727" t="n">
        <f aca="false">SUM(S168:V168)</f>
        <v>0</v>
      </c>
      <c r="X168" s="726" t="n">
        <v>36678</v>
      </c>
      <c r="Y168" s="46"/>
      <c r="Z168" s="82"/>
      <c r="AA168" s="730"/>
      <c r="AB168" s="732"/>
      <c r="AC168" s="0"/>
      <c r="AD168" s="46"/>
      <c r="AE168" s="46"/>
      <c r="AF168" s="46"/>
      <c r="AG168" s="46"/>
      <c r="AH168" s="46"/>
      <c r="AI168" s="46"/>
      <c r="DL168" s="533" t="n">
        <v>40483</v>
      </c>
      <c r="DM168" s="459" t="n">
        <v>21</v>
      </c>
      <c r="DP168" s="534" t="n">
        <f aca="false">[1]Cinergy!$D159</f>
        <v>40969</v>
      </c>
      <c r="DQ168" s="234" t="n">
        <f aca="false">[1]OPPD_NPPD!$O159+[1]NSP!$O159</f>
        <v>0</v>
      </c>
      <c r="DR168" s="234" t="n">
        <f aca="false">[1]COMED!$O159</f>
        <v>0</v>
      </c>
      <c r="DS168" s="234" t="n">
        <f aca="false">DQ168+DR168</f>
        <v>0</v>
      </c>
      <c r="DT168" s="234" t="n">
        <f aca="false">SUM([1]OPPD_NPPD!$P159:$R159)+SUM([1]NSP!$P159:$R159)</f>
        <v>0</v>
      </c>
      <c r="DU168" s="234" t="n">
        <f aca="false">SUM([1]COMED!$P159:$R159)</f>
        <v>0</v>
      </c>
      <c r="DV168" s="234" t="n">
        <f aca="false">DT168+DU168</f>
        <v>0</v>
      </c>
      <c r="DW168" s="535"/>
    </row>
    <row r="169" customFormat="false" ht="15" hidden="false" customHeight="false" outlineLevel="0" collapsed="false">
      <c r="A169" s="726" t="n">
        <f aca="false">A149</f>
        <v>36708</v>
      </c>
      <c r="B169" s="727" t="n">
        <f aca="false" t="array" ref="B169:B169">SUM(IF(MONTH($DP$12:$DP$89)&amp;YEAR($DP$12:$DP$89)=MONTH($A169)&amp;$B$141,$DT$12:$DT$89))</f>
        <v>0</v>
      </c>
      <c r="C169" s="727" t="n">
        <f aca="false" t="array" ref="C169:C169">SUM(IF(MONTH($DP$12:$DP$89)&amp;YEAR($DP$12:$DP$89)=MONTH($A169)&amp;$B$141,$DU$12:$DU$89))</f>
        <v>18557.5935058594</v>
      </c>
      <c r="D169" s="727" t="n">
        <v>0</v>
      </c>
      <c r="E169" s="727" t="n">
        <f aca="false" t="array" ref="E169:E169">SUM(IF(MONTH($DX$12:$DX$110)&amp;YEAR($DX$12:$DX$110)=MONTH($A169)&amp;$B$141,$DZ$12:$DZ$110))+SUM(IF(MONTH(OthNewDeals!$B$8:$B$46)&amp;YEAR(OthNewDeals!$B$8:$B$46)&amp;OthNewDeals!$BK$8:$BK$46=MONTH($A169)&amp;$B$141&amp;$DK$161,OthNewDeals!$G$8:$G$46))</f>
        <v>0</v>
      </c>
      <c r="F169" s="727" t="n">
        <v>0</v>
      </c>
      <c r="G169" s="727" t="n">
        <f aca="false" t="array" ref="G169:G169">SUM(IF(MONTH($DP$12:$DP$89)&amp;YEAR($DP$12:$DP$89)=MONTH($A169)&amp;$G$141,$DT$12:$DT$89))</f>
        <v>0</v>
      </c>
      <c r="H169" s="727" t="n">
        <f aca="false" t="array" ref="H169:H169">SUM(IF(MONTH($DP$12:$DP$89)&amp;YEAR($DP$12:$DP$89)=MONTH($A169)&amp;$G$141,$DU$12:$DU$89))</f>
        <v>-369.342620849609</v>
      </c>
      <c r="I169" s="727" t="n">
        <v>0</v>
      </c>
      <c r="J169" s="727" t="n">
        <f aca="false" t="array" ref="J169:J169">SUM(IF(MONTH($DX$12:$DX$110)&amp;YEAR($DX$12:$DX$110)=MONTH($A169)&amp;$G$141,$DZ$12:$DZ$110))+SUM(IF(MONTH(OthNewDeals!$B$8:$B$46)&amp;YEAR(OthNewDeals!$B$8:$B$46)&amp;OthNewDeals!$BK$8:$BK$46=MONTH($A169)&amp;$G$141&amp;$DK$161,OthNewDeals!$G$8:$G$46))</f>
        <v>0</v>
      </c>
      <c r="K169" s="727" t="n">
        <f aca="false">SUM(G169:J169)</f>
        <v>-369.342620849609</v>
      </c>
      <c r="L169" s="727" t="n">
        <f aca="false" t="array" ref="L169:L169">SUM(IF(MONTH($DP$12:$DP$89)&amp;YEAR($DP$12:$DP$89)=MONTH($A169)&amp;$L$141,$DT$12:$DT$89))</f>
        <v>0</v>
      </c>
      <c r="M169" s="727" t="n">
        <f aca="false" t="array" ref="M169:M169">SUM(IF(MONTH($DP$12:$DP$89)&amp;YEAR($DP$12:$DP$89)=MONTH($A169)&amp;$L$141,$DU$12:$DU$89))</f>
        <v>0</v>
      </c>
      <c r="N169" s="727" t="n">
        <v>0</v>
      </c>
      <c r="O169" s="727" t="n">
        <f aca="false" t="array" ref="O169:O169">SUM(IF(MONTH($DX$12:$DX$110)&amp;YEAR($DX$12:$DX$110)=MONTH($A169)&amp;$L$141,$DZ$12:$DZ$110))+SUM(IF(MONTH(OthNewDeals!$B$8:$B$46)&amp;YEAR(OthNewDeals!$B$8:$B$46)&amp;OthNewDeals!$BK$8:$BK$46=MONTH($A169)&amp;$L$141&amp;$DK$161,OthNewDeals!$G$8:$G$46))</f>
        <v>0</v>
      </c>
      <c r="P169" s="727" t="n">
        <f aca="false">SUM(L169:O169)</f>
        <v>0</v>
      </c>
      <c r="Q169" s="727" t="n">
        <f aca="false" t="array" ref="Q169:Q169">SUM(IF(MONTH($DP$12:$DP$176)=MONTH($A169),$DT$12:$DT$176))</f>
        <v>0</v>
      </c>
      <c r="R169" s="727" t="n">
        <f aca="false" t="array" ref="R169:R169">SUM(IF(MONTH($DP$12:$DP$176)=MONTH($A169),$DU$12:$DU$176))</f>
        <v>-59171.5160827637</v>
      </c>
      <c r="S169" s="727" t="n">
        <v>0</v>
      </c>
      <c r="T169" s="722"/>
      <c r="U169" s="722"/>
      <c r="V169" s="727" t="n">
        <f aca="false" t="array" ref="V169:V169">SUM(IF(MONTH($DX$12:$DX$119)=MONTH($A169),$DZ$12:$DZ$119))+SUM(IF(MONTH(OthNewDeals!$B$8:$B$46)&amp;OthNewDeals!$BK$8:$BK$46=MONTH($A169)&amp;$DK$161,OthNewDeals!$G$8:$G$46))</f>
        <v>0</v>
      </c>
      <c r="W169" s="727" t="n">
        <f aca="false">SUM(S169:V169)</f>
        <v>0</v>
      </c>
      <c r="X169" s="726" t="n">
        <v>36708</v>
      </c>
      <c r="Y169" s="46"/>
      <c r="Z169" s="724"/>
      <c r="AA169" s="725"/>
      <c r="AB169" s="731"/>
      <c r="AC169" s="0"/>
      <c r="AD169" s="46"/>
      <c r="AE169" s="46"/>
      <c r="AF169" s="46"/>
      <c r="AG169" s="46"/>
      <c r="AH169" s="46"/>
      <c r="AI169" s="46"/>
      <c r="DL169" s="533" t="n">
        <v>40513</v>
      </c>
      <c r="DM169" s="459" t="n">
        <v>23</v>
      </c>
      <c r="DP169" s="534" t="n">
        <f aca="false">[1]Cinergy!$D160</f>
        <v>41000</v>
      </c>
      <c r="DQ169" s="234" t="n">
        <f aca="false">[1]OPPD_NPPD!$O160+[1]NSP!$O160</f>
        <v>0</v>
      </c>
      <c r="DR169" s="234" t="n">
        <f aca="false">[1]COMED!$O160</f>
        <v>0</v>
      </c>
      <c r="DS169" s="234" t="n">
        <f aca="false">DQ169+DR169</f>
        <v>0</v>
      </c>
      <c r="DT169" s="234" t="n">
        <f aca="false">SUM([1]OPPD_NPPD!$P160:$R160)+SUM([1]NSP!$P160:$R160)</f>
        <v>0</v>
      </c>
      <c r="DU169" s="234" t="n">
        <f aca="false">SUM([1]COMED!$P160:$R160)</f>
        <v>0</v>
      </c>
      <c r="DV169" s="234" t="n">
        <f aca="false">DT169+DU169</f>
        <v>0</v>
      </c>
      <c r="DW169" s="535"/>
    </row>
    <row r="170" customFormat="false" ht="15.75" hidden="false" customHeight="false" outlineLevel="0" collapsed="false">
      <c r="A170" s="726" t="n">
        <f aca="false">A150</f>
        <v>36739</v>
      </c>
      <c r="B170" s="727" t="n">
        <f aca="false" t="array" ref="B170:B170">SUM(IF(MONTH($DP$12:$DP$89)&amp;YEAR($DP$12:$DP$89)=MONTH($A170)&amp;$B$141,$DT$12:$DT$89))</f>
        <v>0</v>
      </c>
      <c r="C170" s="727" t="n">
        <f aca="false" t="array" ref="C170:C170">SUM(IF(MONTH($DP$12:$DP$89)&amp;YEAR($DP$12:$DP$89)=MONTH($A170)&amp;$B$141,$DU$12:$DU$89))</f>
        <v>18881.0615234375</v>
      </c>
      <c r="D170" s="727" t="n">
        <v>0</v>
      </c>
      <c r="E170" s="727" t="n">
        <f aca="false" t="array" ref="E170:E170">SUM(IF(MONTH($DX$12:$DX$110)&amp;YEAR($DX$12:$DX$110)=MONTH($A170)&amp;$B$141,$DZ$12:$DZ$110))+SUM(IF(MONTH(OthNewDeals!$B$8:$B$46)&amp;YEAR(OthNewDeals!$B$8:$B$46)&amp;OthNewDeals!$BK$8:$BK$46=MONTH($A170)&amp;$B$141&amp;$DK$161,OthNewDeals!$G$8:$G$46))</f>
        <v>0</v>
      </c>
      <c r="F170" s="727" t="n">
        <v>0</v>
      </c>
      <c r="G170" s="727" t="n">
        <f aca="false" t="array" ref="G170:G170">SUM(IF(MONTH($DP$12:$DP$89)&amp;YEAR($DP$12:$DP$89)=MONTH($A170)&amp;$G$141,$DT$12:$DT$89))</f>
        <v>0</v>
      </c>
      <c r="H170" s="727" t="n">
        <f aca="false" t="array" ref="H170:H170">SUM(IF(MONTH($DP$12:$DP$89)&amp;YEAR($DP$12:$DP$89)=MONTH($A170)&amp;$G$141,$DU$12:$DU$89))</f>
        <v>0</v>
      </c>
      <c r="I170" s="727" t="n">
        <v>0</v>
      </c>
      <c r="J170" s="727" t="n">
        <f aca="false" t="array" ref="J170:J170">SUM(IF(MONTH($DX$12:$DX$110)&amp;YEAR($DX$12:$DX$110)=MONTH($A170)&amp;$G$141,$DZ$12:$DZ$110))+SUM(IF(MONTH(OthNewDeals!$B$8:$B$46)&amp;YEAR(OthNewDeals!$B$8:$B$46)&amp;OthNewDeals!$BK$8:$BK$46=MONTH($A170)&amp;$G$141&amp;$DK$161,OthNewDeals!$G$8:$G$46))</f>
        <v>0</v>
      </c>
      <c r="K170" s="727" t="n">
        <f aca="false">SUM(G170:J170)</f>
        <v>0</v>
      </c>
      <c r="L170" s="727" t="n">
        <f aca="false" t="array" ref="L170:L170">SUM(IF(MONTH($DP$12:$DP$89)&amp;YEAR($DP$12:$DP$89)=MONTH($A170)&amp;$L$141,$DT$12:$DT$89))</f>
        <v>0</v>
      </c>
      <c r="M170" s="727" t="n">
        <f aca="false" t="array" ref="M170:M170">SUM(IF(MONTH($DP$12:$DP$89)&amp;YEAR($DP$12:$DP$89)=MONTH($A170)&amp;$L$141,$DU$12:$DU$89))</f>
        <v>0</v>
      </c>
      <c r="N170" s="727" t="n">
        <v>0</v>
      </c>
      <c r="O170" s="727" t="n">
        <f aca="false" t="array" ref="O170:O170">SUM(IF(MONTH($DX$12:$DX$110)&amp;YEAR($DX$12:$DX$110)=MONTH($A170)&amp;$L$141,$DZ$12:$DZ$110))+SUM(IF(MONTH(OthNewDeals!$B$8:$B$46)&amp;YEAR(OthNewDeals!$B$8:$B$46)&amp;OthNewDeals!$BK$8:$BK$46=MONTH($A170)&amp;$L$141&amp;$DK$161,OthNewDeals!$G$8:$G$46))</f>
        <v>0</v>
      </c>
      <c r="P170" s="727" t="n">
        <f aca="false">SUM(L170:O170)</f>
        <v>0</v>
      </c>
      <c r="Q170" s="727" t="n">
        <f aca="false" t="array" ref="Q170:Q170">SUM(IF(MONTH($DP$12:$DP$176)=MONTH($A170),$DT$12:$DT$176))</f>
        <v>0</v>
      </c>
      <c r="R170" s="727" t="n">
        <f aca="false" t="array" ref="R170:R170">SUM(IF(MONTH($DP$12:$DP$176)=MONTH($A170),$DU$12:$DU$176))</f>
        <v>-55696.7257080078</v>
      </c>
      <c r="S170" s="727" t="n">
        <v>0</v>
      </c>
      <c r="T170" s="722"/>
      <c r="U170" s="722"/>
      <c r="V170" s="727" t="n">
        <f aca="false" t="array" ref="V170:V170">SUM(IF(MONTH($DX$12:$DX$119)=MONTH($A170),$DZ$12:$DZ$119))+SUM(IF(MONTH(OthNewDeals!$B$8:$B$46)&amp;OthNewDeals!$BK$8:$BK$46=MONTH($A170)&amp;$DK$161,OthNewDeals!$G$8:$G$46))</f>
        <v>0</v>
      </c>
      <c r="W170" s="727" t="n">
        <f aca="false">SUM(S170:V170)</f>
        <v>0</v>
      </c>
      <c r="X170" s="726" t="n">
        <v>36739</v>
      </c>
      <c r="Y170" s="46"/>
      <c r="Z170" s="728" t="s">
        <v>143</v>
      </c>
      <c r="AA170" s="729" t="n">
        <f aca="false">SUM(W169:W171)</f>
        <v>-7965.21484375</v>
      </c>
      <c r="AB170" s="729" t="n">
        <f aca="false">R169+R170+R171+S169+S170+S171</f>
        <v>-205414.903137207</v>
      </c>
      <c r="AC170" s="0"/>
      <c r="AD170" s="46"/>
      <c r="AE170" s="46"/>
      <c r="AF170" s="46"/>
      <c r="AG170" s="46"/>
      <c r="AH170" s="46"/>
      <c r="AI170" s="46"/>
      <c r="DL170" s="533" t="n">
        <v>40544</v>
      </c>
      <c r="DM170" s="459" t="n">
        <v>21</v>
      </c>
      <c r="DP170" s="534" t="n">
        <f aca="false">[1]Cinergy!$D161</f>
        <v>41030</v>
      </c>
      <c r="DQ170" s="234" t="n">
        <f aca="false">[1]OPPD_NPPD!$O161+[1]NSP!$O161</f>
        <v>0</v>
      </c>
      <c r="DR170" s="234" t="n">
        <f aca="false">[1]COMED!$O161</f>
        <v>0</v>
      </c>
      <c r="DS170" s="234" t="n">
        <f aca="false">DQ170+DR170</f>
        <v>0</v>
      </c>
      <c r="DT170" s="234" t="n">
        <f aca="false">SUM([1]OPPD_NPPD!$P161:$R161)+SUM([1]NSP!$P161:$R161)</f>
        <v>0</v>
      </c>
      <c r="DU170" s="234" t="n">
        <f aca="false">SUM([1]COMED!$P161:$R161)</f>
        <v>0</v>
      </c>
      <c r="DV170" s="234" t="n">
        <f aca="false">DT170+DU170</f>
        <v>0</v>
      </c>
      <c r="DW170" s="535"/>
    </row>
    <row r="171" customFormat="false" ht="16.5" hidden="false" customHeight="false" outlineLevel="0" collapsed="false">
      <c r="A171" s="726" t="n">
        <f aca="false">A151</f>
        <v>36770</v>
      </c>
      <c r="B171" s="727" t="n">
        <f aca="false" t="array" ref="B171:B171">SUM(IF(MONTH($DP$12:$DP$89)&amp;YEAR($DP$12:$DP$89)=MONTH($A171)&amp;$B$141,$DT$12:$DT$89))</f>
        <v>0</v>
      </c>
      <c r="C171" s="727" t="n">
        <f aca="false" t="array" ref="C171:C171">SUM(IF(MONTH($DP$12:$DP$89)&amp;YEAR($DP$12:$DP$89)=MONTH($A171)&amp;$B$141,$DU$12:$DU$89))</f>
        <v>18817.794921875</v>
      </c>
      <c r="D171" s="727" t="n">
        <v>0</v>
      </c>
      <c r="E171" s="727" t="n">
        <f aca="false" t="array" ref="E171:E171">SUM(IF(MONTH($DX$12:$DX$110)&amp;YEAR($DX$12:$DX$110)=MONTH($A171)&amp;$B$141,$DZ$12:$DZ$110))+SUM(IF(MONTH(OthNewDeals!$B$8:$B$46)&amp;YEAR(OthNewDeals!$B$8:$B$46)&amp;OthNewDeals!$BK$8:$BK$46=MONTH($A171)&amp;$B$141&amp;$DK$161,OthNewDeals!$G$8:$G$46))</f>
        <v>0</v>
      </c>
      <c r="F171" s="727" t="n">
        <v>0</v>
      </c>
      <c r="G171" s="727" t="n">
        <f aca="false" t="array" ref="G171:G171">SUM(IF(MONTH($DP$12:$DP$89)&amp;YEAR($DP$12:$DP$89)=MONTH($A171)&amp;$G$141,$DT$12:$DT$89))</f>
        <v>0</v>
      </c>
      <c r="H171" s="727" t="n">
        <f aca="false" t="array" ref="H171:H171">SUM(IF(MONTH($DP$12:$DP$89)&amp;YEAR($DP$12:$DP$89)=MONTH($A171)&amp;$G$141,$DU$12:$DU$89))</f>
        <v>-366.147064208984</v>
      </c>
      <c r="I171" s="727" t="n">
        <v>0</v>
      </c>
      <c r="J171" s="727" t="n">
        <f aca="false" t="array" ref="J171:J171">SUM(IF(MONTH($DX$12:$DX$110)&amp;YEAR($DX$12:$DX$110)=MONTH($A171)&amp;$G$141,$DZ$12:$DZ$110))+SUM(IF(MONTH(OthNewDeals!$B$8:$B$46)&amp;YEAR(OthNewDeals!$B$8:$B$46)&amp;OthNewDeals!$BK$8:$BK$46=MONTH($A171)&amp;$G$141&amp;$DK$161,OthNewDeals!$G$8:$G$46))</f>
        <v>0</v>
      </c>
      <c r="K171" s="727" t="n">
        <f aca="false">SUM(G171:J171)</f>
        <v>-366.147064208984</v>
      </c>
      <c r="L171" s="727" t="n">
        <f aca="false" t="array" ref="L171:L171">SUM(IF(MONTH($DP$12:$DP$89)&amp;YEAR($DP$12:$DP$89)=MONTH($A171)&amp;$L$141,$DT$12:$DT$89))</f>
        <v>0</v>
      </c>
      <c r="M171" s="727" t="n">
        <f aca="false" t="array" ref="M171:M171">SUM(IF(MONTH($DP$12:$DP$89)&amp;YEAR($DP$12:$DP$89)=MONTH($A171)&amp;$L$141,$DU$12:$DU$89))</f>
        <v>0</v>
      </c>
      <c r="N171" s="727" t="n">
        <v>0</v>
      </c>
      <c r="O171" s="727" t="n">
        <f aca="false" t="array" ref="O171:O171">SUM(IF(MONTH($DX$12:$DX$110)&amp;YEAR($DX$12:$DX$110)=MONTH($A171)&amp;$L$141,$DZ$12:$DZ$110))+SUM(IF(MONTH(OthNewDeals!$B$8:$B$46)&amp;YEAR(OthNewDeals!$B$8:$B$46)&amp;OthNewDeals!$BK$8:$BK$46=MONTH($A171)&amp;$L$141&amp;$DK$161,OthNewDeals!$G$8:$G$46))</f>
        <v>0</v>
      </c>
      <c r="P171" s="727" t="n">
        <f aca="false">SUM(L171:O171)</f>
        <v>0</v>
      </c>
      <c r="Q171" s="727" t="n">
        <f aca="false" t="array" ref="Q171:Q171">SUM(IF(MONTH($DP$12:$DP$176)=MONTH($A171),$DT$12:$DT$176))</f>
        <v>0</v>
      </c>
      <c r="R171" s="727" t="n">
        <f aca="false" t="array" ref="R171:R171">SUM(IF(MONTH($DP$12:$DP$176)=MONTH($A171),$DU$12:$DU$176))</f>
        <v>-90546.6613464355</v>
      </c>
      <c r="S171" s="727" t="n">
        <v>0</v>
      </c>
      <c r="T171" s="722"/>
      <c r="U171" s="722"/>
      <c r="V171" s="727" t="n">
        <f aca="false" t="array" ref="V171:V171">SUM(IF(MONTH($DX$12:$DX$119)=MONTH($A171),$DZ$12:$DZ$119))+SUM(IF(MONTH(OthNewDeals!$B$8:$B$46)&amp;OthNewDeals!$BK$8:$BK$46=MONTH($A171)&amp;$DK$161,OthNewDeals!$G$8:$G$46))</f>
        <v>-7965.21484375</v>
      </c>
      <c r="W171" s="727" t="n">
        <f aca="false">SUM(S171:V171)</f>
        <v>-7965.21484375</v>
      </c>
      <c r="X171" s="726" t="n">
        <v>36770</v>
      </c>
      <c r="Y171" s="46"/>
      <c r="Z171" s="82"/>
      <c r="AA171" s="730"/>
      <c r="AB171" s="732"/>
      <c r="AC171" s="0"/>
      <c r="AD171" s="46"/>
      <c r="AE171" s="46"/>
      <c r="AF171" s="46"/>
      <c r="AG171" s="46"/>
      <c r="AH171" s="46"/>
      <c r="AI171" s="46"/>
      <c r="DL171" s="533" t="n">
        <v>40575</v>
      </c>
      <c r="DM171" s="459" t="n">
        <v>20</v>
      </c>
      <c r="DP171" s="534" t="n">
        <f aca="false">[1]Cinergy!$D162</f>
        <v>41061</v>
      </c>
      <c r="DQ171" s="234" t="n">
        <f aca="false">[1]OPPD_NPPD!$O162+[1]NSP!$O162</f>
        <v>0</v>
      </c>
      <c r="DR171" s="234" t="n">
        <f aca="false">[1]COMED!$O162</f>
        <v>0</v>
      </c>
      <c r="DS171" s="234" t="n">
        <f aca="false">DQ171+DR171</f>
        <v>0</v>
      </c>
      <c r="DT171" s="234" t="n">
        <f aca="false">SUM([1]OPPD_NPPD!$P162:$R162)+SUM([1]NSP!$P162:$R162)</f>
        <v>0</v>
      </c>
      <c r="DU171" s="234" t="n">
        <f aca="false">SUM([1]COMED!$P162:$R162)</f>
        <v>0</v>
      </c>
      <c r="DV171" s="234" t="n">
        <f aca="false">DT171+DU171</f>
        <v>0</v>
      </c>
      <c r="DW171" s="535"/>
    </row>
    <row r="172" customFormat="false" ht="15" hidden="false" customHeight="false" outlineLevel="0" collapsed="false">
      <c r="A172" s="726" t="n">
        <f aca="false">A152</f>
        <v>36800</v>
      </c>
      <c r="B172" s="727" t="n">
        <f aca="false" t="array" ref="B172:B172">SUM(IF(MONTH($DP$12:$DP$89)&amp;YEAR($DP$12:$DP$89)=MONTH($A172)&amp;$B$141,$DT$12:$DT$89))</f>
        <v>0</v>
      </c>
      <c r="C172" s="727" t="n">
        <f aca="false" t="array" ref="C172:C172">SUM(IF(MONTH($DP$12:$DP$89)&amp;YEAR($DP$12:$DP$89)=MONTH($A172)&amp;$B$141,$DU$12:$DU$89))</f>
        <v>18033.3369140625</v>
      </c>
      <c r="D172" s="727" t="n">
        <v>0</v>
      </c>
      <c r="E172" s="727" t="n">
        <f aca="false" t="array" ref="E172:E172">SUM(IF(MONTH($DX$12:$DX$110)&amp;YEAR($DX$12:$DX$110)=MONTH($A172)&amp;$B$141,$DZ$12:$DZ$110))+SUM(IF(MONTH(OthNewDeals!$B$8:$B$46)&amp;YEAR(OthNewDeals!$B$8:$B$46)&amp;OthNewDeals!$BK$8:$BK$46=MONTH($A172)&amp;$B$141&amp;$DK$161,OthNewDeals!$G$8:$G$46))</f>
        <v>0</v>
      </c>
      <c r="F172" s="727" t="n">
        <v>0</v>
      </c>
      <c r="G172" s="727" t="n">
        <f aca="false" t="array" ref="G172:G172">SUM(IF(MONTH($DP$12:$DP$89)&amp;YEAR($DP$12:$DP$89)=MONTH($A172)&amp;$G$141,$DT$12:$DT$89))</f>
        <v>0</v>
      </c>
      <c r="H172" s="727" t="n">
        <f aca="false" t="array" ref="H172:H172">SUM(IF(MONTH($DP$12:$DP$89)&amp;YEAR($DP$12:$DP$89)=MONTH($A172)&amp;$G$141,$DU$12:$DU$89))</f>
        <v>0</v>
      </c>
      <c r="I172" s="727" t="n">
        <v>0</v>
      </c>
      <c r="J172" s="727" t="n">
        <f aca="false" t="array" ref="J172:J172">SUM(IF(MONTH($DX$12:$DX$110)&amp;YEAR($DX$12:$DX$110)=MONTH($A172)&amp;$G$141,$DZ$12:$DZ$110))+SUM(IF(MONTH(OthNewDeals!$B$8:$B$46)&amp;YEAR(OthNewDeals!$B$8:$B$46)&amp;OthNewDeals!$BK$8:$BK$46=MONTH($A172)&amp;$G$141&amp;$DK$161,OthNewDeals!$G$8:$G$46))</f>
        <v>0</v>
      </c>
      <c r="K172" s="727" t="n">
        <f aca="false">SUM(G172:J172)</f>
        <v>0</v>
      </c>
      <c r="L172" s="727" t="n">
        <f aca="false" t="array" ref="L172:L172">SUM(IF(MONTH($DP$12:$DP$89)&amp;YEAR($DP$12:$DP$89)=MONTH($A172)&amp;$L$141,$DT$12:$DT$89))</f>
        <v>0</v>
      </c>
      <c r="M172" s="727" t="n">
        <f aca="false" t="array" ref="M172:M172">SUM(IF(MONTH($DP$12:$DP$89)&amp;YEAR($DP$12:$DP$89)=MONTH($A172)&amp;$L$141,$DU$12:$DU$89))</f>
        <v>0</v>
      </c>
      <c r="N172" s="727" t="n">
        <v>0</v>
      </c>
      <c r="O172" s="727" t="n">
        <f aca="false" t="array" ref="O172:O172">SUM(IF(MONTH($DX$12:$DX$110)&amp;YEAR($DX$12:$DX$110)=MONTH($A172)&amp;$L$141,$DZ$12:$DZ$110))+SUM(IF(MONTH(OthNewDeals!$B$8:$B$46)&amp;YEAR(OthNewDeals!$B$8:$B$46)&amp;OthNewDeals!$BK$8:$BK$46=MONTH($A172)&amp;$L$141&amp;$DK$161,OthNewDeals!$G$8:$G$46))</f>
        <v>0</v>
      </c>
      <c r="P172" s="727" t="n">
        <f aca="false">SUM(L172:O172)</f>
        <v>0</v>
      </c>
      <c r="Q172" s="727" t="n">
        <f aca="false" t="array" ref="Q172:Q172">SUM(IF(MONTH($DP$12:$DP$176)=MONTH($A172),$DT$12:$DT$176))</f>
        <v>0</v>
      </c>
      <c r="R172" s="727" t="n">
        <f aca="false" t="array" ref="R172:R172">SUM(IF(MONTH($DP$12:$DP$176)=MONTH($A172),$DU$12:$DU$176))</f>
        <v>-94501.7192382813</v>
      </c>
      <c r="S172" s="727" t="n">
        <v>0</v>
      </c>
      <c r="T172" s="722"/>
      <c r="U172" s="722"/>
      <c r="V172" s="727" t="n">
        <f aca="false" t="array" ref="V172:V172">SUM(IF(MONTH($DX$12:$DX$119)=MONTH($A172),$DZ$12:$DZ$119))+SUM(IF(MONTH(OthNewDeals!$B$8:$B$46)&amp;OthNewDeals!$BK$8:$BK$46=MONTH($A172)&amp;$DK$161,OthNewDeals!$G$8:$G$46))</f>
        <v>0</v>
      </c>
      <c r="W172" s="727" t="n">
        <f aca="false">SUM(S172:V172)</f>
        <v>0</v>
      </c>
      <c r="X172" s="726" t="n">
        <v>36800</v>
      </c>
      <c r="Y172" s="46"/>
      <c r="Z172" s="724"/>
      <c r="AA172" s="725"/>
      <c r="AB172" s="731"/>
      <c r="AC172" s="0"/>
      <c r="AD172" s="46"/>
      <c r="AE172" s="46"/>
      <c r="AF172" s="46"/>
      <c r="AG172" s="46"/>
      <c r="AH172" s="46"/>
      <c r="AI172" s="46"/>
      <c r="DL172" s="533" t="n">
        <v>40603</v>
      </c>
      <c r="DM172" s="459" t="n">
        <v>23</v>
      </c>
      <c r="DP172" s="534" t="n">
        <f aca="false">[1]Cinergy!$D163</f>
        <v>41091</v>
      </c>
      <c r="DQ172" s="234" t="n">
        <f aca="false">[1]OPPD_NPPD!$O163+[1]NSP!$O163</f>
        <v>0</v>
      </c>
      <c r="DR172" s="234" t="n">
        <f aca="false">[1]COMED!$O163</f>
        <v>0</v>
      </c>
      <c r="DS172" s="234" t="n">
        <f aca="false">DQ172+DR172</f>
        <v>0</v>
      </c>
      <c r="DT172" s="234" t="n">
        <f aca="false">SUM([1]OPPD_NPPD!$P163:$R163)+SUM([1]NSP!$P163:$R163)</f>
        <v>0</v>
      </c>
      <c r="DU172" s="234" t="n">
        <f aca="false">SUM([1]COMED!$P163:$R163)</f>
        <v>0</v>
      </c>
      <c r="DV172" s="234" t="n">
        <f aca="false">DT172+DU172</f>
        <v>0</v>
      </c>
      <c r="DW172" s="535"/>
    </row>
    <row r="173" customFormat="false" ht="15.75" hidden="false" customHeight="false" outlineLevel="0" collapsed="false">
      <c r="A173" s="726" t="n">
        <f aca="false">A153</f>
        <v>36831</v>
      </c>
      <c r="B173" s="727" t="n">
        <f aca="false" t="array" ref="B173:B173">SUM(IF(MONTH($DP$12:$DP$89)&amp;YEAR($DP$12:$DP$89)=MONTH($A173)&amp;$B$141,$DT$12:$DT$89))</f>
        <v>0</v>
      </c>
      <c r="C173" s="727" t="n">
        <f aca="false" t="array" ref="C173:C173">SUM(IF(MONTH($DP$12:$DP$89)&amp;YEAR($DP$12:$DP$89)=MONTH($A173)&amp;$B$141,$DU$12:$DU$89))</f>
        <v>18684.4672851563</v>
      </c>
      <c r="D173" s="727" t="n">
        <v>0</v>
      </c>
      <c r="E173" s="727" t="n">
        <f aca="false" t="array" ref="E173:E173">SUM(IF(MONTH($DX$12:$DX$110)&amp;YEAR($DX$12:$DX$110)=MONTH($A173)&amp;$B$141,$DZ$12:$DZ$110))+SUM(IF(MONTH(OthNewDeals!$B$8:$B$46)&amp;YEAR(OthNewDeals!$B$8:$B$46)&amp;OthNewDeals!$BK$8:$BK$46=MONTH($A173)&amp;$B$141&amp;$DK$161,OthNewDeals!$G$8:$G$46))</f>
        <v>0</v>
      </c>
      <c r="F173" s="727" t="n">
        <v>0</v>
      </c>
      <c r="G173" s="727" t="n">
        <f aca="false" t="array" ref="G173:G173">SUM(IF(MONTH($DP$12:$DP$89)&amp;YEAR($DP$12:$DP$89)=MONTH($A173)&amp;$G$141,$DT$12:$DT$89))</f>
        <v>0</v>
      </c>
      <c r="H173" s="727" t="n">
        <f aca="false" t="array" ref="H173:H173">SUM(IF(MONTH($DP$12:$DP$89)&amp;YEAR($DP$12:$DP$89)=MONTH($A173)&amp;$G$141,$DU$12:$DU$89))</f>
        <v>-362.892303466797</v>
      </c>
      <c r="I173" s="727" t="n">
        <v>0</v>
      </c>
      <c r="J173" s="727" t="n">
        <f aca="false" t="array" ref="J173:J173">SUM(IF(MONTH($DX$12:$DX$110)&amp;YEAR($DX$12:$DX$110)=MONTH($A173)&amp;$G$141,$DZ$12:$DZ$110))+SUM(IF(MONTH(OthNewDeals!$B$8:$B$46)&amp;YEAR(OthNewDeals!$B$8:$B$46)&amp;OthNewDeals!$BK$8:$BK$46=MONTH($A173)&amp;$G$141&amp;$DK$161,OthNewDeals!$G$8:$G$46))</f>
        <v>0</v>
      </c>
      <c r="K173" s="727" t="n">
        <f aca="false">SUM(G173:J173)</f>
        <v>-362.892303466797</v>
      </c>
      <c r="L173" s="727" t="n">
        <f aca="false" t="array" ref="L173:L173">SUM(IF(MONTH($DP$12:$DP$89)&amp;YEAR($DP$12:$DP$89)=MONTH($A173)&amp;$L$141,$DT$12:$DT$89))</f>
        <v>0</v>
      </c>
      <c r="M173" s="727" t="n">
        <f aca="false" t="array" ref="M173:M173">SUM(IF(MONTH($DP$12:$DP$89)&amp;YEAR($DP$12:$DP$89)=MONTH($A173)&amp;$L$141,$DU$12:$DU$89))</f>
        <v>0</v>
      </c>
      <c r="N173" s="727" t="n">
        <v>0</v>
      </c>
      <c r="O173" s="727" t="n">
        <f aca="false" t="array" ref="O173:O173">SUM(IF(MONTH($DX$12:$DX$110)&amp;YEAR($DX$12:$DX$110)=MONTH($A173)&amp;$L$141,$DZ$12:$DZ$110))+SUM(IF(MONTH(OthNewDeals!$B$8:$B$46)&amp;YEAR(OthNewDeals!$B$8:$B$46)&amp;OthNewDeals!$BK$8:$BK$46=MONTH($A173)&amp;$L$141&amp;$DK$161,OthNewDeals!$G$8:$G$46))</f>
        <v>0</v>
      </c>
      <c r="P173" s="727" t="n">
        <f aca="false">SUM(L173:O173)</f>
        <v>0</v>
      </c>
      <c r="Q173" s="727" t="n">
        <f aca="false" t="array" ref="Q173:Q173">SUM(IF(MONTH($DP$12:$DP$176)=MONTH($A173),$DT$12:$DT$176))</f>
        <v>0</v>
      </c>
      <c r="R173" s="727" t="n">
        <f aca="false" t="array" ref="R173:R173">SUM(IF(MONTH($DP$12:$DP$176)=MONTH($A173),$DU$12:$DU$176))</f>
        <v>-100055.102386475</v>
      </c>
      <c r="S173" s="727" t="n">
        <v>0</v>
      </c>
      <c r="T173" s="722"/>
      <c r="U173" s="722"/>
      <c r="V173" s="727" t="n">
        <f aca="false" t="array" ref="V173:V173">SUM(IF(MONTH($DX$12:$DX$119)=MONTH($A173),$DZ$12:$DZ$119))+SUM(IF(MONTH(OthNewDeals!$B$8:$B$46)&amp;OthNewDeals!$BK$8:$BK$46=MONTH($A173)&amp;$DK$161,OthNewDeals!$G$8:$G$46))</f>
        <v>0</v>
      </c>
      <c r="W173" s="727" t="n">
        <f aca="false">SUM(S173:V173)</f>
        <v>0</v>
      </c>
      <c r="X173" s="726" t="n">
        <v>36831</v>
      </c>
      <c r="Y173" s="46"/>
      <c r="Z173" s="728" t="s">
        <v>135</v>
      </c>
      <c r="AA173" s="729" t="n">
        <f aca="false">SUM(W172:W174)</f>
        <v>0</v>
      </c>
      <c r="AB173" s="729" t="n">
        <f aca="false">R172+R173+R174+S172+S173+S174</f>
        <v>-300153.650115967</v>
      </c>
      <c r="AC173" s="46"/>
      <c r="AD173" s="46"/>
      <c r="AE173" s="46"/>
      <c r="AF173" s="46"/>
      <c r="AG173" s="46"/>
      <c r="AH173" s="46"/>
      <c r="AI173" s="46"/>
      <c r="DL173" s="533" t="n">
        <v>40634</v>
      </c>
      <c r="DM173" s="459" t="n">
        <v>21</v>
      </c>
      <c r="DP173" s="534" t="n">
        <f aca="false">[1]Cinergy!$D164</f>
        <v>41122</v>
      </c>
      <c r="DQ173" s="234" t="n">
        <f aca="false">[1]OPPD_NPPD!$O164+[1]NSP!$O164</f>
        <v>0</v>
      </c>
      <c r="DR173" s="234" t="n">
        <f aca="false">[1]COMED!$O164</f>
        <v>0</v>
      </c>
      <c r="DS173" s="234" t="n">
        <f aca="false">DQ173+DR173</f>
        <v>0</v>
      </c>
      <c r="DT173" s="234" t="n">
        <f aca="false">SUM([1]OPPD_NPPD!$P164:$R164)+SUM([1]NSP!$P164:$R164)</f>
        <v>0</v>
      </c>
      <c r="DU173" s="234" t="n">
        <f aca="false">SUM([1]COMED!$P164:$R164)</f>
        <v>0</v>
      </c>
      <c r="DV173" s="234" t="n">
        <f aca="false">DT173+DU173</f>
        <v>0</v>
      </c>
      <c r="DW173" s="535"/>
    </row>
    <row r="174" customFormat="false" ht="15.75" hidden="false" customHeight="false" outlineLevel="0" collapsed="false">
      <c r="A174" s="726" t="n">
        <f aca="false">A154</f>
        <v>36861</v>
      </c>
      <c r="B174" s="727" t="n">
        <f aca="false" t="array" ref="B174:B174">SUM(IF(MONTH($DP$12:$DP$89)&amp;YEAR($DP$12:$DP$89)=MONTH($A174)&amp;$B$141,$DT$12:$DT$89))</f>
        <v>0</v>
      </c>
      <c r="C174" s="727" t="n">
        <f aca="false" t="array" ref="C174:C174">SUM(IF(MONTH($DP$12:$DP$89)&amp;YEAR($DP$12:$DP$89)=MONTH($A174)&amp;$B$141,$DU$12:$DU$89))</f>
        <v>18993.4929199219</v>
      </c>
      <c r="D174" s="727" t="n">
        <v>0</v>
      </c>
      <c r="E174" s="727" t="n">
        <f aca="false" t="array" ref="E174:E174">SUM(IF(MONTH($DX$12:$DX$110)&amp;YEAR($DX$12:$DX$110)=MONTH($A174)&amp;$B$141,$DZ$12:$DZ$110))+SUM(IF(MONTH(OthNewDeals!$B$8:$B$46)&amp;YEAR(OthNewDeals!$B$8:$B$46)&amp;OthNewDeals!$BK$8:$BK$46=MONTH($A174)&amp;$B$141&amp;$DK$161,OthNewDeals!$G$8:$G$46))</f>
        <v>0</v>
      </c>
      <c r="F174" s="727" t="n">
        <v>0</v>
      </c>
      <c r="G174" s="727" t="n">
        <f aca="false" t="array" ref="G174:G174">SUM(IF(MONTH($DP$12:$DP$89)&amp;YEAR($DP$12:$DP$89)=MONTH($A174)&amp;$G$141,$DT$12:$DT$89))</f>
        <v>0</v>
      </c>
      <c r="H174" s="727" t="n">
        <f aca="false" t="array" ref="H174:H174">SUM(IF(MONTH($DP$12:$DP$89)&amp;YEAR($DP$12:$DP$89)=MONTH($A174)&amp;$G$141,$DU$12:$DU$89))</f>
        <v>-361.217407226563</v>
      </c>
      <c r="I174" s="727" t="n">
        <v>0</v>
      </c>
      <c r="J174" s="727" t="n">
        <f aca="false" t="array" ref="J174:J174">SUM(IF(MONTH($DX$12:$DX$110)&amp;YEAR($DX$12:$DX$110)=MONTH($A174)&amp;$G$141,$DZ$12:$DZ$110))+SUM(IF(MONTH(OthNewDeals!$B$8:$B$46)&amp;YEAR(OthNewDeals!$B$8:$B$46)&amp;OthNewDeals!$BK$8:$BK$46=MONTH($A174)&amp;$G$141&amp;$DK$161,OthNewDeals!$G$8:$G$46))</f>
        <v>0</v>
      </c>
      <c r="K174" s="727" t="n">
        <f aca="false">SUM(G174:J174)</f>
        <v>-361.217407226563</v>
      </c>
      <c r="L174" s="727" t="n">
        <f aca="false" t="array" ref="L174:L174">SUM(IF(MONTH($DP$12:$DP$89)&amp;YEAR($DP$12:$DP$89)=MONTH($A174)&amp;$L$141,$DT$12:$DT$89))</f>
        <v>0</v>
      </c>
      <c r="M174" s="727" t="n">
        <f aca="false" t="array" ref="M174:M174">SUM(IF(MONTH($DP$12:$DP$89)&amp;YEAR($DP$12:$DP$89)=MONTH($A174)&amp;$L$141,$DU$12:$DU$89))</f>
        <v>0</v>
      </c>
      <c r="N174" s="727" t="n">
        <v>0</v>
      </c>
      <c r="O174" s="727" t="n">
        <f aca="false" t="array" ref="O174:O174">SUM(IF(MONTH($DX$12:$DX$110)&amp;YEAR($DX$12:$DX$110)=MONTH($A174)&amp;$L$141,$DZ$12:$DZ$110))+SUM(IF(MONTH(OthNewDeals!$B$8:$B$46)&amp;YEAR(OthNewDeals!$B$8:$B$46)&amp;OthNewDeals!$BK$8:$BK$46=MONTH($A174)&amp;$L$141&amp;$DK$161,OthNewDeals!$G$8:$G$46))</f>
        <v>0</v>
      </c>
      <c r="P174" s="727" t="n">
        <f aca="false">SUM(L174:O174)</f>
        <v>0</v>
      </c>
      <c r="Q174" s="727" t="n">
        <f aca="false" t="array" ref="Q174:Q174">SUM(IF(MONTH($DP$12:$DP$176)=MONTH($A174),$DT$12:$DT$176))</f>
        <v>0</v>
      </c>
      <c r="R174" s="727" t="n">
        <f aca="false" t="array" ref="R174:R174">SUM(IF(MONTH($DP$12:$DP$176)=MONTH($A174),$DU$12:$DU$176))</f>
        <v>-105596.828491211</v>
      </c>
      <c r="S174" s="727" t="n">
        <v>0</v>
      </c>
      <c r="T174" s="722"/>
      <c r="U174" s="722"/>
      <c r="V174" s="727" t="n">
        <f aca="false" t="array" ref="V174:V174">SUM(IF(MONTH($DX$12:$DX$119)=MONTH($A174),$DZ$12:$DZ$119))+SUM(IF(MONTH(OthNewDeals!$B$8:$B$46)&amp;OthNewDeals!$BK$8:$BK$46=MONTH($A174)&amp;$DK$161,OthNewDeals!$G$8:$G$46))</f>
        <v>0</v>
      </c>
      <c r="W174" s="727" t="n">
        <f aca="false">SUM(S174:V174)</f>
        <v>0</v>
      </c>
      <c r="X174" s="733" t="n">
        <v>36861</v>
      </c>
      <c r="Y174" s="46"/>
      <c r="Z174" s="734"/>
      <c r="AA174" s="735"/>
      <c r="AB174" s="736"/>
      <c r="AC174" s="46"/>
      <c r="AD174" s="46"/>
      <c r="AE174" s="46"/>
      <c r="AF174" s="46"/>
      <c r="AG174" s="46"/>
      <c r="AH174" s="46"/>
      <c r="AI174" s="46"/>
      <c r="DL174" s="533" t="n">
        <v>40664</v>
      </c>
      <c r="DM174" s="459" t="n">
        <v>21</v>
      </c>
      <c r="DP174" s="534" t="n">
        <f aca="false">[1]Cinergy!$D165</f>
        <v>41153</v>
      </c>
      <c r="DQ174" s="234" t="n">
        <f aca="false">[1]OPPD_NPPD!$O165+[1]NSP!$O165</f>
        <v>0</v>
      </c>
      <c r="DR174" s="234" t="n">
        <f aca="false">[1]COMED!$O165</f>
        <v>0</v>
      </c>
      <c r="DS174" s="234" t="n">
        <f aca="false">DQ174+DR174</f>
        <v>0</v>
      </c>
      <c r="DT174" s="234" t="n">
        <f aca="false">SUM([1]OPPD_NPPD!$P165:$R165)+SUM([1]NSP!$P165:$R165)</f>
        <v>0</v>
      </c>
      <c r="DU174" s="234" t="n">
        <f aca="false">SUM([1]COMED!$P165:$R165)</f>
        <v>0</v>
      </c>
      <c r="DV174" s="234" t="n">
        <f aca="false">DT174+DU174</f>
        <v>0</v>
      </c>
      <c r="DW174" s="535"/>
    </row>
    <row r="175" customFormat="false" ht="16.5" hidden="false" customHeight="false" outlineLevel="0" collapsed="false">
      <c r="A175" s="737" t="s">
        <v>100</v>
      </c>
      <c r="B175" s="738" t="n">
        <f aca="false">SUM(B163:B174)</f>
        <v>0</v>
      </c>
      <c r="C175" s="738" t="n">
        <f aca="false">SUM(C163:C174)</f>
        <v>224072.497314453</v>
      </c>
      <c r="D175" s="738" t="n">
        <v>0</v>
      </c>
      <c r="E175" s="738" t="n">
        <f aca="false">SUM(E163:E174)</f>
        <v>0</v>
      </c>
      <c r="F175" s="738" t="n">
        <v>0</v>
      </c>
      <c r="G175" s="738" t="n">
        <f aca="false">SUM(G163:G174)</f>
        <v>0</v>
      </c>
      <c r="H175" s="738" t="n">
        <f aca="false">SUM(H163:H174)</f>
        <v>-2210.45977783203</v>
      </c>
      <c r="I175" s="738" t="n">
        <v>0</v>
      </c>
      <c r="J175" s="738" t="n">
        <f aca="false">SUM(J163:J174)</f>
        <v>0</v>
      </c>
      <c r="K175" s="738" t="n">
        <f aca="false">SUM(G175:J175)</f>
        <v>-2210.45977783203</v>
      </c>
      <c r="L175" s="738" t="n">
        <f aca="false">SUM(L163:L174)</f>
        <v>0</v>
      </c>
      <c r="M175" s="738" t="n">
        <f aca="false">SUM(M163:M174)</f>
        <v>0</v>
      </c>
      <c r="N175" s="738" t="n">
        <v>0</v>
      </c>
      <c r="O175" s="738" t="n">
        <f aca="false">SUM(O163:O174)</f>
        <v>0</v>
      </c>
      <c r="P175" s="738" t="n">
        <f aca="false">SUM(L175:O175)</f>
        <v>0</v>
      </c>
      <c r="Q175" s="738" t="n">
        <f aca="false">SUM(Q163:Q174)</f>
        <v>0</v>
      </c>
      <c r="R175" s="738" t="n">
        <f aca="false">SUM(R163:R174)</f>
        <v>-905162.285949707</v>
      </c>
      <c r="S175" s="738" t="n">
        <v>0</v>
      </c>
      <c r="T175" s="739" t="n">
        <f aca="false">SUM(T163:T174)</f>
        <v>0</v>
      </c>
      <c r="U175" s="739"/>
      <c r="V175" s="738" t="n">
        <f aca="false">SUM(V163:V174)</f>
        <v>-7965.21484375</v>
      </c>
      <c r="W175" s="740" t="n">
        <f aca="false">SUM(Q175:V175)</f>
        <v>-913127.500793457</v>
      </c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DL175" s="533" t="n">
        <v>40695</v>
      </c>
      <c r="DM175" s="459" t="n">
        <v>22</v>
      </c>
      <c r="DP175" s="534" t="n">
        <f aca="false">[1]Cinergy!$D166</f>
        <v>41183</v>
      </c>
      <c r="DQ175" s="234" t="n">
        <f aca="false">[1]OPPD_NPPD!$O166+[1]NSP!$O166</f>
        <v>0</v>
      </c>
      <c r="DR175" s="234" t="n">
        <f aca="false">[1]COMED!$O166</f>
        <v>0</v>
      </c>
      <c r="DS175" s="234" t="n">
        <f aca="false">DQ175+DR175</f>
        <v>0</v>
      </c>
      <c r="DT175" s="234" t="n">
        <f aca="false">SUM([1]OPPD_NPPD!$P166:$R166)+SUM([1]NSP!$P166:$R166)</f>
        <v>0</v>
      </c>
      <c r="DU175" s="234" t="n">
        <f aca="false">SUM([1]COMED!$P166:$R166)</f>
        <v>0</v>
      </c>
      <c r="DV175" s="234" t="n">
        <f aca="false">DT175+DU175</f>
        <v>0</v>
      </c>
      <c r="DW175" s="535"/>
    </row>
    <row r="176" customFormat="false" ht="12.75" hidden="false" customHeight="false" outlineLevel="0" collapsed="false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DL176" s="533" t="n">
        <v>40725</v>
      </c>
      <c r="DM176" s="459" t="n">
        <v>20</v>
      </c>
      <c r="DP176" s="534" t="n">
        <f aca="false">[1]Cinergy!$D167</f>
        <v>41214</v>
      </c>
      <c r="DQ176" s="234" t="n">
        <f aca="false">[1]OPPD_NPPD!$O167+[1]NSP!$O167</f>
        <v>0</v>
      </c>
      <c r="DR176" s="234" t="n">
        <f aca="false">[1]COMED!$O167</f>
        <v>0</v>
      </c>
      <c r="DS176" s="234" t="n">
        <f aca="false">DQ176+DR176</f>
        <v>0</v>
      </c>
      <c r="DT176" s="234" t="n">
        <f aca="false">SUM([1]OPPD_NPPD!$P167:$R167)+SUM([1]NSP!$P167:$R167)</f>
        <v>0</v>
      </c>
      <c r="DU176" s="234" t="n">
        <f aca="false">SUM([1]COMED!$P167:$R167)</f>
        <v>0</v>
      </c>
      <c r="DV176" s="234" t="n">
        <f aca="false">DT176+DU176</f>
        <v>0</v>
      </c>
      <c r="DW176" s="535"/>
    </row>
    <row r="177" customFormat="false" ht="12.75" hidden="false" customHeight="false" outlineLevel="0" collapsed="false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DL177" s="533" t="n">
        <v>40756</v>
      </c>
      <c r="DM177" s="459" t="n">
        <v>23</v>
      </c>
      <c r="DP177" s="534"/>
      <c r="DQ177" s="234" t="n">
        <f aca="false">[1]OPPD_NPPD!$O168+[1]NSP!$O168</f>
        <v>0</v>
      </c>
      <c r="DR177" s="234" t="n">
        <f aca="false">[1]COMED!$O168</f>
        <v>0</v>
      </c>
      <c r="DS177" s="234" t="n">
        <f aca="false">DQ177+DR177</f>
        <v>0</v>
      </c>
      <c r="DT177" s="234" t="n">
        <f aca="false">SUM([1]OPPD_NPPD!$P168:$R168)+SUM([1]NSP!$P168:$R168)</f>
        <v>0</v>
      </c>
      <c r="DU177" s="234" t="n">
        <f aca="false">SUM([1]COMED!$P168:$R168)</f>
        <v>0</v>
      </c>
      <c r="DV177" s="234" t="n">
        <f aca="false">DT177+DU177</f>
        <v>0</v>
      </c>
    </row>
    <row r="178" customFormat="false" ht="12.75" hidden="false" customHeight="false" outlineLevel="0" collapsed="false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DL178" s="533" t="n">
        <v>40787</v>
      </c>
      <c r="DM178" s="459" t="n">
        <v>21</v>
      </c>
      <c r="DP178" s="534"/>
      <c r="DQ178" s="234" t="n">
        <f aca="false">[1]OPPD_NPPD!$O169+[1]NSP!$O169</f>
        <v>0</v>
      </c>
      <c r="DR178" s="234" t="n">
        <f aca="false">[1]COMED!$O169</f>
        <v>0</v>
      </c>
      <c r="DS178" s="234" t="n">
        <f aca="false">DQ178+DR178</f>
        <v>0</v>
      </c>
      <c r="DT178" s="234" t="n">
        <f aca="false">SUM([1]OPPD_NPPD!$P169:$R169)+SUM([1]NSP!$P169:$R169)</f>
        <v>0</v>
      </c>
      <c r="DU178" s="234" t="n">
        <f aca="false">SUM([1]COMED!$P169:$R169)</f>
        <v>0</v>
      </c>
      <c r="DV178" s="234" t="n">
        <f aca="false">DT178+DU178</f>
        <v>0</v>
      </c>
    </row>
    <row r="179" customFormat="false" ht="20.25" hidden="false" customHeight="false" outlineLevel="0" collapsed="false">
      <c r="A179" s="49" t="s">
        <v>321</v>
      </c>
      <c r="B179" s="46"/>
      <c r="C179" s="46"/>
      <c r="D179" s="46"/>
      <c r="E179" s="709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DL179" s="533" t="n">
        <v>40817</v>
      </c>
      <c r="DM179" s="459" t="n">
        <v>21</v>
      </c>
      <c r="DP179" s="534"/>
      <c r="DQ179" s="234" t="n">
        <f aca="false">[1]OPPD_NPPD!$O170+[1]NSP!$O170</f>
        <v>0</v>
      </c>
      <c r="DR179" s="234" t="n">
        <f aca="false">[1]COMED!$O170</f>
        <v>0</v>
      </c>
      <c r="DS179" s="234" t="n">
        <f aca="false">DQ179+DR179</f>
        <v>0</v>
      </c>
      <c r="DT179" s="234" t="n">
        <f aca="false">SUM([1]OPPD_NPPD!$P170:$R170)+SUM([1]NSP!$P170:$R170)</f>
        <v>0</v>
      </c>
      <c r="DU179" s="234" t="n">
        <f aca="false">SUM([1]COMED!$P170:$R170)</f>
        <v>0</v>
      </c>
      <c r="DV179" s="234" t="n">
        <f aca="false">DT179+DU179</f>
        <v>0</v>
      </c>
    </row>
    <row r="180" customFormat="false" ht="13.5" hidden="false" customHeight="false" outlineLevel="0" collapsed="false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DL180" s="533" t="n">
        <v>40848</v>
      </c>
      <c r="DM180" s="459" t="n">
        <v>21</v>
      </c>
      <c r="DP180" s="534"/>
      <c r="DQ180" s="234" t="n">
        <f aca="false">[1]OPPD_NPPD!$O171+[1]NSP!$O171</f>
        <v>0</v>
      </c>
      <c r="DR180" s="234" t="n">
        <f aca="false">[1]COMED!$O171</f>
        <v>0</v>
      </c>
      <c r="DS180" s="234" t="n">
        <f aca="false">DQ180+DR180</f>
        <v>0</v>
      </c>
      <c r="DT180" s="234" t="n">
        <f aca="false">SUM([1]OPPD_NPPD!$P171:$R171)+SUM([1]NSP!$P171:$R171)</f>
        <v>0</v>
      </c>
      <c r="DU180" s="234" t="n">
        <f aca="false">SUM([1]COMED!$P171:$R171)</f>
        <v>0</v>
      </c>
      <c r="DV180" s="234" t="n">
        <f aca="false">DT180+DU180</f>
        <v>0</v>
      </c>
    </row>
    <row r="181" customFormat="false" ht="20.25" hidden="false" customHeight="false" outlineLevel="0" collapsed="false">
      <c r="A181" s="711"/>
      <c r="B181" s="712" t="n">
        <f aca="false">B161</f>
        <v>2002</v>
      </c>
      <c r="C181" s="712"/>
      <c r="D181" s="712"/>
      <c r="E181" s="712"/>
      <c r="F181" s="712"/>
      <c r="G181" s="712" t="n">
        <f aca="false">G161</f>
        <v>2003</v>
      </c>
      <c r="H181" s="712"/>
      <c r="I181" s="712"/>
      <c r="J181" s="712"/>
      <c r="K181" s="712"/>
      <c r="L181" s="712" t="n">
        <f aca="false">L161</f>
        <v>2004</v>
      </c>
      <c r="M181" s="712"/>
      <c r="N181" s="712"/>
      <c r="O181" s="712"/>
      <c r="P181" s="712"/>
      <c r="Q181" s="713" t="s">
        <v>314</v>
      </c>
      <c r="R181" s="713"/>
      <c r="S181" s="713"/>
      <c r="T181" s="714"/>
      <c r="U181" s="714"/>
      <c r="V181" s="715"/>
      <c r="W181" s="478"/>
      <c r="X181" s="46"/>
      <c r="Y181" s="46"/>
      <c r="Z181" s="716"/>
      <c r="AA181" s="68" t="s">
        <v>316</v>
      </c>
      <c r="AB181" s="478" t="s">
        <v>317</v>
      </c>
      <c r="AC181" s="567"/>
      <c r="AD181" s="46"/>
      <c r="AE181" s="46"/>
      <c r="AF181" s="46"/>
      <c r="AG181" s="46"/>
      <c r="AH181" s="46"/>
      <c r="AI181" s="46"/>
      <c r="DL181" s="533" t="n">
        <v>40878</v>
      </c>
      <c r="DM181" s="459" t="n">
        <v>22</v>
      </c>
      <c r="DP181" s="534"/>
      <c r="DQ181" s="234" t="n">
        <f aca="false">[1]OPPD_NPPD!$O172+[1]NSP!$O172</f>
        <v>0</v>
      </c>
      <c r="DR181" s="234" t="n">
        <f aca="false">[1]COMED!$O172</f>
        <v>0</v>
      </c>
      <c r="DS181" s="234" t="n">
        <f aca="false">DQ181+DR181</f>
        <v>0</v>
      </c>
      <c r="DT181" s="234" t="n">
        <f aca="false">SUM([1]OPPD_NPPD!$P172:$R172)+SUM([1]NSP!$P172:$R172)</f>
        <v>0</v>
      </c>
      <c r="DU181" s="234" t="n">
        <f aca="false">SUM([1]COMED!$P172:$R172)</f>
        <v>0</v>
      </c>
      <c r="DV181" s="234" t="n">
        <f aca="false">DT181+DU181</f>
        <v>0</v>
      </c>
    </row>
    <row r="182" customFormat="false" ht="13.5" hidden="false" customHeight="false" outlineLevel="0" collapsed="false">
      <c r="A182" s="46"/>
      <c r="B182" s="717" t="s">
        <v>171</v>
      </c>
      <c r="C182" s="718" t="s">
        <v>172</v>
      </c>
      <c r="D182" s="718" t="s">
        <v>173</v>
      </c>
      <c r="E182" s="718" t="s">
        <v>174</v>
      </c>
      <c r="F182" s="719" t="s">
        <v>100</v>
      </c>
      <c r="G182" s="717" t="s">
        <v>171</v>
      </c>
      <c r="H182" s="718" t="s">
        <v>172</v>
      </c>
      <c r="I182" s="718" t="s">
        <v>173</v>
      </c>
      <c r="J182" s="717" t="s">
        <v>174</v>
      </c>
      <c r="K182" s="719" t="s">
        <v>100</v>
      </c>
      <c r="L182" s="717" t="s">
        <v>171</v>
      </c>
      <c r="M182" s="718" t="s">
        <v>172</v>
      </c>
      <c r="N182" s="718" t="s">
        <v>173</v>
      </c>
      <c r="O182" s="718" t="s">
        <v>174</v>
      </c>
      <c r="P182" s="719" t="s">
        <v>100</v>
      </c>
      <c r="Q182" s="717" t="s">
        <v>171</v>
      </c>
      <c r="R182" s="718" t="s">
        <v>172</v>
      </c>
      <c r="S182" s="718" t="s">
        <v>173</v>
      </c>
      <c r="T182" s="714" t="s">
        <v>100</v>
      </c>
      <c r="U182" s="714"/>
      <c r="V182" s="718" t="s">
        <v>174</v>
      </c>
      <c r="W182" s="719" t="s">
        <v>100</v>
      </c>
      <c r="X182" s="46"/>
      <c r="Y182" s="46"/>
      <c r="Z182" s="716"/>
      <c r="AA182" s="82" t="s">
        <v>318</v>
      </c>
      <c r="AB182" s="486" t="s">
        <v>173</v>
      </c>
      <c r="AC182" s="567"/>
      <c r="AD182" s="46"/>
      <c r="AE182" s="46"/>
      <c r="AF182" s="46"/>
      <c r="AG182" s="46"/>
      <c r="AH182" s="46"/>
      <c r="AI182" s="46"/>
      <c r="DL182" s="533" t="n">
        <v>40909</v>
      </c>
      <c r="DM182" s="459" t="n">
        <v>22</v>
      </c>
      <c r="DQ182" s="234" t="n">
        <f aca="false">[1]OPPD_NPPD!$O173+[1]NSP!$O173</f>
        <v>0</v>
      </c>
      <c r="DR182" s="234" t="n">
        <f aca="false">[1]COMED!$O173</f>
        <v>0</v>
      </c>
      <c r="DS182" s="234" t="n">
        <f aca="false">DQ182+DR182</f>
        <v>0</v>
      </c>
      <c r="DT182" s="234" t="n">
        <f aca="false">SUM([1]OPPD_NPPD!$P173:$R173)+SUM([1]NSP!$P173:$R173)</f>
        <v>0</v>
      </c>
      <c r="DU182" s="234" t="n">
        <f aca="false">SUM([1]COMED!$P173:$R173)</f>
        <v>0</v>
      </c>
      <c r="DV182" s="234" t="n">
        <f aca="false">DT182+DU182</f>
        <v>0</v>
      </c>
    </row>
    <row r="183" customFormat="false" ht="15" hidden="false" customHeight="false" outlineLevel="0" collapsed="false">
      <c r="A183" s="720" t="n">
        <f aca="false">A163</f>
        <v>35796</v>
      </c>
      <c r="B183" s="721" t="n">
        <f aca="false">B143+B163</f>
        <v>0</v>
      </c>
      <c r="C183" s="721" t="n">
        <f aca="false">C143+C163</f>
        <v>-403723.784179688</v>
      </c>
      <c r="D183" s="721" t="e">
        <f aca="false">D143+D163</f>
        <v>#REF!</v>
      </c>
      <c r="E183" s="721" t="n">
        <f aca="false">E143+E163</f>
        <v>190653.49609375</v>
      </c>
      <c r="F183" s="721" t="e">
        <f aca="false">F143+F163</f>
        <v>#REF!</v>
      </c>
      <c r="G183" s="721" t="n">
        <f aca="false">G143+G163</f>
        <v>0</v>
      </c>
      <c r="H183" s="721" t="n">
        <f aca="false">H143+H163</f>
        <v>-250114.87298584</v>
      </c>
      <c r="I183" s="721" t="n">
        <f aca="false">I143+I163</f>
        <v>0</v>
      </c>
      <c r="J183" s="721" t="n">
        <f aca="false">J143+J163</f>
        <v>27.46875</v>
      </c>
      <c r="K183" s="721" t="n">
        <f aca="false">K143+K163</f>
        <v>-250087.40423584</v>
      </c>
      <c r="L183" s="721" t="n">
        <f aca="false">L143+L163</f>
        <v>0</v>
      </c>
      <c r="M183" s="721" t="n">
        <f aca="false">M143+M163</f>
        <v>0</v>
      </c>
      <c r="N183" s="721" t="n">
        <f aca="false">N143+N163</f>
        <v>0</v>
      </c>
      <c r="O183" s="721" t="n">
        <f aca="false">O143+O163</f>
        <v>0</v>
      </c>
      <c r="P183" s="721" t="n">
        <f aca="false">P143+P163</f>
        <v>0</v>
      </c>
      <c r="Q183" s="721" t="n">
        <f aca="false">Q143+Q163</f>
        <v>0</v>
      </c>
      <c r="R183" s="721" t="n">
        <f aca="false">R143+R163</f>
        <v>-986157.25189209</v>
      </c>
      <c r="S183" s="721" t="n">
        <v>0</v>
      </c>
      <c r="T183" s="722" t="n">
        <f aca="false">T143+T163</f>
        <v>0</v>
      </c>
      <c r="U183" s="722" t="n">
        <f aca="false">U143+U163</f>
        <v>0</v>
      </c>
      <c r="V183" s="721" t="n">
        <f aca="false">V143+V163</f>
        <v>190680.96484375</v>
      </c>
      <c r="W183" s="721" t="n">
        <f aca="false">W143+W163</f>
        <v>-719696.685546875</v>
      </c>
      <c r="X183" s="720" t="n">
        <v>35796</v>
      </c>
      <c r="Y183" s="46"/>
      <c r="Z183" s="724"/>
      <c r="AA183" s="725"/>
      <c r="AB183" s="731"/>
      <c r="AC183" s="629"/>
      <c r="AD183" s="46"/>
      <c r="AE183" s="46"/>
      <c r="AF183" s="46"/>
      <c r="AG183" s="46"/>
      <c r="AH183" s="46"/>
      <c r="AI183" s="46"/>
      <c r="DL183" s="533" t="n">
        <v>40940</v>
      </c>
      <c r="DM183" s="459" t="n">
        <v>21</v>
      </c>
      <c r="DQ183" s="234" t="n">
        <f aca="false">[1]OPPD_NPPD!$O174+[1]NSP!$O174</f>
        <v>0</v>
      </c>
      <c r="DR183" s="234" t="n">
        <f aca="false">[1]COMED!$O174</f>
        <v>0</v>
      </c>
      <c r="DS183" s="234" t="n">
        <f aca="false">DQ183+DR183</f>
        <v>0</v>
      </c>
      <c r="DT183" s="234" t="n">
        <f aca="false">SUM([1]OPPD_NPPD!$P174:$R174)+SUM([1]NSP!$P174:$R174)</f>
        <v>0</v>
      </c>
      <c r="DU183" s="234" t="n">
        <f aca="false">SUM([1]COMED!$P174:$R174)</f>
        <v>0</v>
      </c>
      <c r="DV183" s="234" t="n">
        <f aca="false">DT183+DU183</f>
        <v>0</v>
      </c>
    </row>
    <row r="184" customFormat="false" ht="15.75" hidden="false" customHeight="false" outlineLevel="0" collapsed="false">
      <c r="A184" s="726" t="n">
        <v>35827</v>
      </c>
      <c r="B184" s="727" t="n">
        <f aca="false">B144+B164</f>
        <v>0</v>
      </c>
      <c r="C184" s="727" t="n">
        <f aca="false">C144+C164</f>
        <v>-365897.644042969</v>
      </c>
      <c r="D184" s="727" t="e">
        <f aca="false">D144+D164</f>
        <v>#REF!</v>
      </c>
      <c r="E184" s="727" t="n">
        <f aca="false">E144+E164</f>
        <v>172858.884765625</v>
      </c>
      <c r="F184" s="727" t="e">
        <f aca="false">F144+F164</f>
        <v>#REF!</v>
      </c>
      <c r="G184" s="727" t="n">
        <f aca="false">G144+G164</f>
        <v>0</v>
      </c>
      <c r="H184" s="727" t="n">
        <f aca="false">H144+H164</f>
        <v>-226219.296875</v>
      </c>
      <c r="I184" s="727" t="n">
        <f aca="false">I144+I164</f>
        <v>0</v>
      </c>
      <c r="J184" s="727" t="n">
        <f aca="false">J144+J164</f>
        <v>25.263671875</v>
      </c>
      <c r="K184" s="727" t="n">
        <f aca="false">K144+K164</f>
        <v>-226194.033203125</v>
      </c>
      <c r="L184" s="727" t="n">
        <f aca="false">L144+L164</f>
        <v>0</v>
      </c>
      <c r="M184" s="727" t="n">
        <f aca="false">M144+M164</f>
        <v>0</v>
      </c>
      <c r="N184" s="727" t="n">
        <f aca="false">N144+N164</f>
        <v>0</v>
      </c>
      <c r="O184" s="727" t="n">
        <f aca="false">O144+O164</f>
        <v>0</v>
      </c>
      <c r="P184" s="727" t="n">
        <f aca="false">P144+P164</f>
        <v>0</v>
      </c>
      <c r="Q184" s="727" t="n">
        <f aca="false">Q144+Q164</f>
        <v>0</v>
      </c>
      <c r="R184" s="727" t="n">
        <f aca="false">R144+R164</f>
        <v>-896978.825439453</v>
      </c>
      <c r="S184" s="727" t="n">
        <v>0</v>
      </c>
      <c r="T184" s="722" t="n">
        <f aca="false">T144+T164</f>
        <v>0</v>
      </c>
      <c r="U184" s="722" t="n">
        <f aca="false">U144+U164</f>
        <v>0</v>
      </c>
      <c r="V184" s="727" t="n">
        <f aca="false">V144+V164</f>
        <v>172884.1484375</v>
      </c>
      <c r="W184" s="727" t="n">
        <f aca="false">W144+W164</f>
        <v>-660499.561523438</v>
      </c>
      <c r="X184" s="726" t="n">
        <v>35827</v>
      </c>
      <c r="Y184" s="46"/>
      <c r="Z184" s="728" t="s">
        <v>141</v>
      </c>
      <c r="AA184" s="729" t="n">
        <f aca="false">SUM(W183:W185)</f>
        <v>-1793415.85351563</v>
      </c>
      <c r="AB184" s="729" t="n">
        <f aca="false">R183+R184+R185+S183+S184+S185</f>
        <v>-2449025.71307373</v>
      </c>
      <c r="AC184" s="716"/>
      <c r="AD184" s="46"/>
      <c r="AE184" s="46"/>
      <c r="AF184" s="46"/>
      <c r="AG184" s="46"/>
      <c r="AH184" s="46"/>
      <c r="AI184" s="46"/>
      <c r="DL184" s="533" t="n">
        <v>40969</v>
      </c>
      <c r="DM184" s="459" t="n">
        <v>22</v>
      </c>
      <c r="DQ184" s="234" t="n">
        <f aca="false">[1]OPPD_NPPD!$O175+[1]NSP!$O175</f>
        <v>0</v>
      </c>
      <c r="DR184" s="234" t="n">
        <f aca="false">[1]COMED!$O175</f>
        <v>0</v>
      </c>
      <c r="DS184" s="234" t="n">
        <f aca="false">DQ184+DR184</f>
        <v>0</v>
      </c>
      <c r="DT184" s="234" t="n">
        <f aca="false">SUM([1]OPPD_NPPD!$P175:$R175)+SUM([1]NSP!$P175:$R175)</f>
        <v>0</v>
      </c>
      <c r="DU184" s="234" t="n">
        <f aca="false">SUM([1]COMED!$P175:$R175)</f>
        <v>0</v>
      </c>
      <c r="DV184" s="234" t="n">
        <f aca="false">DT184+DU184</f>
        <v>0</v>
      </c>
    </row>
    <row r="185" customFormat="false" ht="16.5" hidden="false" customHeight="false" outlineLevel="0" collapsed="false">
      <c r="A185" s="726" t="n">
        <f aca="false">A165</f>
        <v>36586</v>
      </c>
      <c r="B185" s="727" t="n">
        <f aca="false">B145+B165</f>
        <v>0</v>
      </c>
      <c r="C185" s="727" t="n">
        <f aca="false">C145+C165</f>
        <v>-35932.1728515625</v>
      </c>
      <c r="D185" s="727" t="e">
        <f aca="false">D145+D165</f>
        <v>#REF!</v>
      </c>
      <c r="E185" s="727" t="n">
        <f aca="false">E145+E165</f>
        <v>82317.91796875</v>
      </c>
      <c r="F185" s="727" t="e">
        <f aca="false">F145+F165</f>
        <v>#REF!</v>
      </c>
      <c r="G185" s="727" t="n">
        <f aca="false">G145+G165</f>
        <v>0</v>
      </c>
      <c r="H185" s="727" t="n">
        <f aca="false">H145+H165</f>
        <v>-189259.765625</v>
      </c>
      <c r="I185" s="727" t="n">
        <f aca="false">I145+I165</f>
        <v>0</v>
      </c>
      <c r="J185" s="727" t="n">
        <f aca="false">J145+J165</f>
        <v>26.7626953125</v>
      </c>
      <c r="K185" s="727" t="n">
        <f aca="false">K145+K165</f>
        <v>-189233.002929688</v>
      </c>
      <c r="L185" s="727" t="n">
        <f aca="false">L145+L165</f>
        <v>0</v>
      </c>
      <c r="M185" s="727" t="n">
        <f aca="false">M145+M165</f>
        <v>0</v>
      </c>
      <c r="N185" s="727" t="n">
        <f aca="false">N145+N165</f>
        <v>0</v>
      </c>
      <c r="O185" s="727" t="n">
        <f aca="false">O145+O165</f>
        <v>0</v>
      </c>
      <c r="P185" s="727" t="n">
        <f aca="false">P145+P165</f>
        <v>0</v>
      </c>
      <c r="Q185" s="727" t="n">
        <f aca="false">Q145+Q165</f>
        <v>0</v>
      </c>
      <c r="R185" s="727" t="n">
        <f aca="false">R145+R165</f>
        <v>-565889.635742188</v>
      </c>
      <c r="S185" s="727" t="n">
        <v>0</v>
      </c>
      <c r="T185" s="722" t="n">
        <f aca="false">T145+T165</f>
        <v>0</v>
      </c>
      <c r="U185" s="722" t="n">
        <f aca="false">U145+U165</f>
        <v>0</v>
      </c>
      <c r="V185" s="727" t="n">
        <f aca="false">V145+V165</f>
        <v>82344.6806640625</v>
      </c>
      <c r="W185" s="727" t="n">
        <f aca="false">W145+W165</f>
        <v>-413219.606445313</v>
      </c>
      <c r="X185" s="726" t="n">
        <v>36586</v>
      </c>
      <c r="Y185" s="46"/>
      <c r="Z185" s="82"/>
      <c r="AA185" s="730"/>
      <c r="AB185" s="732"/>
      <c r="AC185" s="716"/>
      <c r="AD185" s="46"/>
      <c r="AE185" s="46"/>
      <c r="AF185" s="46"/>
      <c r="AG185" s="46"/>
      <c r="AH185" s="46"/>
      <c r="AI185" s="46"/>
      <c r="DL185" s="533" t="n">
        <v>41000</v>
      </c>
      <c r="DM185" s="459" t="n">
        <v>21</v>
      </c>
      <c r="DQ185" s="234" t="n">
        <f aca="false">[1]OPPD_NPPD!$O176+[1]NSP!$O176</f>
        <v>0</v>
      </c>
      <c r="DR185" s="234" t="n">
        <f aca="false">[1]COMED!$O176</f>
        <v>0</v>
      </c>
      <c r="DS185" s="234" t="n">
        <f aca="false">DQ185+DR185</f>
        <v>0</v>
      </c>
      <c r="DT185" s="234" t="n">
        <f aca="false">SUM([1]OPPD_NPPD!$P176:$R176)+SUM([1]NSP!$P176:$R176)</f>
        <v>0</v>
      </c>
      <c r="DU185" s="234" t="n">
        <f aca="false">SUM([1]COMED!$P176:$R176)</f>
        <v>0</v>
      </c>
      <c r="DV185" s="234" t="n">
        <f aca="false">DT185+DU185</f>
        <v>0</v>
      </c>
    </row>
    <row r="186" customFormat="false" ht="15" hidden="false" customHeight="false" outlineLevel="0" collapsed="false">
      <c r="A186" s="726" t="n">
        <f aca="false">A166</f>
        <v>36617</v>
      </c>
      <c r="B186" s="727" t="n">
        <f aca="false">B146+B166</f>
        <v>0</v>
      </c>
      <c r="C186" s="727" t="n">
        <f aca="false">C146+C166</f>
        <v>-40481.0532226563</v>
      </c>
      <c r="D186" s="727" t="e">
        <f aca="false">D146+D166</f>
        <v>#REF!</v>
      </c>
      <c r="E186" s="727" t="n">
        <f aca="false">E146+E166</f>
        <v>85969.234375</v>
      </c>
      <c r="F186" s="727" t="e">
        <f aca="false">F146+F166</f>
        <v>#REF!</v>
      </c>
      <c r="G186" s="727" t="n">
        <f aca="false">G146+G166</f>
        <v>0</v>
      </c>
      <c r="H186" s="727" t="n">
        <f aca="false">H146+H166</f>
        <v>-197487.5625</v>
      </c>
      <c r="I186" s="727" t="n">
        <f aca="false">I146+I166</f>
        <v>0</v>
      </c>
      <c r="J186" s="727" t="n">
        <f aca="false">J146+J166</f>
        <v>28.447265625</v>
      </c>
      <c r="K186" s="727" t="n">
        <f aca="false">K146+K166</f>
        <v>-197459.115234375</v>
      </c>
      <c r="L186" s="727" t="n">
        <f aca="false">L146+L166</f>
        <v>0</v>
      </c>
      <c r="M186" s="727" t="n">
        <f aca="false">M146+M166</f>
        <v>0</v>
      </c>
      <c r="N186" s="727" t="n">
        <f aca="false">N146+N166</f>
        <v>0</v>
      </c>
      <c r="O186" s="727" t="n">
        <f aca="false">O146+O166</f>
        <v>0</v>
      </c>
      <c r="P186" s="727" t="n">
        <f aca="false">P146+P166</f>
        <v>0</v>
      </c>
      <c r="Q186" s="727" t="n">
        <f aca="false">Q146+Q166</f>
        <v>0</v>
      </c>
      <c r="R186" s="727" t="n">
        <f aca="false">R146+R166</f>
        <v>-558583.362792969</v>
      </c>
      <c r="S186" s="727" t="n">
        <v>0</v>
      </c>
      <c r="T186" s="722" t="n">
        <f aca="false">T146+T166</f>
        <v>0</v>
      </c>
      <c r="U186" s="722" t="n">
        <f aca="false">U146+U166</f>
        <v>0</v>
      </c>
      <c r="V186" s="727" t="n">
        <f aca="false">V146+V166</f>
        <v>85997.681640625</v>
      </c>
      <c r="W186" s="727" t="n">
        <f aca="false">W146+W166</f>
        <v>-403842.58984375</v>
      </c>
      <c r="X186" s="726" t="n">
        <v>36617</v>
      </c>
      <c r="Y186" s="46"/>
      <c r="Z186" s="724"/>
      <c r="AA186" s="725"/>
      <c r="AB186" s="731"/>
      <c r="AC186" s="629"/>
      <c r="AD186" s="46"/>
      <c r="AE186" s="46"/>
      <c r="AF186" s="46"/>
      <c r="AG186" s="46"/>
      <c r="AH186" s="46"/>
      <c r="AI186" s="46"/>
      <c r="DL186" s="533" t="n">
        <v>41030</v>
      </c>
      <c r="DM186" s="459" t="n">
        <v>22</v>
      </c>
      <c r="DQ186" s="234" t="n">
        <f aca="false">[1]OPPD_NPPD!$O177+[1]NSP!$O177</f>
        <v>0</v>
      </c>
      <c r="DR186" s="234" t="n">
        <f aca="false">[1]COMED!$O177</f>
        <v>0</v>
      </c>
      <c r="DS186" s="234" t="n">
        <f aca="false">DQ186+DR186</f>
        <v>0</v>
      </c>
      <c r="DT186" s="234" t="n">
        <f aca="false">SUM([1]OPPD_NPPD!$P177:$R177)+SUM([1]NSP!$P177:$R177)</f>
        <v>0</v>
      </c>
      <c r="DU186" s="234" t="n">
        <f aca="false">SUM([1]COMED!$P177:$R177)</f>
        <v>0</v>
      </c>
      <c r="DV186" s="234" t="n">
        <f aca="false">DT186+DU186</f>
        <v>0</v>
      </c>
    </row>
    <row r="187" customFormat="false" ht="15.75" hidden="false" customHeight="false" outlineLevel="0" collapsed="false">
      <c r="A187" s="726" t="n">
        <f aca="false">A167</f>
        <v>36647</v>
      </c>
      <c r="B187" s="727" t="n">
        <f aca="false">B147+B167</f>
        <v>0</v>
      </c>
      <c r="C187" s="727" t="n">
        <f aca="false">C147+C167</f>
        <v>-125126.387939453</v>
      </c>
      <c r="D187" s="727" t="e">
        <f aca="false">D147+D167</f>
        <v>#REF!</v>
      </c>
      <c r="E187" s="727" t="n">
        <f aca="false">E147+E167</f>
        <v>102849.3984375</v>
      </c>
      <c r="F187" s="727" t="e">
        <f aca="false">F147+F167</f>
        <v>#REF!</v>
      </c>
      <c r="G187" s="727" t="n">
        <f aca="false">G147+G167</f>
        <v>0</v>
      </c>
      <c r="H187" s="727" t="n">
        <f aca="false">H147+H167</f>
        <v>-188098.23739624</v>
      </c>
      <c r="I187" s="727" t="n">
        <f aca="false">I147+I167</f>
        <v>0</v>
      </c>
      <c r="J187" s="727" t="n">
        <f aca="false">J147+J167</f>
        <v>29.6611328125</v>
      </c>
      <c r="K187" s="727" t="n">
        <f aca="false">K147+K167</f>
        <v>-188068.576263428</v>
      </c>
      <c r="L187" s="727" t="n">
        <f aca="false">L147+L167</f>
        <v>0</v>
      </c>
      <c r="M187" s="727" t="n">
        <f aca="false">M147+M167</f>
        <v>0</v>
      </c>
      <c r="N187" s="727" t="n">
        <f aca="false">N147+N167</f>
        <v>0</v>
      </c>
      <c r="O187" s="727" t="n">
        <f aca="false">O147+O167</f>
        <v>0</v>
      </c>
      <c r="P187" s="727" t="n">
        <f aca="false">P147+P167</f>
        <v>0</v>
      </c>
      <c r="Q187" s="727" t="n">
        <f aca="false">Q147+Q167</f>
        <v>0</v>
      </c>
      <c r="R187" s="727" t="n">
        <f aca="false">R147+R167</f>
        <v>-626372.208099365</v>
      </c>
      <c r="S187" s="727" t="n">
        <v>0</v>
      </c>
      <c r="T187" s="722" t="n">
        <f aca="false">T147+T167</f>
        <v>0</v>
      </c>
      <c r="U187" s="722" t="n">
        <f aca="false">U147+U167</f>
        <v>0</v>
      </c>
      <c r="V187" s="727" t="n">
        <f aca="false">V147+V167</f>
        <v>102879.059570313</v>
      </c>
      <c r="W187" s="727" t="n">
        <f aca="false">W147+W167</f>
        <v>-457803.528320313</v>
      </c>
      <c r="X187" s="726" t="n">
        <v>36647</v>
      </c>
      <c r="Y187" s="46"/>
      <c r="Z187" s="728" t="s">
        <v>142</v>
      </c>
      <c r="AA187" s="729" t="n">
        <f aca="false">SUM(W186:W188)</f>
        <v>-1244705.80664063</v>
      </c>
      <c r="AB187" s="729" t="n">
        <f aca="false">R186+R187+R188+S186+S187+S188</f>
        <v>-1716709.17977905</v>
      </c>
      <c r="AC187" s="716"/>
      <c r="AD187" s="46"/>
      <c r="AE187" s="46"/>
      <c r="AF187" s="46"/>
      <c r="AG187" s="46"/>
      <c r="AH187" s="46"/>
      <c r="AI187" s="46"/>
      <c r="DL187" s="533" t="n">
        <v>41061</v>
      </c>
      <c r="DM187" s="459" t="n">
        <v>21</v>
      </c>
      <c r="DQ187" s="234" t="n">
        <f aca="false">[1]OPPD_NPPD!$O178+[1]NSP!$O178</f>
        <v>0</v>
      </c>
      <c r="DR187" s="234" t="n">
        <f aca="false">[1]COMED!$O178</f>
        <v>0</v>
      </c>
      <c r="DS187" s="234" t="n">
        <f aca="false">DQ187+DR187</f>
        <v>0</v>
      </c>
      <c r="DT187" s="234" t="n">
        <f aca="false">SUM([1]OPPD_NPPD!$P178:$R178)+SUM([1]NSP!$P178:$R178)</f>
        <v>0</v>
      </c>
      <c r="DU187" s="234" t="n">
        <f aca="false">SUM([1]COMED!$P178:$R178)</f>
        <v>0</v>
      </c>
      <c r="DV187" s="234" t="n">
        <f aca="false">DT187+DU187</f>
        <v>0</v>
      </c>
    </row>
    <row r="188" customFormat="false" ht="16.5" hidden="false" customHeight="false" outlineLevel="0" collapsed="false">
      <c r="A188" s="726" t="n">
        <f aca="false">A168</f>
        <v>36678</v>
      </c>
      <c r="B188" s="727" t="n">
        <f aca="false">B148+B168</f>
        <v>0</v>
      </c>
      <c r="C188" s="727" t="n">
        <f aca="false">C148+C168</f>
        <v>-42666.6176757813</v>
      </c>
      <c r="D188" s="727" t="n">
        <f aca="false">D148+D168</f>
        <v>0</v>
      </c>
      <c r="E188" s="727" t="n">
        <f aca="false">E148+E168</f>
        <v>93207.1875</v>
      </c>
      <c r="F188" s="727" t="n">
        <f aca="false">F148+F168</f>
        <v>31146.65234375</v>
      </c>
      <c r="G188" s="727" t="n">
        <f aca="false">G148+G168</f>
        <v>0</v>
      </c>
      <c r="H188" s="727" t="n">
        <f aca="false">H148+H168</f>
        <v>-186955.484375</v>
      </c>
      <c r="I188" s="727" t="n">
        <f aca="false">I148+I168</f>
        <v>0</v>
      </c>
      <c r="J188" s="727" t="n">
        <f aca="false">J148+J168</f>
        <v>25.77734375</v>
      </c>
      <c r="K188" s="727" t="n">
        <f aca="false">K148+K168</f>
        <v>-186929.70703125</v>
      </c>
      <c r="L188" s="727" t="n">
        <f aca="false">L148+L168</f>
        <v>0</v>
      </c>
      <c r="M188" s="727" t="n">
        <f aca="false">M148+M168</f>
        <v>0</v>
      </c>
      <c r="N188" s="727" t="n">
        <f aca="false">N148+N168</f>
        <v>0</v>
      </c>
      <c r="O188" s="727" t="n">
        <f aca="false">O148+O168</f>
        <v>0</v>
      </c>
      <c r="P188" s="727" t="n">
        <f aca="false">P148+P168</f>
        <v>0</v>
      </c>
      <c r="Q188" s="727" t="n">
        <f aca="false">Q148+Q168</f>
        <v>0</v>
      </c>
      <c r="R188" s="727" t="n">
        <f aca="false">R148+R168</f>
        <v>-531753.608886719</v>
      </c>
      <c r="S188" s="727" t="n">
        <v>0</v>
      </c>
      <c r="T188" s="722" t="n">
        <f aca="false">T148+T168</f>
        <v>0</v>
      </c>
      <c r="U188" s="722" t="n">
        <f aca="false">U148+U168</f>
        <v>0</v>
      </c>
      <c r="V188" s="727" t="n">
        <f aca="false">V148+V168</f>
        <v>93232.96484375</v>
      </c>
      <c r="W188" s="727" t="n">
        <f aca="false">W148+W168</f>
        <v>-383059.688476563</v>
      </c>
      <c r="X188" s="726" t="n">
        <v>36678</v>
      </c>
      <c r="Y188" s="46"/>
      <c r="Z188" s="82"/>
      <c r="AA188" s="730"/>
      <c r="AB188" s="732"/>
      <c r="AC188" s="716"/>
      <c r="AD188" s="46"/>
      <c r="AE188" s="46"/>
      <c r="AF188" s="46"/>
      <c r="AG188" s="46"/>
      <c r="AH188" s="46"/>
      <c r="AI188" s="46"/>
      <c r="DL188" s="533" t="n">
        <v>41091</v>
      </c>
      <c r="DM188" s="459" t="n">
        <v>21</v>
      </c>
      <c r="DQ188" s="234" t="n">
        <f aca="false">[1]OPPD_NPPD!$O179+[1]NSP!$O179</f>
        <v>0</v>
      </c>
      <c r="DR188" s="234" t="n">
        <f aca="false">[1]COMED!$O179</f>
        <v>0</v>
      </c>
      <c r="DS188" s="234" t="n">
        <f aca="false">DQ188+DR188</f>
        <v>0</v>
      </c>
      <c r="DT188" s="234" t="n">
        <f aca="false">SUM([1]OPPD_NPPD!$P179:$R179)+SUM([1]NSP!$P179:$R179)</f>
        <v>0</v>
      </c>
      <c r="DU188" s="234" t="n">
        <f aca="false">SUM([1]COMED!$P179:$R179)</f>
        <v>0</v>
      </c>
      <c r="DV188" s="234" t="n">
        <f aca="false">DT188+DU188</f>
        <v>0</v>
      </c>
    </row>
    <row r="189" customFormat="false" ht="15" hidden="false" customHeight="false" outlineLevel="0" collapsed="false">
      <c r="A189" s="726" t="n">
        <f aca="false">A169</f>
        <v>36708</v>
      </c>
      <c r="B189" s="727" t="n">
        <f aca="false">B149+B169</f>
        <v>-17011.126953125</v>
      </c>
      <c r="C189" s="727" t="n">
        <f aca="false">C149+C169</f>
        <v>-270631.562744141</v>
      </c>
      <c r="D189" s="727" t="n">
        <f aca="false">D149+D169</f>
        <v>0</v>
      </c>
      <c r="E189" s="727" t="n">
        <f aca="false">E149+E169</f>
        <v>664344.7109375</v>
      </c>
      <c r="F189" s="727" t="n">
        <f aca="false">F149+F169</f>
        <v>358144.427734375</v>
      </c>
      <c r="G189" s="727" t="n">
        <f aca="false">G149+G169</f>
        <v>0</v>
      </c>
      <c r="H189" s="727" t="n">
        <f aca="false">H149+H169</f>
        <v>-292888.68637085</v>
      </c>
      <c r="I189" s="727" t="n">
        <f aca="false">I149+I169</f>
        <v>0</v>
      </c>
      <c r="J189" s="727" t="n">
        <f aca="false">J149+J169</f>
        <v>29.654296875</v>
      </c>
      <c r="K189" s="727" t="n">
        <f aca="false">K149+K169</f>
        <v>-292859.032073975</v>
      </c>
      <c r="L189" s="727" t="n">
        <f aca="false">L149+L169</f>
        <v>0</v>
      </c>
      <c r="M189" s="727" t="n">
        <f aca="false">M149+M169</f>
        <v>0</v>
      </c>
      <c r="N189" s="727" t="n">
        <f aca="false">N149+N169</f>
        <v>0</v>
      </c>
      <c r="O189" s="727" t="n">
        <f aca="false">O149+O169</f>
        <v>0</v>
      </c>
      <c r="P189" s="727" t="n">
        <f aca="false">P149+P169</f>
        <v>0</v>
      </c>
      <c r="Q189" s="727" t="n">
        <f aca="false">Q149+Q169</f>
        <v>-17011.126953125</v>
      </c>
      <c r="R189" s="727" t="n">
        <f aca="false">R149+R169</f>
        <v>-854924.689910889</v>
      </c>
      <c r="S189" s="727" t="n">
        <v>0</v>
      </c>
      <c r="T189" s="722" t="n">
        <f aca="false">T149+T169</f>
        <v>0</v>
      </c>
      <c r="U189" s="722" t="n">
        <f aca="false">U149+U169</f>
        <v>0</v>
      </c>
      <c r="V189" s="727" t="n">
        <f aca="false">V149+V169</f>
        <v>664374.365234375</v>
      </c>
      <c r="W189" s="727" t="n">
        <f aca="false">W149+W169</f>
        <v>-148389.935546875</v>
      </c>
      <c r="X189" s="726" t="n">
        <v>36708</v>
      </c>
      <c r="Y189" s="46"/>
      <c r="Z189" s="724"/>
      <c r="AA189" s="725"/>
      <c r="AB189" s="731"/>
      <c r="AC189" s="629"/>
      <c r="AD189" s="46"/>
      <c r="AE189" s="46"/>
      <c r="AF189" s="46"/>
      <c r="AG189" s="46"/>
      <c r="AH189" s="46"/>
      <c r="AI189" s="46"/>
      <c r="DL189" s="533" t="n">
        <v>41122</v>
      </c>
      <c r="DM189" s="459" t="n">
        <v>23</v>
      </c>
      <c r="DQ189" s="234" t="n">
        <f aca="false">[1]OPPD_NPPD!$O180+[1]NSP!$O180</f>
        <v>0</v>
      </c>
      <c r="DR189" s="234" t="n">
        <f aca="false">[1]COMED!$O180</f>
        <v>0</v>
      </c>
      <c r="DS189" s="234" t="n">
        <f aca="false">DQ189+DR189</f>
        <v>0</v>
      </c>
      <c r="DT189" s="234" t="n">
        <f aca="false">SUM([1]OPPD_NPPD!$P180:$R180)+SUM([1]NSP!$P180:$R180)</f>
        <v>0</v>
      </c>
      <c r="DU189" s="234" t="n">
        <f aca="false">SUM([1]COMED!$P180:$R180)</f>
        <v>0</v>
      </c>
      <c r="DV189" s="234" t="n">
        <f aca="false">DT189+DU189</f>
        <v>0</v>
      </c>
    </row>
    <row r="190" customFormat="false" ht="15.75" hidden="false" customHeight="false" outlineLevel="0" collapsed="false">
      <c r="A190" s="726" t="n">
        <f aca="false">A170</f>
        <v>36739</v>
      </c>
      <c r="B190" s="727" t="n">
        <f aca="false">B150+B170</f>
        <v>-16954.423828125</v>
      </c>
      <c r="C190" s="727" t="n">
        <f aca="false">C150+C170</f>
        <v>-269344.125976563</v>
      </c>
      <c r="D190" s="727" t="n">
        <f aca="false">D150+D170</f>
        <v>0</v>
      </c>
      <c r="E190" s="727" t="n">
        <f aca="false">E150+E170</f>
        <v>662015.390625</v>
      </c>
      <c r="F190" s="727" t="n">
        <f aca="false">F150+F170</f>
        <v>356835.779296875</v>
      </c>
      <c r="G190" s="727" t="n">
        <f aca="false">G150+G170</f>
        <v>0</v>
      </c>
      <c r="H190" s="727" t="n">
        <f aca="false">H150+H170</f>
        <v>-277999.78125</v>
      </c>
      <c r="I190" s="727" t="n">
        <f aca="false">I150+I170</f>
        <v>0</v>
      </c>
      <c r="J190" s="727" t="n">
        <f aca="false">J150+J170</f>
        <v>26.3671875</v>
      </c>
      <c r="K190" s="727" t="n">
        <f aca="false">K150+K170</f>
        <v>-277973.4140625</v>
      </c>
      <c r="L190" s="727" t="n">
        <f aca="false">L150+L170</f>
        <v>0</v>
      </c>
      <c r="M190" s="727" t="n">
        <f aca="false">M150+M170</f>
        <v>0</v>
      </c>
      <c r="N190" s="727" t="n">
        <f aca="false">N150+N170</f>
        <v>0</v>
      </c>
      <c r="O190" s="727" t="n">
        <f aca="false">O150+O170</f>
        <v>0</v>
      </c>
      <c r="P190" s="727" t="n">
        <f aca="false">P150+P170</f>
        <v>0</v>
      </c>
      <c r="Q190" s="727" t="n">
        <f aca="false">Q150+Q170</f>
        <v>-16954.423828125</v>
      </c>
      <c r="R190" s="727" t="n">
        <f aca="false">R150+R170</f>
        <v>-847384.08215332</v>
      </c>
      <c r="S190" s="727" t="n">
        <v>0</v>
      </c>
      <c r="T190" s="722" t="n">
        <f aca="false">T150+T170</f>
        <v>0</v>
      </c>
      <c r="U190" s="722" t="n">
        <f aca="false">U150+U170</f>
        <v>0</v>
      </c>
      <c r="V190" s="727" t="n">
        <f aca="false">V150+V170</f>
        <v>662041.7578125</v>
      </c>
      <c r="W190" s="727" t="n">
        <f aca="false">W150+W170</f>
        <v>-146600.022460938</v>
      </c>
      <c r="X190" s="726" t="n">
        <v>36739</v>
      </c>
      <c r="Y190" s="46"/>
      <c r="Z190" s="728" t="s">
        <v>143</v>
      </c>
      <c r="AA190" s="729" t="n">
        <f aca="false">SUM(W189:W191)</f>
        <v>-495338.935546875</v>
      </c>
      <c r="AB190" s="729" t="n">
        <f aca="false">R189+R190+R191+S189+S190+S191</f>
        <v>-1822833.91680908</v>
      </c>
      <c r="AC190" s="716"/>
      <c r="AD190" s="46"/>
      <c r="AE190" s="46"/>
      <c r="AF190" s="46"/>
      <c r="AG190" s="46"/>
      <c r="AH190" s="46"/>
      <c r="AI190" s="46"/>
      <c r="DL190" s="533" t="n">
        <v>41153</v>
      </c>
      <c r="DM190" s="459" t="n">
        <v>19</v>
      </c>
      <c r="DQ190" s="234" t="n">
        <f aca="false">[1]OPPD_NPPD!$O181+[1]NSP!$O181</f>
        <v>0</v>
      </c>
      <c r="DR190" s="234" t="n">
        <f aca="false">[1]COMED!$O181</f>
        <v>0</v>
      </c>
      <c r="DS190" s="234" t="n">
        <f aca="false">DQ190+DR190</f>
        <v>0</v>
      </c>
      <c r="DT190" s="234" t="n">
        <f aca="false">SUM([1]OPPD_NPPD!$P181:$R181)+SUM([1]NSP!$P181:$R181)</f>
        <v>0</v>
      </c>
      <c r="DU190" s="234" t="n">
        <f aca="false">SUM([1]COMED!$P181:$R181)</f>
        <v>0</v>
      </c>
      <c r="DV190" s="234" t="n">
        <f aca="false">DT190+DU190</f>
        <v>0</v>
      </c>
    </row>
    <row r="191" customFormat="false" ht="16.5" hidden="false" customHeight="false" outlineLevel="0" collapsed="false">
      <c r="A191" s="726" t="n">
        <f aca="false">A171</f>
        <v>36770</v>
      </c>
      <c r="B191" s="727" t="n">
        <f aca="false">B151+B171</f>
        <v>0</v>
      </c>
      <c r="C191" s="727" t="n">
        <f aca="false">C151+C171</f>
        <v>110986.583984375</v>
      </c>
      <c r="D191" s="727" t="n">
        <f aca="false">D151+D171</f>
        <v>0</v>
      </c>
      <c r="E191" s="727" t="n">
        <f aca="false">E151+E171</f>
        <v>76920.67578125</v>
      </c>
      <c r="F191" s="727" t="n">
        <f aca="false">F151+F171</f>
        <v>169089.46484375</v>
      </c>
      <c r="G191" s="727" t="n">
        <f aca="false">G151+G171</f>
        <v>0</v>
      </c>
      <c r="H191" s="727" t="n">
        <f aca="false">H151+H171</f>
        <v>-154147.912689209</v>
      </c>
      <c r="I191" s="727" t="n">
        <f aca="false">I151+I171</f>
        <v>0</v>
      </c>
      <c r="J191" s="727" t="n">
        <f aca="false">J151+J171</f>
        <v>28.7509765625</v>
      </c>
      <c r="K191" s="727" t="n">
        <f aca="false">K151+K171</f>
        <v>-154119.161712646</v>
      </c>
      <c r="L191" s="727" t="n">
        <f aca="false">L151+L171</f>
        <v>0</v>
      </c>
      <c r="M191" s="727" t="n">
        <f aca="false">M151+M171</f>
        <v>0</v>
      </c>
      <c r="N191" s="727" t="n">
        <f aca="false">N151+N171</f>
        <v>0</v>
      </c>
      <c r="O191" s="727" t="n">
        <f aca="false">O151+O171</f>
        <v>0</v>
      </c>
      <c r="P191" s="727" t="n">
        <f aca="false">P151+P171</f>
        <v>0</v>
      </c>
      <c r="Q191" s="727" t="n">
        <f aca="false">Q151+Q171</f>
        <v>21904.3408203125</v>
      </c>
      <c r="R191" s="727" t="n">
        <f aca="false">R151+R171</f>
        <v>-120525.144744873</v>
      </c>
      <c r="S191" s="727" t="n">
        <v>0</v>
      </c>
      <c r="T191" s="722" t="n">
        <f aca="false">T151+T171</f>
        <v>0</v>
      </c>
      <c r="U191" s="722" t="n">
        <f aca="false">U151+U171</f>
        <v>0</v>
      </c>
      <c r="V191" s="727" t="n">
        <f aca="false">V151+V171</f>
        <v>-192274.834960938</v>
      </c>
      <c r="W191" s="727" t="n">
        <f aca="false">W151+W171</f>
        <v>-200348.977539063</v>
      </c>
      <c r="X191" s="726" t="n">
        <v>36770</v>
      </c>
      <c r="Y191" s="46"/>
      <c r="Z191" s="82"/>
      <c r="AA191" s="730"/>
      <c r="AB191" s="732"/>
      <c r="AC191" s="716"/>
      <c r="AD191" s="46"/>
      <c r="AE191" s="46"/>
      <c r="AF191" s="46"/>
      <c r="AG191" s="46"/>
      <c r="AH191" s="46"/>
      <c r="AI191" s="46"/>
      <c r="DL191" s="533" t="n">
        <v>41183</v>
      </c>
      <c r="DM191" s="459" t="n">
        <v>23</v>
      </c>
      <c r="DQ191" s="234" t="n">
        <f aca="false">[1]OPPD_NPPD!$O182+[1]NSP!$O182</f>
        <v>0</v>
      </c>
      <c r="DR191" s="234" t="n">
        <f aca="false">[1]COMED!$O182</f>
        <v>0</v>
      </c>
      <c r="DS191" s="234" t="n">
        <f aca="false">DQ191+DR191</f>
        <v>0</v>
      </c>
      <c r="DT191" s="234" t="n">
        <f aca="false">SUM([1]OPPD_NPPD!$P182:$R182)+SUM([1]NSP!$P182:$R182)</f>
        <v>0</v>
      </c>
      <c r="DU191" s="234" t="n">
        <f aca="false">SUM([1]COMED!$P182:$R182)</f>
        <v>0</v>
      </c>
      <c r="DV191" s="234" t="n">
        <f aca="false">DT191+DU191</f>
        <v>0</v>
      </c>
    </row>
    <row r="192" customFormat="false" ht="15" hidden="false" customHeight="false" outlineLevel="0" collapsed="false">
      <c r="A192" s="726" t="n">
        <f aca="false">A172</f>
        <v>36800</v>
      </c>
      <c r="B192" s="727" t="n">
        <f aca="false">B152+B172</f>
        <v>0</v>
      </c>
      <c r="C192" s="727" t="n">
        <f aca="false">C152+C172</f>
        <v>-157994.991210938</v>
      </c>
      <c r="D192" s="727" t="n">
        <f aca="false">D152+D172</f>
        <v>0</v>
      </c>
      <c r="E192" s="727" t="n">
        <f aca="false">E152+E172</f>
        <v>158663.76171875</v>
      </c>
      <c r="F192" s="727" t="n">
        <f aca="false">F152+F172</f>
        <v>-17364.56640625</v>
      </c>
      <c r="G192" s="727" t="n">
        <f aca="false">G152+G172</f>
        <v>0</v>
      </c>
      <c r="H192" s="727" t="n">
        <f aca="false">H152+H172</f>
        <v>-167670.328125</v>
      </c>
      <c r="I192" s="727" t="n">
        <f aca="false">I152+I172</f>
        <v>0</v>
      </c>
      <c r="J192" s="727" t="n">
        <f aca="false">J152+J172</f>
        <v>31.869140625</v>
      </c>
      <c r="K192" s="727" t="n">
        <f aca="false">K152+K172</f>
        <v>-167638.458984375</v>
      </c>
      <c r="L192" s="727" t="n">
        <f aca="false">L152+L172</f>
        <v>0</v>
      </c>
      <c r="M192" s="727" t="n">
        <f aca="false">M152+M172</f>
        <v>0</v>
      </c>
      <c r="N192" s="727" t="n">
        <f aca="false">N152+N172</f>
        <v>0</v>
      </c>
      <c r="O192" s="727" t="n">
        <f aca="false">O152+O172</f>
        <v>0</v>
      </c>
      <c r="P192" s="727" t="n">
        <f aca="false">P152+P172</f>
        <v>0</v>
      </c>
      <c r="Q192" s="727" t="n">
        <f aca="false">Q152+Q172</f>
        <v>36530.3125</v>
      </c>
      <c r="R192" s="727" t="n">
        <f aca="false">R152+R172</f>
        <v>-563677.437370577</v>
      </c>
      <c r="S192" s="727" t="n">
        <v>0</v>
      </c>
      <c r="T192" s="722" t="n">
        <f aca="false">T152+T172</f>
        <v>0</v>
      </c>
      <c r="U192" s="722" t="n">
        <f aca="false">U152+U172</f>
        <v>0</v>
      </c>
      <c r="V192" s="727" t="n">
        <f aca="false">V152+V172</f>
        <v>213559.652832031</v>
      </c>
      <c r="W192" s="727" t="n">
        <f aca="false">W152+W172</f>
        <v>-219085.752800264</v>
      </c>
      <c r="X192" s="726" t="n">
        <v>36800</v>
      </c>
      <c r="Y192" s="46"/>
      <c r="Z192" s="724"/>
      <c r="AA192" s="725"/>
      <c r="AB192" s="731"/>
      <c r="AC192" s="629"/>
      <c r="AD192" s="46"/>
      <c r="AE192" s="46"/>
      <c r="AF192" s="46"/>
      <c r="AG192" s="46"/>
      <c r="AH192" s="46"/>
      <c r="AI192" s="46"/>
      <c r="DL192" s="533" t="n">
        <v>41214</v>
      </c>
      <c r="DM192" s="459" t="n">
        <v>21</v>
      </c>
      <c r="DQ192" s="234" t="n">
        <f aca="false">[1]OPPD_NPPD!$O183+[1]NSP!$O183</f>
        <v>0</v>
      </c>
      <c r="DR192" s="234" t="n">
        <f aca="false">[1]COMED!$O183</f>
        <v>0</v>
      </c>
      <c r="DS192" s="234" t="n">
        <f aca="false">DQ192+DR192</f>
        <v>0</v>
      </c>
      <c r="DT192" s="234" t="n">
        <f aca="false">SUM([1]OPPD_NPPD!$P183:$R183)+SUM([1]NSP!$P183:$R183)</f>
        <v>0</v>
      </c>
      <c r="DU192" s="234" t="n">
        <f aca="false">SUM([1]COMED!$P183:$R183)</f>
        <v>0</v>
      </c>
      <c r="DV192" s="234" t="n">
        <f aca="false">DT192+DU192</f>
        <v>0</v>
      </c>
    </row>
    <row r="193" customFormat="false" ht="15.75" hidden="false" customHeight="false" outlineLevel="0" collapsed="false">
      <c r="A193" s="726" t="n">
        <f aca="false">A173</f>
        <v>36831</v>
      </c>
      <c r="B193" s="727" t="n">
        <f aca="false">B153+B173</f>
        <v>0</v>
      </c>
      <c r="C193" s="727" t="n">
        <f aca="false">C153+C173</f>
        <v>-133841.798339844</v>
      </c>
      <c r="D193" s="727" t="n">
        <f aca="false">D153+D173</f>
        <v>0</v>
      </c>
      <c r="E193" s="727" t="n">
        <f aca="false">E153+E173</f>
        <v>137503.3359375</v>
      </c>
      <c r="F193" s="727" t="n">
        <f aca="false">F153+F173</f>
        <v>-15022.9296875</v>
      </c>
      <c r="G193" s="727" t="n">
        <f aca="false">G153+G173</f>
        <v>0</v>
      </c>
      <c r="H193" s="727" t="n">
        <f aca="false">H153+H173</f>
        <v>-138261.970428467</v>
      </c>
      <c r="I193" s="727" t="n">
        <f aca="false">I153+I173</f>
        <v>0</v>
      </c>
      <c r="J193" s="727" t="n">
        <f aca="false">J153+J173</f>
        <v>30.6083984375</v>
      </c>
      <c r="K193" s="727" t="n">
        <f aca="false">K153+K173</f>
        <v>-138231.362030029</v>
      </c>
      <c r="L193" s="727" t="n">
        <f aca="false">L153+L173</f>
        <v>0</v>
      </c>
      <c r="M193" s="727" t="n">
        <f aca="false">M153+M173</f>
        <v>0</v>
      </c>
      <c r="N193" s="727" t="n">
        <f aca="false">N153+N173</f>
        <v>0</v>
      </c>
      <c r="O193" s="727" t="n">
        <f aca="false">O153+O173</f>
        <v>0</v>
      </c>
      <c r="P193" s="727" t="n">
        <f aca="false">P153+P173</f>
        <v>0</v>
      </c>
      <c r="Q193" s="727" t="n">
        <f aca="false">Q153+Q173</f>
        <v>0</v>
      </c>
      <c r="R193" s="727" t="n">
        <f aca="false">R153+R173</f>
        <v>-458604.669769287</v>
      </c>
      <c r="S193" s="727" t="n">
        <v>0</v>
      </c>
      <c r="T193" s="722" t="n">
        <f aca="false">T153+T173</f>
        <v>0</v>
      </c>
      <c r="U193" s="722" t="n">
        <f aca="false">U153+U173</f>
        <v>0</v>
      </c>
      <c r="V193" s="727" t="n">
        <f aca="false">V153+V173</f>
        <v>187484.233398438</v>
      </c>
      <c r="W193" s="727" t="n">
        <f aca="false">W153+W173</f>
        <v>-171065.333984375</v>
      </c>
      <c r="X193" s="726" t="n">
        <v>36831</v>
      </c>
      <c r="Y193" s="46"/>
      <c r="Z193" s="728" t="s">
        <v>135</v>
      </c>
      <c r="AA193" s="729" t="n">
        <f aca="false">SUM(W192:W194)</f>
        <v>-562423.702995577</v>
      </c>
      <c r="AB193" s="729" t="n">
        <f aca="false">R192+R193+R194+S192+S193+S194</f>
        <v>-1491416.59188108</v>
      </c>
      <c r="AC193" s="46"/>
      <c r="AD193" s="46"/>
      <c r="AE193" s="46"/>
      <c r="AF193" s="46"/>
      <c r="AG193" s="46"/>
      <c r="AH193" s="46"/>
      <c r="AI193" s="46"/>
      <c r="DL193" s="533" t="n">
        <v>41244</v>
      </c>
      <c r="DM193" s="459" t="n">
        <v>20</v>
      </c>
      <c r="DQ193" s="234" t="n">
        <f aca="false">[1]OPPD_NPPD!$O184+[1]NSP!$O184</f>
        <v>0</v>
      </c>
      <c r="DR193" s="234" t="n">
        <f aca="false">[1]COMED!$O184</f>
        <v>0</v>
      </c>
      <c r="DS193" s="234" t="n">
        <f aca="false">DQ193+DR193</f>
        <v>0</v>
      </c>
      <c r="DT193" s="234" t="n">
        <f aca="false">SUM([1]OPPD_NPPD!$P184:$R184)+SUM([1]NSP!$P184:$R184)</f>
        <v>0</v>
      </c>
      <c r="DU193" s="234" t="n">
        <f aca="false">SUM([1]COMED!$P184:$R184)</f>
        <v>0</v>
      </c>
      <c r="DV193" s="234" t="n">
        <f aca="false">DT193+DU193</f>
        <v>0</v>
      </c>
    </row>
    <row r="194" customFormat="false" ht="15.75" hidden="false" customHeight="false" outlineLevel="0" collapsed="false">
      <c r="A194" s="726" t="n">
        <f aca="false">A174</f>
        <v>36861</v>
      </c>
      <c r="B194" s="727" t="n">
        <f aca="false">B154+B174</f>
        <v>0</v>
      </c>
      <c r="C194" s="727" t="n">
        <f aca="false">C154+C174</f>
        <v>-140551.850830078</v>
      </c>
      <c r="D194" s="727" t="n">
        <f aca="false">D154+D174</f>
        <v>0</v>
      </c>
      <c r="E194" s="727" t="n">
        <f aca="false">E154+E174</f>
        <v>143804.93359375</v>
      </c>
      <c r="F194" s="727" t="n">
        <f aca="false">F154+F174</f>
        <v>-15740.41015625</v>
      </c>
      <c r="G194" s="727" t="n">
        <f aca="false">G154+G174</f>
        <v>0</v>
      </c>
      <c r="H194" s="727" t="n">
        <f aca="false">H154+H174</f>
        <v>-159296.873657227</v>
      </c>
      <c r="I194" s="727" t="n">
        <f aca="false">I154+I174</f>
        <v>0</v>
      </c>
      <c r="J194" s="727" t="n">
        <f aca="false">J154+J174</f>
        <v>28.5830078125</v>
      </c>
      <c r="K194" s="727" t="n">
        <f aca="false">K154+K174</f>
        <v>-159268.290649414</v>
      </c>
      <c r="L194" s="727" t="n">
        <f aca="false">L154+L174</f>
        <v>0</v>
      </c>
      <c r="M194" s="727" t="n">
        <f aca="false">M154+M174</f>
        <v>0</v>
      </c>
      <c r="N194" s="727" t="n">
        <f aca="false">N154+N174</f>
        <v>0</v>
      </c>
      <c r="O194" s="727" t="n">
        <f aca="false">O154+O174</f>
        <v>0</v>
      </c>
      <c r="P194" s="727" t="n">
        <f aca="false">P154+P174</f>
        <v>0</v>
      </c>
      <c r="Q194" s="727" t="n">
        <f aca="false">Q154+Q174</f>
        <v>0</v>
      </c>
      <c r="R194" s="727" t="n">
        <f aca="false">R154+R174</f>
        <v>-469134.484741211</v>
      </c>
      <c r="S194" s="727" t="n">
        <v>0</v>
      </c>
      <c r="T194" s="722" t="n">
        <f aca="false">T154+T174</f>
        <v>0</v>
      </c>
      <c r="U194" s="722" t="n">
        <f aca="false">U154+U174</f>
        <v>0</v>
      </c>
      <c r="V194" s="727" t="n">
        <f aca="false">V154+V174</f>
        <v>191265.040039063</v>
      </c>
      <c r="W194" s="727" t="n">
        <f aca="false">W154+W174</f>
        <v>-172272.616210938</v>
      </c>
      <c r="X194" s="733" t="n">
        <v>36861</v>
      </c>
      <c r="Y194" s="46"/>
      <c r="Z194" s="734"/>
      <c r="AA194" s="735"/>
      <c r="AB194" s="736"/>
      <c r="AC194" s="46"/>
      <c r="AD194" s="46"/>
      <c r="AE194" s="46"/>
      <c r="AF194" s="46"/>
      <c r="AG194" s="46"/>
      <c r="AH194" s="46"/>
      <c r="AI194" s="46"/>
      <c r="DL194" s="533" t="n">
        <v>41275</v>
      </c>
      <c r="DM194" s="459" t="n">
        <v>22</v>
      </c>
      <c r="DQ194" s="234" t="n">
        <f aca="false">[1]OPPD_NPPD!$O185+[1]NSP!$O185</f>
        <v>0</v>
      </c>
      <c r="DR194" s="234" t="n">
        <f aca="false">[1]COMED!$O185</f>
        <v>0</v>
      </c>
      <c r="DS194" s="234" t="n">
        <f aca="false">DQ194+DR194</f>
        <v>0</v>
      </c>
      <c r="DT194" s="234" t="n">
        <f aca="false">SUM([1]OPPD_NPPD!$P185:$R185)+SUM([1]NSP!$P185:$R185)</f>
        <v>0</v>
      </c>
      <c r="DU194" s="234" t="n">
        <f aca="false">SUM([1]COMED!$P185:$R185)</f>
        <v>0</v>
      </c>
      <c r="DV194" s="234" t="n">
        <f aca="false">DT194+DU194</f>
        <v>0</v>
      </c>
    </row>
    <row r="195" customFormat="false" ht="16.5" hidden="false" customHeight="false" outlineLevel="0" collapsed="false">
      <c r="A195" s="737" t="s">
        <v>100</v>
      </c>
      <c r="B195" s="738" t="n">
        <f aca="false">B155+B175</f>
        <v>-33965.55078125</v>
      </c>
      <c r="C195" s="738" t="n">
        <f aca="false">C155+C175</f>
        <v>-1875205.4050293</v>
      </c>
      <c r="D195" s="738" t="n">
        <f aca="false">D155+D175</f>
        <v>0</v>
      </c>
      <c r="E195" s="738" t="n">
        <f aca="false">E155+E175</f>
        <v>2571108.92773438</v>
      </c>
      <c r="F195" s="738" t="n">
        <f aca="false">F155+F175</f>
        <v>437865.474609375</v>
      </c>
      <c r="G195" s="738" t="n">
        <f aca="false">G155+G175</f>
        <v>0</v>
      </c>
      <c r="H195" s="738" t="n">
        <f aca="false">H155+H175</f>
        <v>-2428400.77227783</v>
      </c>
      <c r="I195" s="738" t="n">
        <f aca="false">I155+I175</f>
        <v>0</v>
      </c>
      <c r="J195" s="738" t="n">
        <f aca="false">J155+J175</f>
        <v>339.2138671875</v>
      </c>
      <c r="K195" s="738" t="n">
        <f aca="false">K155+K175</f>
        <v>-2428061.55841064</v>
      </c>
      <c r="L195" s="738" t="n">
        <f aca="false">L155+L175</f>
        <v>0</v>
      </c>
      <c r="M195" s="738" t="n">
        <f aca="false">M155+M175</f>
        <v>0</v>
      </c>
      <c r="N195" s="738" t="n">
        <f aca="false">N155+N175</f>
        <v>0</v>
      </c>
      <c r="O195" s="738" t="n">
        <f aca="false">O155+O175</f>
        <v>0</v>
      </c>
      <c r="P195" s="738" t="n">
        <f aca="false">P155+P175</f>
        <v>0</v>
      </c>
      <c r="Q195" s="738" t="n">
        <f aca="false">Q155+Q175</f>
        <v>24469.1025390625</v>
      </c>
      <c r="R195" s="738" t="n">
        <f aca="false">R155+R175</f>
        <v>-7479985.40154294</v>
      </c>
      <c r="S195" s="738" t="n">
        <v>0</v>
      </c>
      <c r="T195" s="739" t="n">
        <f aca="false">T155+T175</f>
        <v>0</v>
      </c>
      <c r="U195" s="739" t="n">
        <f aca="false">U155+U175</f>
        <v>0</v>
      </c>
      <c r="V195" s="738" t="n">
        <f aca="false">V155+V175</f>
        <v>2454469.71435547</v>
      </c>
      <c r="W195" s="740" t="n">
        <f aca="false">W155+W175</f>
        <v>-5001046.58464841</v>
      </c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DL195" s="533" t="n">
        <v>41306</v>
      </c>
      <c r="DM195" s="459" t="n">
        <v>20</v>
      </c>
      <c r="DU195" s="234" t="n">
        <f aca="false">SUM([1]COMED!$P186:$R186)</f>
        <v>0</v>
      </c>
    </row>
    <row r="196" customFormat="false" ht="12.75" hidden="false" customHeight="false" outlineLevel="0" collapsed="false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DL196" s="533" t="n">
        <v>41334</v>
      </c>
      <c r="DM196" s="459" t="n">
        <v>21</v>
      </c>
      <c r="DU196" s="234" t="n">
        <f aca="false">SUM([1]COMED!$P187:$R187)</f>
        <v>0</v>
      </c>
    </row>
    <row r="197" customFormat="false" ht="12.75" hidden="true" customHeight="false" outlineLevel="0" collapsed="false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DL197" s="533" t="n">
        <v>41365</v>
      </c>
      <c r="DM197" s="459" t="n">
        <v>22</v>
      </c>
      <c r="DU197" s="234" t="n">
        <f aca="false">SUM([1]COMED!$P188:$R188)</f>
        <v>0</v>
      </c>
    </row>
    <row r="198" customFormat="false" ht="12.75" hidden="true" customHeight="false" outlineLevel="0" collapsed="false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DL198" s="533" t="n">
        <v>41395</v>
      </c>
      <c r="DM198" s="459" t="n">
        <v>22</v>
      </c>
      <c r="DU198" s="234" t="n">
        <f aca="false">SUM([1]COMED!$P189:$R189)</f>
        <v>0</v>
      </c>
    </row>
    <row r="199" customFormat="false" ht="12.75" hidden="true" customHeight="false" outlineLevel="0" collapsed="false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DL199" s="533" t="n">
        <v>41426</v>
      </c>
      <c r="DM199" s="459" t="n">
        <v>20</v>
      </c>
      <c r="DU199" s="234" t="n">
        <f aca="false">SUM([1]COMED!$P190:$R190)</f>
        <v>0</v>
      </c>
    </row>
    <row r="200" customFormat="false" ht="12.75" hidden="true" customHeight="false" outlineLevel="0" collapsed="false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DL200" s="533" t="n">
        <v>41456</v>
      </c>
      <c r="DM200" s="459" t="n">
        <v>22</v>
      </c>
      <c r="DU200" s="234" t="n">
        <f aca="false">SUM([1]COMED!$P191:$R191)</f>
        <v>0</v>
      </c>
    </row>
    <row r="201" customFormat="false" ht="12.75" hidden="true" customHeight="false" outlineLevel="0" collapsed="false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DL201" s="533" t="n">
        <v>41487</v>
      </c>
      <c r="DM201" s="459" t="n">
        <v>22</v>
      </c>
      <c r="DU201" s="234" t="n">
        <f aca="false">SUM([1]COMED!$P192:$R192)</f>
        <v>0</v>
      </c>
    </row>
    <row r="202" customFormat="false" ht="12.75" hidden="true" customHeight="false" outlineLevel="0" collapsed="false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DL202" s="533" t="n">
        <v>41518</v>
      </c>
      <c r="DM202" s="459" t="n">
        <v>20</v>
      </c>
      <c r="DU202" s="234" t="n">
        <f aca="false">SUM([1]COMED!$P193:$R193)</f>
        <v>0</v>
      </c>
    </row>
    <row r="203" customFormat="false" ht="12.75" hidden="true" customHeight="false" outlineLevel="0" collapsed="false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DL203" s="533" t="n">
        <v>41548</v>
      </c>
      <c r="DM203" s="459" t="n">
        <v>23</v>
      </c>
      <c r="DU203" s="234" t="n">
        <f aca="false">SUM([1]COMED!$P194:$R194)</f>
        <v>0</v>
      </c>
    </row>
    <row r="204" customFormat="false" ht="12.75" hidden="true" customHeight="false" outlineLevel="0" collapsed="false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DL204" s="533" t="n">
        <v>41579</v>
      </c>
      <c r="DM204" s="459" t="n">
        <v>20</v>
      </c>
      <c r="DU204" s="234" t="n">
        <f aca="false">SUM([1]COMED!$P195:$R195)</f>
        <v>0</v>
      </c>
    </row>
    <row r="205" customFormat="false" ht="12.75" hidden="true" customHeight="false" outlineLevel="0" collapsed="false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DL205" s="533" t="n">
        <v>41609</v>
      </c>
      <c r="DM205" s="459" t="n">
        <v>21</v>
      </c>
      <c r="DU205" s="234" t="n">
        <f aca="false">SUM([1]COMED!$P196:$R196)</f>
        <v>0</v>
      </c>
    </row>
    <row r="206" customFormat="false" ht="12.75" hidden="true" customHeight="false" outlineLevel="0" collapsed="false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DL206" s="533" t="n">
        <v>41640</v>
      </c>
      <c r="DM206" s="459" t="n">
        <v>22</v>
      </c>
      <c r="DU206" s="234" t="n">
        <f aca="false">SUM([1]COMED!$P197:$R197)</f>
        <v>0</v>
      </c>
    </row>
    <row r="207" customFormat="false" ht="12.75" hidden="true" customHeight="false" outlineLevel="0" collapsed="false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DL207" s="533" t="n">
        <v>41671</v>
      </c>
      <c r="DM207" s="459" t="n">
        <v>20</v>
      </c>
      <c r="DU207" s="234" t="n">
        <f aca="false">SUM([1]COMED!$P198:$R198)</f>
        <v>0</v>
      </c>
    </row>
    <row r="208" customFormat="false" ht="12.75" hidden="true" customHeight="false" outlineLevel="0" collapsed="false">
      <c r="DL208" s="533" t="n">
        <v>41699</v>
      </c>
      <c r="DM208" s="459" t="n">
        <v>21</v>
      </c>
      <c r="DU208" s="234" t="n">
        <f aca="false">SUM([1]COMED!$P199:$R199)</f>
        <v>0</v>
      </c>
    </row>
    <row r="209" customFormat="false" ht="12.75" hidden="true" customHeight="false" outlineLevel="0" collapsed="false">
      <c r="DL209" s="533" t="n">
        <v>41730</v>
      </c>
      <c r="DM209" s="459" t="n">
        <v>22</v>
      </c>
      <c r="DU209" s="234" t="n">
        <f aca="false">SUM([1]COMED!$P200:$R200)</f>
        <v>0</v>
      </c>
    </row>
    <row r="210" customFormat="false" ht="12.75" hidden="true" customHeight="false" outlineLevel="0" collapsed="false">
      <c r="DL210" s="533" t="n">
        <v>41760</v>
      </c>
      <c r="DM210" s="459" t="n">
        <v>21</v>
      </c>
      <c r="DU210" s="234" t="n">
        <f aca="false">SUM([1]COMED!$P201:$R201)</f>
        <v>0</v>
      </c>
    </row>
    <row r="211" customFormat="false" ht="12.75" hidden="true" customHeight="false" outlineLevel="0" collapsed="false">
      <c r="DL211" s="533" t="n">
        <v>41791</v>
      </c>
      <c r="DM211" s="459" t="n">
        <v>21</v>
      </c>
      <c r="DU211" s="234" t="n">
        <f aca="false">SUM([1]COMED!$P202:$R202)</f>
        <v>0</v>
      </c>
    </row>
    <row r="212" customFormat="false" ht="12.75" hidden="true" customHeight="false" outlineLevel="0" collapsed="false">
      <c r="DL212" s="533" t="n">
        <v>41821</v>
      </c>
      <c r="DM212" s="459" t="n">
        <v>22</v>
      </c>
      <c r="DU212" s="234" t="n">
        <f aca="false">SUM([1]COMED!$P203:$R203)</f>
        <v>0</v>
      </c>
    </row>
    <row r="213" customFormat="false" ht="12.75" hidden="true" customHeight="false" outlineLevel="0" collapsed="false">
      <c r="DL213" s="533" t="n">
        <v>41852</v>
      </c>
      <c r="DM213" s="459" t="n">
        <v>21</v>
      </c>
      <c r="DU213" s="234" t="n">
        <f aca="false">SUM([1]COMED!$P204:$R204)</f>
        <v>0</v>
      </c>
    </row>
    <row r="214" customFormat="false" ht="12.75" hidden="true" customHeight="false" outlineLevel="0" collapsed="false">
      <c r="DL214" s="533" t="n">
        <v>41883</v>
      </c>
      <c r="DM214" s="459" t="n">
        <v>21</v>
      </c>
      <c r="DU214" s="234" t="n">
        <f aca="false">SUM([1]COMED!$P205:$R205)</f>
        <v>0</v>
      </c>
    </row>
    <row r="215" customFormat="false" ht="12.75" hidden="true" customHeight="false" outlineLevel="0" collapsed="false">
      <c r="DL215" s="533" t="n">
        <v>41913</v>
      </c>
      <c r="DM215" s="459" t="n">
        <v>23</v>
      </c>
      <c r="DU215" s="234" t="n">
        <f aca="false">SUM([1]COMED!$P206:$R206)</f>
        <v>0</v>
      </c>
    </row>
    <row r="216" customFormat="false" ht="12.75" hidden="true" customHeight="false" outlineLevel="0" collapsed="false">
      <c r="DL216" s="533" t="n">
        <v>41944</v>
      </c>
      <c r="DM216" s="459" t="n">
        <v>19</v>
      </c>
      <c r="DU216" s="234" t="n">
        <f aca="false">SUM([1]COMED!$P207:$R207)</f>
        <v>0</v>
      </c>
    </row>
    <row r="217" customFormat="false" ht="12.75" hidden="true" customHeight="false" outlineLevel="0" collapsed="false">
      <c r="DL217" s="533" t="n">
        <v>41974</v>
      </c>
      <c r="DM217" s="459" t="n">
        <v>22</v>
      </c>
      <c r="DU217" s="234" t="n">
        <f aca="false">SUM([1]COMED!$P208:$R208)</f>
        <v>0</v>
      </c>
    </row>
    <row r="218" customFormat="false" ht="12.75" hidden="true" customHeight="false" outlineLevel="0" collapsed="false">
      <c r="DL218" s="533" t="n">
        <v>42005</v>
      </c>
      <c r="DM218" s="459" t="n">
        <v>21</v>
      </c>
      <c r="DU218" s="234" t="n">
        <f aca="false">SUM([1]COMED!$P209:$R209)</f>
        <v>0</v>
      </c>
    </row>
    <row r="219" customFormat="false" ht="12.75" hidden="true" customHeight="false" outlineLevel="0" collapsed="false">
      <c r="DL219" s="533" t="n">
        <v>42036</v>
      </c>
      <c r="DM219" s="459" t="n">
        <v>20</v>
      </c>
      <c r="DU219" s="234" t="n">
        <f aca="false">SUM([1]COMED!$P210:$R210)</f>
        <v>0</v>
      </c>
    </row>
    <row r="220" customFormat="false" ht="12.75" hidden="true" customHeight="false" outlineLevel="0" collapsed="false">
      <c r="DL220" s="533" t="n">
        <v>42064</v>
      </c>
      <c r="DM220" s="459" t="n">
        <v>22</v>
      </c>
      <c r="DU220" s="234" t="n">
        <f aca="false">SUM([1]COMED!$P211:$R211)</f>
        <v>0</v>
      </c>
    </row>
    <row r="221" customFormat="false" ht="12.75" hidden="true" customHeight="false" outlineLevel="0" collapsed="false">
      <c r="DL221" s="533" t="n">
        <v>42095</v>
      </c>
      <c r="DM221" s="459" t="n">
        <v>22</v>
      </c>
      <c r="DU221" s="234" t="n">
        <f aca="false">SUM([1]COMED!$P212:$R212)</f>
        <v>0</v>
      </c>
    </row>
    <row r="222" customFormat="false" ht="12.75" hidden="true" customHeight="false" outlineLevel="0" collapsed="false">
      <c r="DL222" s="533" t="n">
        <v>42125</v>
      </c>
      <c r="DM222" s="459" t="n">
        <v>20</v>
      </c>
      <c r="DU222" s="234" t="n">
        <f aca="false">SUM([1]COMED!$P213:$R213)</f>
        <v>0</v>
      </c>
    </row>
    <row r="223" customFormat="false" ht="12.75" hidden="true" customHeight="false" outlineLevel="0" collapsed="false">
      <c r="DL223" s="533" t="n">
        <v>42156</v>
      </c>
      <c r="DM223" s="459" t="n">
        <v>22</v>
      </c>
      <c r="DU223" s="234" t="n">
        <f aca="false">SUM([1]COMED!$P214:$R214)</f>
        <v>0</v>
      </c>
    </row>
    <row r="224" customFormat="false" ht="12.75" hidden="true" customHeight="false" outlineLevel="0" collapsed="false">
      <c r="DL224" s="533" t="n">
        <v>42186</v>
      </c>
      <c r="DM224" s="459" t="n">
        <v>23</v>
      </c>
      <c r="DU224" s="234" t="n">
        <f aca="false">SUM([1]COMED!$P215:$R215)</f>
        <v>0</v>
      </c>
    </row>
    <row r="225" customFormat="false" ht="12.75" hidden="true" customHeight="false" outlineLevel="0" collapsed="false">
      <c r="DL225" s="533" t="n">
        <v>42217</v>
      </c>
      <c r="DM225" s="459" t="n">
        <v>21</v>
      </c>
      <c r="DU225" s="234" t="n">
        <f aca="false">SUM([1]COMED!$P216:$R216)</f>
        <v>0</v>
      </c>
    </row>
    <row r="226" customFormat="false" ht="12.75" hidden="true" customHeight="false" outlineLevel="0" collapsed="false">
      <c r="DL226" s="533" t="n">
        <v>42248</v>
      </c>
      <c r="DM226" s="459" t="n">
        <v>21</v>
      </c>
      <c r="DU226" s="234" t="n">
        <f aca="false">SUM([1]COMED!$P217:$R217)</f>
        <v>0</v>
      </c>
    </row>
    <row r="227" customFormat="false" ht="12.75" hidden="true" customHeight="false" outlineLevel="0" collapsed="false">
      <c r="DL227" s="533" t="n">
        <v>42278</v>
      </c>
      <c r="DM227" s="459" t="n">
        <v>22</v>
      </c>
      <c r="DU227" s="234" t="n">
        <f aca="false">SUM([1]COMED!$P218:$R218)</f>
        <v>0</v>
      </c>
    </row>
    <row r="228" customFormat="false" ht="12.75" hidden="true" customHeight="false" outlineLevel="0" collapsed="false">
      <c r="DL228" s="533" t="n">
        <v>42309</v>
      </c>
      <c r="DM228" s="459" t="n">
        <v>20</v>
      </c>
      <c r="DU228" s="234" t="n">
        <f aca="false">SUM([1]COMED!$P219:$R219)</f>
        <v>0</v>
      </c>
    </row>
    <row r="229" customFormat="false" ht="12.75" hidden="true" customHeight="false" outlineLevel="0" collapsed="false">
      <c r="DL229" s="533" t="n">
        <v>42339</v>
      </c>
      <c r="DM229" s="459" t="n">
        <v>22</v>
      </c>
      <c r="DU229" s="234" t="n">
        <f aca="false">SUM([1]COMED!$P220:$R220)</f>
        <v>0</v>
      </c>
    </row>
    <row r="230" customFormat="false" ht="12.75" hidden="true" customHeight="false" outlineLevel="0" collapsed="false">
      <c r="DL230" s="533" t="n">
        <v>42370</v>
      </c>
      <c r="DM230" s="459" t="n">
        <v>0</v>
      </c>
      <c r="DU230" s="234" t="n">
        <f aca="false">SUM([1]COMED!$P221:$R221)</f>
        <v>0</v>
      </c>
    </row>
    <row r="231" customFormat="false" ht="12.75" hidden="true" customHeight="false" outlineLevel="0" collapsed="false">
      <c r="DL231" s="533" t="n">
        <v>42401</v>
      </c>
      <c r="DM231" s="459" t="n">
        <v>0</v>
      </c>
      <c r="DU231" s="234" t="n">
        <f aca="false">SUM([1]COMED!$P222:$R222)</f>
        <v>0</v>
      </c>
    </row>
    <row r="232" customFormat="false" ht="12.75" hidden="true" customHeight="false" outlineLevel="0" collapsed="false">
      <c r="DL232" s="533" t="n">
        <v>42430</v>
      </c>
      <c r="DM232" s="459" t="n">
        <v>0</v>
      </c>
      <c r="DU232" s="234" t="n">
        <f aca="false">SUM([1]COMED!$P223:$R223)</f>
        <v>0</v>
      </c>
    </row>
    <row r="233" customFormat="false" ht="12.75" hidden="true" customHeight="false" outlineLevel="0" collapsed="false">
      <c r="DL233" s="533" t="n">
        <v>42461</v>
      </c>
      <c r="DM233" s="459" t="n">
        <v>0</v>
      </c>
      <c r="DU233" s="234" t="n">
        <f aca="false">SUM([1]COMED!$P224:$R224)</f>
        <v>0</v>
      </c>
    </row>
    <row r="234" customFormat="false" ht="12.75" hidden="true" customHeight="false" outlineLevel="0" collapsed="false">
      <c r="DL234" s="533" t="n">
        <v>42491</v>
      </c>
      <c r="DM234" s="459" t="n">
        <v>0</v>
      </c>
      <c r="DU234" s="234" t="n">
        <f aca="false">SUM([1]COMED!$P225:$R225)</f>
        <v>0</v>
      </c>
    </row>
    <row r="235" customFormat="false" ht="12.75" hidden="true" customHeight="false" outlineLevel="0" collapsed="false">
      <c r="DL235" s="533" t="n">
        <v>42522</v>
      </c>
      <c r="DM235" s="459" t="n">
        <v>0</v>
      </c>
      <c r="DU235" s="234" t="n">
        <f aca="false">SUM([1]COMED!$P226:$R226)</f>
        <v>0</v>
      </c>
    </row>
    <row r="236" customFormat="false" ht="12.75" hidden="true" customHeight="false" outlineLevel="0" collapsed="false">
      <c r="DL236" s="533" t="n">
        <v>42552</v>
      </c>
      <c r="DM236" s="459" t="n">
        <v>0</v>
      </c>
      <c r="DU236" s="234" t="n">
        <f aca="false">SUM([1]COMED!$P227:$R227)</f>
        <v>0</v>
      </c>
    </row>
    <row r="237" customFormat="false" ht="12.75" hidden="true" customHeight="false" outlineLevel="0" collapsed="false">
      <c r="DL237" s="533" t="n">
        <v>42583</v>
      </c>
      <c r="DM237" s="459" t="n">
        <v>0</v>
      </c>
      <c r="DU237" s="234" t="n">
        <f aca="false">SUM([1]COMED!$P228:$R228)</f>
        <v>0</v>
      </c>
    </row>
    <row r="238" customFormat="false" ht="12.75" hidden="true" customHeight="false" outlineLevel="0" collapsed="false">
      <c r="DL238" s="533" t="n">
        <v>42614</v>
      </c>
      <c r="DM238" s="459" t="n">
        <v>0</v>
      </c>
      <c r="DU238" s="234" t="n">
        <f aca="false">SUM([1]COMED!$P229:$R229)</f>
        <v>0</v>
      </c>
    </row>
    <row r="239" customFormat="false" ht="12.75" hidden="true" customHeight="false" outlineLevel="0" collapsed="false">
      <c r="DL239" s="533" t="n">
        <v>42644</v>
      </c>
      <c r="DM239" s="459" t="n">
        <v>0</v>
      </c>
      <c r="DU239" s="234" t="n">
        <f aca="false">SUM([1]COMED!$P230:$R230)</f>
        <v>0</v>
      </c>
    </row>
    <row r="240" customFormat="false" ht="12.75" hidden="true" customHeight="false" outlineLevel="0" collapsed="false">
      <c r="DL240" s="533" t="n">
        <v>42675</v>
      </c>
      <c r="DM240" s="459" t="n">
        <v>0</v>
      </c>
      <c r="DU240" s="234" t="n">
        <f aca="false">SUM([1]COMED!$P231:$R231)</f>
        <v>0</v>
      </c>
    </row>
    <row r="241" customFormat="false" ht="12.75" hidden="true" customHeight="false" outlineLevel="0" collapsed="false">
      <c r="DL241" s="533" t="n">
        <v>42705</v>
      </c>
      <c r="DM241" s="459" t="n">
        <v>0</v>
      </c>
      <c r="DU241" s="234" t="n">
        <f aca="false">SUM([1]COMED!$P232:$R232)</f>
        <v>0</v>
      </c>
    </row>
    <row r="242" customFormat="false" ht="12.75" hidden="true" customHeight="false" outlineLevel="0" collapsed="false">
      <c r="DL242" s="533" t="n">
        <v>42736</v>
      </c>
      <c r="DM242" s="459" t="n">
        <v>0</v>
      </c>
      <c r="DU242" s="234" t="n">
        <f aca="false">SUM([1]COMED!$P233:$R233)</f>
        <v>0</v>
      </c>
    </row>
    <row r="243" customFormat="false" ht="12.75" hidden="true" customHeight="false" outlineLevel="0" collapsed="false">
      <c r="DL243" s="533" t="n">
        <v>42767</v>
      </c>
      <c r="DM243" s="459" t="n">
        <v>0</v>
      </c>
      <c r="DU243" s="234" t="n">
        <f aca="false">SUM([1]COMED!$P234:$R234)</f>
        <v>0</v>
      </c>
    </row>
    <row r="244" customFormat="false" ht="12.75" hidden="true" customHeight="false" outlineLevel="0" collapsed="false">
      <c r="DL244" s="533" t="n">
        <v>42795</v>
      </c>
      <c r="DM244" s="459" t="n">
        <v>0</v>
      </c>
      <c r="DU244" s="234" t="n">
        <f aca="false">SUM([1]COMED!$P235:$R235)</f>
        <v>0</v>
      </c>
    </row>
    <row r="245" customFormat="false" ht="12.75" hidden="true" customHeight="false" outlineLevel="0" collapsed="false">
      <c r="DL245" s="533" t="n">
        <v>42826</v>
      </c>
      <c r="DM245" s="459" t="n">
        <v>0</v>
      </c>
      <c r="DU245" s="234" t="n">
        <f aca="false">SUM([1]COMED!$P236:$R236)</f>
        <v>0</v>
      </c>
    </row>
    <row r="246" customFormat="false" ht="12.75" hidden="true" customHeight="false" outlineLevel="0" collapsed="false">
      <c r="DL246" s="533" t="n">
        <v>42856</v>
      </c>
      <c r="DM246" s="459" t="n">
        <v>0</v>
      </c>
      <c r="DU246" s="234" t="n">
        <f aca="false">SUM([1]COMED!$P237:$R237)</f>
        <v>0</v>
      </c>
    </row>
    <row r="247" customFormat="false" ht="12.75" hidden="true" customHeight="false" outlineLevel="0" collapsed="false">
      <c r="DL247" s="533" t="n">
        <v>42887</v>
      </c>
      <c r="DM247" s="459" t="n">
        <v>0</v>
      </c>
      <c r="DU247" s="234" t="n">
        <f aca="false">SUM([1]COMED!$P238:$R238)</f>
        <v>0</v>
      </c>
    </row>
    <row r="248" customFormat="false" ht="12.75" hidden="true" customHeight="false" outlineLevel="0" collapsed="false">
      <c r="DL248" s="533" t="n">
        <v>42917</v>
      </c>
      <c r="DM248" s="459" t="n">
        <v>0</v>
      </c>
      <c r="DU248" s="234" t="n">
        <f aca="false">SUM([1]COMED!$P239:$R239)</f>
        <v>0</v>
      </c>
    </row>
    <row r="249" customFormat="false" ht="12.75" hidden="true" customHeight="false" outlineLevel="0" collapsed="false">
      <c r="DL249" s="533" t="n">
        <v>42948</v>
      </c>
      <c r="DM249" s="459" t="n">
        <v>0</v>
      </c>
      <c r="DU249" s="234" t="n">
        <f aca="false">SUM([1]COMED!$P240:$R240)</f>
        <v>0</v>
      </c>
    </row>
    <row r="250" customFormat="false" ht="12.75" hidden="true" customHeight="false" outlineLevel="0" collapsed="false">
      <c r="DL250" s="533" t="n">
        <v>42979</v>
      </c>
      <c r="DM250" s="459" t="n">
        <v>0</v>
      </c>
      <c r="DU250" s="234" t="n">
        <f aca="false">SUM([1]COMED!$P241:$R241)</f>
        <v>0</v>
      </c>
    </row>
    <row r="251" customFormat="false" ht="12.75" hidden="true" customHeight="false" outlineLevel="0" collapsed="false">
      <c r="DL251" s="533" t="n">
        <v>43009</v>
      </c>
      <c r="DM251" s="459" t="n">
        <v>0</v>
      </c>
      <c r="DU251" s="234" t="n">
        <f aca="false">SUM([1]COMED!$P242:$R242)</f>
        <v>0</v>
      </c>
    </row>
    <row r="252" customFormat="false" ht="12.75" hidden="true" customHeight="false" outlineLevel="0" collapsed="false">
      <c r="DL252" s="533" t="n">
        <v>43040</v>
      </c>
      <c r="DM252" s="459" t="n">
        <v>0</v>
      </c>
      <c r="DU252" s="234" t="n">
        <f aca="false">SUM([1]COMED!$P243:$R243)</f>
        <v>0</v>
      </c>
    </row>
    <row r="253" customFormat="false" ht="12.75" hidden="true" customHeight="false" outlineLevel="0" collapsed="false">
      <c r="DL253" s="533" t="n">
        <v>43070</v>
      </c>
      <c r="DM253" s="459"/>
      <c r="DU253" s="234" t="n">
        <f aca="false">SUM([1]COMED!$P244:$R244)</f>
        <v>0</v>
      </c>
    </row>
    <row r="254" customFormat="false" ht="12.75" hidden="true" customHeight="false" outlineLevel="0" collapsed="false">
      <c r="DU254" s="234" t="n">
        <f aca="false">SUM([1]COMED!$P245:$R245)</f>
        <v>0</v>
      </c>
    </row>
    <row r="255" customFormat="false" ht="12.75" hidden="true" customHeight="false" outlineLevel="0" collapsed="false">
      <c r="DU255" s="234" t="n">
        <f aca="false">SUM([1]COMED!$P246:$R246)</f>
        <v>0</v>
      </c>
    </row>
    <row r="256" customFormat="false" ht="12.75" hidden="true" customHeight="false" outlineLevel="0" collapsed="false">
      <c r="DU256" s="234" t="n">
        <f aca="false">SUM([1]COMED!$P247:$R247)</f>
        <v>0</v>
      </c>
    </row>
    <row r="257" customFormat="false" ht="12.75" hidden="true" customHeight="false" outlineLevel="0" collapsed="false">
      <c r="DU257" s="234" t="n">
        <f aca="false">SUM([1]COMED!$P248:$R248)</f>
        <v>0</v>
      </c>
    </row>
    <row r="258" customFormat="false" ht="12.75" hidden="true" customHeight="false" outlineLevel="0" collapsed="false">
      <c r="DU258" s="234" t="n">
        <f aca="false">SUM([1]COMED!$P249:$R249)</f>
        <v>0</v>
      </c>
    </row>
    <row r="259" customFormat="false" ht="12.75" hidden="true" customHeight="false" outlineLevel="0" collapsed="false">
      <c r="DU259" s="234" t="n">
        <f aca="false">SUM([1]COMED!$P250:$R250)</f>
        <v>0</v>
      </c>
    </row>
    <row r="260" customFormat="false" ht="12.75" hidden="true" customHeight="false" outlineLevel="0" collapsed="false">
      <c r="DU260" s="234" t="n">
        <f aca="false">SUM([1]COMED!$P251:$R251)</f>
        <v>0</v>
      </c>
    </row>
    <row r="261" customFormat="false" ht="12.75" hidden="true" customHeight="false" outlineLevel="0" collapsed="false">
      <c r="DU261" s="234" t="n">
        <f aca="false">SUM([1]COMED!$P252:$R252)</f>
        <v>0</v>
      </c>
    </row>
    <row r="262" customFormat="false" ht="12.75" hidden="true" customHeight="false" outlineLevel="0" collapsed="false">
      <c r="DU262" s="234" t="n">
        <f aca="false">SUM([1]COMED!$P253:$R253)</f>
        <v>0</v>
      </c>
    </row>
    <row r="263" customFormat="false" ht="12.75" hidden="true" customHeight="false" outlineLevel="0" collapsed="false">
      <c r="DU263" s="234" t="n">
        <f aca="false">SUM([1]COMED!$P254:$R254)</f>
        <v>0</v>
      </c>
    </row>
    <row r="264" customFormat="false" ht="12.75" hidden="true" customHeight="false" outlineLevel="0" collapsed="false">
      <c r="DU264" s="234" t="n">
        <f aca="false">SUM([1]COMED!$P255:$R255)</f>
        <v>0</v>
      </c>
    </row>
    <row r="265" customFormat="false" ht="12.75" hidden="true" customHeight="false" outlineLevel="0" collapsed="false">
      <c r="DU265" s="234" t="n">
        <f aca="false">SUM([1]COMED!$P256:$R256)</f>
        <v>0</v>
      </c>
    </row>
    <row r="266" customFormat="false" ht="12.75" hidden="true" customHeight="false" outlineLevel="0" collapsed="false">
      <c r="DU266" s="234" t="n">
        <f aca="false">SUM([1]COMED!$P257:$R257)</f>
        <v>0</v>
      </c>
    </row>
    <row r="267" customFormat="false" ht="12.75" hidden="true" customHeight="false" outlineLevel="0" collapsed="false">
      <c r="DU267" s="234" t="n">
        <f aca="false">SUM([1]COMED!$P258:$R258)</f>
        <v>0</v>
      </c>
    </row>
    <row r="268" customFormat="false" ht="12.75" hidden="true" customHeight="false" outlineLevel="0" collapsed="false">
      <c r="DU268" s="234" t="n">
        <f aca="false">SUM([1]COMED!$P259:$R259)</f>
        <v>0</v>
      </c>
    </row>
    <row r="269" customFormat="false" ht="12.75" hidden="true" customHeight="false" outlineLevel="0" collapsed="false">
      <c r="DU269" s="234" t="n">
        <f aca="false">SUM([1]COMED!$P260:$R260)</f>
        <v>0</v>
      </c>
    </row>
    <row r="270" customFormat="false" ht="12.75" hidden="true" customHeight="false" outlineLevel="0" collapsed="false">
      <c r="DU270" s="234" t="n">
        <f aca="false">SUM([1]COMED!$P261:$R261)</f>
        <v>0</v>
      </c>
    </row>
    <row r="271" customFormat="false" ht="12.75" hidden="true" customHeight="false" outlineLevel="0" collapsed="false">
      <c r="DU271" s="234" t="n">
        <f aca="false">SUM([1]COMED!$P262:$R262)</f>
        <v>0</v>
      </c>
    </row>
    <row r="272" customFormat="false" ht="12.75" hidden="true" customHeight="false" outlineLevel="0" collapsed="false">
      <c r="DU272" s="234" t="n">
        <f aca="false">SUM([1]COMED!$P263:$R263)</f>
        <v>0</v>
      </c>
    </row>
    <row r="273" customFormat="false" ht="12.75" hidden="true" customHeight="false" outlineLevel="0" collapsed="false">
      <c r="DU273" s="234" t="n">
        <f aca="false">SUM([1]COMED!$P264:$R264)</f>
        <v>0</v>
      </c>
    </row>
    <row r="274" customFormat="false" ht="12.75" hidden="true" customHeight="false" outlineLevel="0" collapsed="false">
      <c r="DU274" s="234" t="n">
        <f aca="false">SUM([1]COMED!$P265:$R265)</f>
        <v>0</v>
      </c>
    </row>
    <row r="275" customFormat="false" ht="12.75" hidden="true" customHeight="false" outlineLevel="0" collapsed="false">
      <c r="DU275" s="234" t="n">
        <f aca="false">SUM([1]COMED!$P266:$R266)</f>
        <v>0</v>
      </c>
    </row>
    <row r="276" customFormat="false" ht="12.75" hidden="true" customHeight="false" outlineLevel="0" collapsed="false">
      <c r="DU276" s="234" t="n">
        <f aca="false">SUM([1]COMED!$P267:$R267)</f>
        <v>0</v>
      </c>
    </row>
    <row r="277" customFormat="false" ht="12.75" hidden="true" customHeight="false" outlineLevel="0" collapsed="false">
      <c r="DU277" s="234" t="n">
        <f aca="false">SUM([1]COMED!$P268:$R268)</f>
        <v>0</v>
      </c>
    </row>
    <row r="278" customFormat="false" ht="12.75" hidden="true" customHeight="false" outlineLevel="0" collapsed="false">
      <c r="DU278" s="234" t="n">
        <f aca="false">SUM([1]COMED!$P269:$R269)</f>
        <v>0</v>
      </c>
    </row>
    <row r="279" customFormat="false" ht="12.75" hidden="true" customHeight="false" outlineLevel="0" collapsed="false">
      <c r="DU279" s="234" t="n">
        <f aca="false">SUM([1]COMED!$P270:$R270)</f>
        <v>0</v>
      </c>
    </row>
    <row r="280" customFormat="false" ht="12.75" hidden="true" customHeight="false" outlineLevel="0" collapsed="false">
      <c r="DU280" s="234" t="n">
        <f aca="false">SUM([1]COMED!$P271:$R271)</f>
        <v>0</v>
      </c>
    </row>
    <row r="281" customFormat="false" ht="12.75" hidden="true" customHeight="false" outlineLevel="0" collapsed="false">
      <c r="DU281" s="234" t="n">
        <f aca="false">SUM([1]COMED!$P272:$R272)</f>
        <v>0</v>
      </c>
    </row>
    <row r="282" customFormat="false" ht="12.75" hidden="true" customHeight="false" outlineLevel="0" collapsed="false">
      <c r="DU282" s="234" t="n">
        <f aca="false">SUM([1]COMED!$P273:$R273)</f>
        <v>0</v>
      </c>
    </row>
    <row r="283" customFormat="false" ht="12.75" hidden="true" customHeight="false" outlineLevel="0" collapsed="false">
      <c r="DU283" s="234" t="n">
        <f aca="false">SUM([1]COMED!$P274:$R274)</f>
        <v>0</v>
      </c>
    </row>
    <row r="284" customFormat="false" ht="12.75" hidden="true" customHeight="false" outlineLevel="0" collapsed="false">
      <c r="DU284" s="234" t="n">
        <f aca="false">SUM([1]COMED!$P275:$R275)</f>
        <v>0</v>
      </c>
    </row>
    <row r="285" customFormat="false" ht="12.75" hidden="true" customHeight="false" outlineLevel="0" collapsed="false">
      <c r="DU285" s="234" t="n">
        <f aca="false">SUM([1]COMED!$P276:$R276)</f>
        <v>0</v>
      </c>
    </row>
    <row r="286" customFormat="false" ht="12.75" hidden="true" customHeight="false" outlineLevel="0" collapsed="false">
      <c r="DU286" s="234" t="n">
        <f aca="false">SUM([1]COMED!$P277:$R277)</f>
        <v>0</v>
      </c>
    </row>
    <row r="287" customFormat="false" ht="12.75" hidden="true" customHeight="false" outlineLevel="0" collapsed="false">
      <c r="DU287" s="234" t="n">
        <f aca="false">SUM([1]COMED!$P278:$R278)</f>
        <v>0</v>
      </c>
    </row>
    <row r="288" customFormat="false" ht="12.75" hidden="true" customHeight="false" outlineLevel="0" collapsed="false">
      <c r="DU288" s="234" t="n">
        <f aca="false">SUM([1]COMED!$P279:$R279)</f>
        <v>0</v>
      </c>
    </row>
    <row r="289" customFormat="false" ht="12.75" hidden="true" customHeight="false" outlineLevel="0" collapsed="false">
      <c r="DU289" s="234" t="n">
        <f aca="false">SUM([1]COMED!$P280:$R280)</f>
        <v>0</v>
      </c>
    </row>
  </sheetData>
  <mergeCells count="50"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BT10"/>
    <mergeCell ref="BU10:BV10"/>
    <mergeCell ref="BW10:BX10"/>
    <mergeCell ref="DQ10:DS10"/>
    <mergeCell ref="DT10:DV10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M54:BN54"/>
    <mergeCell ref="BO54:BP54"/>
    <mergeCell ref="BQ54:BR54"/>
    <mergeCell ref="BS54:BT54"/>
    <mergeCell ref="BU54:BV54"/>
    <mergeCell ref="BW54:BX54"/>
    <mergeCell ref="B141:F141"/>
    <mergeCell ref="G141:K141"/>
    <mergeCell ref="L141:P141"/>
    <mergeCell ref="Q141:S141"/>
    <mergeCell ref="B161:F161"/>
    <mergeCell ref="G161:K161"/>
    <mergeCell ref="L161:P161"/>
    <mergeCell ref="Q161:S161"/>
    <mergeCell ref="B181:F181"/>
    <mergeCell ref="G181:K181"/>
    <mergeCell ref="L181:P181"/>
    <mergeCell ref="Q181:S181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xls.Module1.End_Day">
                <anchor moveWithCells="true" sizeWithCells="false">
                  <from>
                    <xdr:col>3</xdr:col>
                    <xdr:colOff>9720</xdr:colOff>
                    <xdr:row>5</xdr:row>
                    <xdr:rowOff>0</xdr:rowOff>
                  </from>
                  <to>
                    <xdr:col>4</xdr:col>
                    <xdr:colOff>102240</xdr:colOff>
                    <xdr:row>7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">
              <controlPr defaultSize="0" print="false" autoFill="0" autoPict="0" macro="xls.Module2.PrintSum">
                <anchor moveWithCells="true" sizeWithCells="false">
                  <from>
                    <xdr:col>3</xdr:col>
                    <xdr:colOff>9720</xdr:colOff>
                    <xdr:row>1</xdr:row>
                    <xdr:rowOff>0</xdr:rowOff>
                  </from>
                  <to>
                    <xdr:col>4</xdr:col>
                    <xdr:colOff>102240</xdr:colOff>
                    <xdr:row>2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">
              <controlPr defaultSize="0" locked="1" autoFill="0" autoLine="0" autoPict="0" print="true" altText="Check Box 3">
                <anchor moveWithCells="true" sizeWithCells="false">
                  <from>
                    <xdr:col>17</xdr:col>
                    <xdr:colOff>9720</xdr:colOff>
                    <xdr:row>8</xdr:row>
                    <xdr:rowOff>37800</xdr:rowOff>
                  </from>
                  <to>
                    <xdr:col>18</xdr:col>
                    <xdr:colOff>-663480</xdr:colOff>
                    <xdr:row>9</xdr:row>
                    <xdr:rowOff>-19440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">
              <controlPr defaultSize="0" locked="1" autoFill="0" autoLine="0" autoPict="0" print="true" altText="Check Box 4">
                <anchor moveWithCells="true" sizeWithCells="false">
                  <from>
                    <xdr:col>17</xdr:col>
                    <xdr:colOff>9720</xdr:colOff>
                    <xdr:row>8</xdr:row>
                    <xdr:rowOff>37800</xdr:rowOff>
                  </from>
                  <to>
                    <xdr:col>18</xdr:col>
                    <xdr:colOff>-593280</xdr:colOff>
                    <xdr:row>9</xdr:row>
                    <xdr:rowOff>-38880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">
              <controlPr defaultSize="0" locked="1" autoFill="0" autoLine="0" autoPict="0" print="true" altText="Check Box 5">
                <anchor moveWithCells="true" sizeWithCells="false">
                  <from>
                    <xdr:col>17</xdr:col>
                    <xdr:colOff>9720</xdr:colOff>
                    <xdr:row>52</xdr:row>
                    <xdr:rowOff>38160</xdr:rowOff>
                  </from>
                  <to>
                    <xdr:col>18</xdr:col>
                    <xdr:colOff>-663480</xdr:colOff>
                    <xdr:row>53</xdr:row>
                    <xdr:rowOff>-29160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">
              <controlPr defaultSize="0" locked="1" autoFill="0" autoLine="0" autoPict="0" print="true" altText="Check Box 6">
                <anchor moveWithCells="true" sizeWithCells="false">
                  <from>
                    <xdr:col>17</xdr:col>
                    <xdr:colOff>9720</xdr:colOff>
                    <xdr:row>52</xdr:row>
                    <xdr:rowOff>38160</xdr:rowOff>
                  </from>
                  <to>
                    <xdr:col>18</xdr:col>
                    <xdr:colOff>-593280</xdr:colOff>
                    <xdr:row>53</xdr:row>
                    <xdr:rowOff>-47880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Roll_Sheet">
                <anchor moveWithCells="true" sizeWithCells="false">
                  <from>
                    <xdr:col>3</xdr:col>
                    <xdr:colOff>9720</xdr:colOff>
                    <xdr:row>3</xdr:row>
                    <xdr:rowOff>0</xdr:rowOff>
                  </from>
                  <to>
                    <xdr:col>4</xdr:col>
                    <xdr:colOff>102240</xdr:colOff>
                    <xdr:row>4</xdr:row>
                    <xdr:rowOff>132840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" activeCellId="0" sqref="G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4.14"/>
    <col collapsed="false" customWidth="true" hidden="false" outlineLevel="0" max="3" min="3" style="0" width="14.99"/>
    <col collapsed="false" customWidth="true" hidden="false" outlineLevel="0" max="4" min="4" style="0" width="14.14"/>
    <col collapsed="false" customWidth="true" hidden="false" outlineLevel="0" max="5" min="5" style="0" width="10.71"/>
    <col collapsed="false" customWidth="true" hidden="false" outlineLevel="0" max="6" min="6" style="0" width="13.28"/>
    <col collapsed="false" customWidth="true" hidden="false" outlineLevel="0" max="7" min="7" style="0" width="14.56"/>
    <col collapsed="false" customWidth="true" hidden="false" outlineLevel="0" max="8" min="8" style="0" width="14.14"/>
    <col collapsed="false" customWidth="true" hidden="false" outlineLevel="0" max="9" min="9" style="0" width="13.99"/>
    <col collapsed="false" customWidth="true" hidden="false" outlineLevel="0" max="10" min="10" style="0" width="12.56"/>
    <col collapsed="false" customWidth="true" hidden="false" outlineLevel="0" max="11" min="11" style="0" width="19.7"/>
    <col collapsed="false" customWidth="true" hidden="false" outlineLevel="0" max="12" min="12" style="0" width="12.7"/>
    <col collapsed="false" customWidth="true" hidden="false" outlineLevel="0" max="13" min="13" style="0" width="14.14"/>
    <col collapsed="false" customWidth="true" hidden="false" outlineLevel="0" max="14" min="14" style="0" width="12.85"/>
    <col collapsed="false" customWidth="true" hidden="false" outlineLevel="0" max="15" min="15" style="0" width="9.85"/>
    <col collapsed="false" customWidth="true" hidden="false" outlineLevel="0" max="17" min="17" style="0" width="12.56"/>
    <col collapsed="false" customWidth="true" hidden="false" outlineLevel="0" max="18" min="18" style="0" width="7.56"/>
    <col collapsed="false" customWidth="true" hidden="false" outlineLevel="0" max="19" min="19" style="0" width="11.56"/>
    <col collapsed="false" customWidth="true" hidden="false" outlineLevel="0" max="20" min="20" style="0" width="9.7"/>
    <col collapsed="false" customWidth="true" hidden="false" outlineLevel="0" max="24" min="24" style="0" width="11.13"/>
    <col collapsed="false" customWidth="true" hidden="false" outlineLevel="0" max="25" min="25" style="0" width="10.28"/>
    <col collapsed="false" customWidth="true" hidden="false" outlineLevel="0" max="26" min="26" style="0" width="8.7"/>
    <col collapsed="false" customWidth="true" hidden="false" outlineLevel="0" max="28" min="28" style="0" width="13.85"/>
    <col collapsed="false" customWidth="true" hidden="false" outlineLevel="0" max="29" min="29" style="0" width="16.84"/>
    <col collapsed="false" customWidth="true" hidden="false" outlineLevel="0" max="30" min="30" style="0" width="11.42"/>
    <col collapsed="false" customWidth="true" hidden="false" outlineLevel="0" max="31" min="31" style="0" width="16.7"/>
    <col collapsed="false" customWidth="true" hidden="false" outlineLevel="0" max="32" min="32" style="0" width="19.7"/>
    <col collapsed="false" customWidth="true" hidden="false" outlineLevel="0" max="33" min="33" style="0" width="14.14"/>
    <col collapsed="false" customWidth="true" hidden="false" outlineLevel="0" max="34" min="34" style="0" width="11.42"/>
    <col collapsed="false" customWidth="true" hidden="false" outlineLevel="0" max="35" min="35" style="0" width="7.14"/>
    <col collapsed="false" customWidth="true" hidden="false" outlineLevel="0" max="36" min="36" style="0" width="15.56"/>
    <col collapsed="false" customWidth="true" hidden="false" outlineLevel="0" max="37" min="37" style="0" width="17.99"/>
    <col collapsed="false" customWidth="true" hidden="false" outlineLevel="0" max="38" min="38" style="0" width="10.28"/>
    <col collapsed="false" customWidth="true" hidden="false" outlineLevel="0" max="40" min="40" style="0" width="10.71"/>
    <col collapsed="false" customWidth="true" hidden="false" outlineLevel="0" max="41" min="41" style="0" width="11.42"/>
  </cols>
  <sheetData>
    <row r="1" customFormat="false" ht="18.75" hidden="false" customHeight="false" outlineLevel="0" collapsed="false">
      <c r="F1" s="743"/>
      <c r="G1" s="743"/>
      <c r="H1" s="744"/>
      <c r="I1" s="745" t="s">
        <v>100</v>
      </c>
      <c r="N1" s="745" t="s">
        <v>100</v>
      </c>
    </row>
    <row r="2" customFormat="false" ht="16.5" hidden="false" customHeight="false" outlineLevel="0" collapsed="false">
      <c r="A2" s="744"/>
      <c r="B2" s="744"/>
      <c r="C2" s="744"/>
      <c r="D2" s="743"/>
      <c r="E2" s="743"/>
      <c r="F2" s="746"/>
      <c r="G2" s="747" t="s">
        <v>322</v>
      </c>
      <c r="H2" s="748" t="n">
        <f aca="false">SUM(K10:K100)</f>
        <v>-177522.683600598</v>
      </c>
      <c r="I2" s="749"/>
      <c r="K2" s="746"/>
      <c r="L2" s="750" t="s">
        <v>323</v>
      </c>
      <c r="M2" s="751" t="n">
        <f aca="false">SUM(X10:X100)</f>
        <v>-1846640.40314232</v>
      </c>
      <c r="N2" s="752"/>
    </row>
    <row r="3" customFormat="false" ht="16.5" hidden="false" customHeight="false" outlineLevel="0" collapsed="false">
      <c r="A3" s="753"/>
      <c r="B3" s="754"/>
      <c r="C3" s="754"/>
      <c r="D3" s="755"/>
      <c r="E3" s="755"/>
      <c r="F3" s="756"/>
      <c r="G3" s="757" t="s">
        <v>324</v>
      </c>
      <c r="H3" s="758" t="n">
        <f aca="false">SUM(L10:L100)</f>
        <v>-763.229509</v>
      </c>
      <c r="I3" s="759" t="n">
        <f aca="false">H3+H2</f>
        <v>-178285.913109598</v>
      </c>
      <c r="K3" s="756"/>
      <c r="L3" s="760" t="s">
        <v>325</v>
      </c>
      <c r="M3" s="761" t="n">
        <f aca="false">SUM(Y10:Y100)</f>
        <v>293933.865519781</v>
      </c>
      <c r="N3" s="752"/>
    </row>
    <row r="4" customFormat="false" ht="16.5" hidden="false" customHeight="false" outlineLevel="0" collapsed="false">
      <c r="F4" s="756"/>
      <c r="G4" s="757" t="s">
        <v>326</v>
      </c>
      <c r="H4" s="762" t="n">
        <f aca="false">SUM(M10:M100)</f>
        <v>0</v>
      </c>
      <c r="I4" s="752"/>
      <c r="K4" s="763"/>
      <c r="L4" s="764" t="s">
        <v>327</v>
      </c>
      <c r="M4" s="765" t="n">
        <f aca="false">SUM(Z10:Z100)</f>
        <v>221843.776128379</v>
      </c>
      <c r="N4" s="759" t="n">
        <f aca="false">SUM(M2:M4)</f>
        <v>-1330862.76149416</v>
      </c>
    </row>
    <row r="5" customFormat="false" ht="16.5" hidden="false" customHeight="false" outlineLevel="0" collapsed="false">
      <c r="A5" s="766" t="s">
        <v>328</v>
      </c>
      <c r="B5" s="767" t="n">
        <v>1</v>
      </c>
      <c r="C5" s="768" t="s">
        <v>329</v>
      </c>
      <c r="D5" s="768"/>
      <c r="F5" s="763"/>
      <c r="G5" s="769" t="s">
        <v>330</v>
      </c>
      <c r="H5" s="758" t="n">
        <f aca="false">SUM(N10:N100)</f>
        <v>0</v>
      </c>
      <c r="I5" s="759" t="n">
        <f aca="false">H5+H4</f>
        <v>0</v>
      </c>
      <c r="K5" s="35"/>
      <c r="L5" s="770"/>
      <c r="X5" s="0" t="n">
        <f aca="false">68712/16/21</f>
        <v>204.5</v>
      </c>
    </row>
    <row r="6" customFormat="false" ht="20.25" hidden="false" customHeight="false" outlineLevel="0" collapsed="false">
      <c r="D6" s="771"/>
      <c r="E6" s="771"/>
      <c r="F6" s="35"/>
      <c r="G6" s="770"/>
      <c r="H6" s="772"/>
      <c r="I6" s="773"/>
      <c r="K6" s="774"/>
      <c r="R6" s="775" t="s">
        <v>331</v>
      </c>
      <c r="T6" s="776"/>
      <c r="U6" s="776"/>
    </row>
    <row r="7" customFormat="false" ht="18.75" hidden="false" customHeight="false" outlineLevel="0" collapsed="false">
      <c r="A7" s="775" t="s">
        <v>332</v>
      </c>
      <c r="D7" s="777"/>
      <c r="E7" s="777"/>
      <c r="F7" s="777"/>
      <c r="G7" s="777"/>
      <c r="H7" s="778"/>
      <c r="I7" s="779" t="n">
        <v>1</v>
      </c>
      <c r="J7" s="780" t="s">
        <v>333</v>
      </c>
      <c r="K7" s="781"/>
      <c r="L7" s="782"/>
      <c r="T7" s="778"/>
      <c r="U7" s="778"/>
    </row>
    <row r="8" customFormat="false" ht="13.5" hidden="false" customHeight="false" outlineLevel="0" collapsed="false">
      <c r="A8" s="783"/>
      <c r="B8" s="784"/>
      <c r="H8" s="777"/>
      <c r="K8" s="785" t="s">
        <v>334</v>
      </c>
      <c r="L8" s="786" t="s">
        <v>335</v>
      </c>
      <c r="M8" s="785" t="s">
        <v>334</v>
      </c>
      <c r="N8" s="785" t="s">
        <v>335</v>
      </c>
      <c r="S8" s="785" t="s">
        <v>334</v>
      </c>
      <c r="T8" s="787" t="s">
        <v>336</v>
      </c>
      <c r="U8" s="787" t="s">
        <v>335</v>
      </c>
      <c r="V8" s="787" t="s">
        <v>100</v>
      </c>
      <c r="W8" s="785" t="s">
        <v>275</v>
      </c>
      <c r="X8" s="788" t="s">
        <v>334</v>
      </c>
      <c r="Y8" s="788" t="s">
        <v>336</v>
      </c>
      <c r="Z8" s="788" t="s">
        <v>337</v>
      </c>
      <c r="AA8" s="783"/>
      <c r="AB8" s="784" t="s">
        <v>338</v>
      </c>
      <c r="AD8" s="777"/>
      <c r="AE8" s="777"/>
      <c r="AF8" s="777"/>
      <c r="AG8" s="777"/>
      <c r="AH8" s="778"/>
      <c r="AJ8" s="0" t="s">
        <v>339</v>
      </c>
      <c r="AK8" s="778"/>
      <c r="AN8" s="777" t="s">
        <v>338</v>
      </c>
      <c r="AO8" s="778"/>
    </row>
    <row r="9" customFormat="false" ht="13.5" hidden="false" customHeight="false" outlineLevel="0" collapsed="false">
      <c r="A9" s="789" t="s">
        <v>79</v>
      </c>
      <c r="B9" s="790" t="s">
        <v>340</v>
      </c>
      <c r="C9" s="791" t="s">
        <v>341</v>
      </c>
      <c r="D9" s="792" t="s">
        <v>342</v>
      </c>
      <c r="E9" s="790" t="s">
        <v>343</v>
      </c>
      <c r="F9" s="793" t="s">
        <v>344</v>
      </c>
      <c r="G9" s="790" t="s">
        <v>345</v>
      </c>
      <c r="H9" s="794" t="s">
        <v>346</v>
      </c>
      <c r="I9" s="794" t="s">
        <v>6</v>
      </c>
      <c r="J9" s="795" t="s">
        <v>347</v>
      </c>
      <c r="K9" s="796" t="s">
        <v>348</v>
      </c>
      <c r="L9" s="797" t="s">
        <v>348</v>
      </c>
      <c r="M9" s="798" t="s">
        <v>349</v>
      </c>
      <c r="N9" s="799" t="s">
        <v>349</v>
      </c>
      <c r="O9" s="800" t="s">
        <v>178</v>
      </c>
      <c r="S9" s="799" t="s">
        <v>350</v>
      </c>
      <c r="T9" s="798" t="s">
        <v>350</v>
      </c>
      <c r="U9" s="798" t="s">
        <v>350</v>
      </c>
      <c r="V9" s="798" t="s">
        <v>350</v>
      </c>
      <c r="W9" s="799" t="s">
        <v>6</v>
      </c>
      <c r="X9" s="801" t="s">
        <v>351</v>
      </c>
      <c r="Y9" s="801" t="s">
        <v>351</v>
      </c>
      <c r="Z9" s="801" t="s">
        <v>351</v>
      </c>
      <c r="AA9" s="783" t="s">
        <v>79</v>
      </c>
      <c r="AB9" s="784" t="s">
        <v>352</v>
      </c>
      <c r="AC9" s="784" t="s">
        <v>353</v>
      </c>
      <c r="AD9" s="802" t="s">
        <v>354</v>
      </c>
      <c r="AE9" s="802" t="s">
        <v>355</v>
      </c>
      <c r="AF9" s="802" t="s">
        <v>356</v>
      </c>
      <c r="AG9" s="802" t="s">
        <v>357</v>
      </c>
      <c r="AH9" s="803" t="s">
        <v>358</v>
      </c>
      <c r="AI9" s="804" t="s">
        <v>79</v>
      </c>
      <c r="AJ9" s="0" t="s">
        <v>352</v>
      </c>
      <c r="AK9" s="803" t="s">
        <v>353</v>
      </c>
      <c r="AL9" s="0" t="s">
        <v>354</v>
      </c>
      <c r="AN9" s="802" t="s">
        <v>359</v>
      </c>
      <c r="AO9" s="803"/>
    </row>
    <row r="10" customFormat="false" ht="12.75" hidden="false" customHeight="false" outlineLevel="0" collapsed="false">
      <c r="A10" s="805" t="n">
        <f aca="false">IF($B$5=1,[1]Cinergy!$D34,[1]Cinergy!$D35)</f>
        <v>37195</v>
      </c>
      <c r="B10" s="806" t="n">
        <f aca="false">VLOOKUP(A10,$AA$10:$AH$100,2)+VLOOKUP(A10,$AA$10:$AH$100,3)</f>
        <v>-26741.08411537</v>
      </c>
      <c r="C10" s="807" t="n">
        <f aca="false">VLOOKUP(A10,$AA$10:$AH$100,4)</f>
        <v>-199635.8355</v>
      </c>
      <c r="D10" s="808" t="n">
        <f aca="false">B10+C10</f>
        <v>-226376.91961537</v>
      </c>
      <c r="E10" s="806" t="n">
        <f aca="false">VLOOKUP(A10,$AI$10:$AL$100,2)+VLOOKUP(A10,$AI$10:$AL$100,3)</f>
        <v>0</v>
      </c>
      <c r="F10" s="806" t="n">
        <f aca="false">VLOOKUP(A10,$AI$10:$AL$100,4)</f>
        <v>0</v>
      </c>
      <c r="G10" s="808" t="n">
        <f aca="false">E10+F10</f>
        <v>0</v>
      </c>
      <c r="H10" s="809" t="n">
        <f aca="false">VLOOKUP(A10,NymexData!$S$12:$T$128,2)</f>
        <v>2.44</v>
      </c>
      <c r="I10" s="810" t="n">
        <f aca="false">IF($I$7=1,NymexData!AN12,NymexData!X12)</f>
        <v>0.005</v>
      </c>
      <c r="J10" s="809" t="n">
        <f aca="false">IF($I$7=1,H10+I10,VLOOKUP(A10,NymexData!$AA$12:$AB$128,2))</f>
        <v>2.445</v>
      </c>
      <c r="K10" s="807" t="n">
        <f aca="false">B10*I10</f>
        <v>-133.70542057685</v>
      </c>
      <c r="L10" s="807" t="n">
        <f aca="false">C10*I10</f>
        <v>-998.1791775</v>
      </c>
      <c r="M10" s="811" t="n">
        <f aca="false">E10*I10</f>
        <v>0</v>
      </c>
      <c r="N10" s="807" t="n">
        <f aca="false">F10*I10</f>
        <v>0</v>
      </c>
      <c r="O10" s="812" t="n">
        <f aca="false">SUM(K10:N10)</f>
        <v>-1131.88459807685</v>
      </c>
      <c r="Q10" s="813" t="n">
        <f aca="false">TradeSum!S12/GencoPosn!J10*1000</f>
        <v>10613.4969325153</v>
      </c>
      <c r="R10" s="805" t="n">
        <f aca="false">A10</f>
        <v>37195</v>
      </c>
      <c r="S10" s="807" t="n">
        <f aca="false">VLOOKUP(R10,$AA$10:$AH$100,5)+VLOOKUP(R10,$AA$10:$AH$100,6)</f>
        <v>4744.70799061198</v>
      </c>
      <c r="T10" s="807" t="n">
        <f aca="false">VLOOKUP(R10,$AA$10:$AH$100,7)</f>
        <v>-51648.6897167074</v>
      </c>
      <c r="U10" s="807" t="n">
        <f aca="false">VLOOKUP(R10,$AA$10:$AH$100,8)</f>
        <v>51648.6897167073</v>
      </c>
      <c r="V10" s="807" t="n">
        <f aca="false">S10+T10+U10</f>
        <v>4744.70799061189</v>
      </c>
      <c r="W10" s="814" t="n">
        <f aca="false">[1]Cinergy!$F34</f>
        <v>-0.099999237060544</v>
      </c>
      <c r="X10" s="807" t="n">
        <f aca="false">S10*W10</f>
        <v>-474.467179136265</v>
      </c>
      <c r="Y10" s="807" t="n">
        <f aca="false">T10*W10</f>
        <v>5164.82956684751</v>
      </c>
      <c r="Z10" s="807" t="n">
        <f aca="false">U10*W10</f>
        <v>-5164.8295668475</v>
      </c>
      <c r="AA10" s="804" t="n">
        <v>36831</v>
      </c>
      <c r="AB10" s="815" t="n">
        <v>-178219.951537386</v>
      </c>
      <c r="AC10" s="815" t="n">
        <v>-258916.200255489</v>
      </c>
      <c r="AD10" s="815" t="n">
        <v>0</v>
      </c>
      <c r="AE10" s="815" t="n">
        <v>2935.1911975747</v>
      </c>
      <c r="AF10" s="815" t="n">
        <v>3955.25468677656</v>
      </c>
      <c r="AG10" s="815" t="n">
        <v>0</v>
      </c>
      <c r="AH10" s="815" t="n">
        <v>0</v>
      </c>
      <c r="AI10" s="804" t="n">
        <v>36708</v>
      </c>
      <c r="AJ10" s="459"/>
      <c r="AK10" s="816"/>
      <c r="AL10" s="815" t="n">
        <v>0</v>
      </c>
      <c r="AN10" s="815"/>
      <c r="AO10" s="815"/>
    </row>
    <row r="11" customFormat="false" ht="12.75" hidden="false" customHeight="false" outlineLevel="0" collapsed="false">
      <c r="A11" s="817" t="n">
        <f aca="false">IF($B$5=1,[1]Cinergy!$D35,[1]Cinergy!$D36)</f>
        <v>37196</v>
      </c>
      <c r="B11" s="807" t="n">
        <f aca="false">IF(ISERROR(VLOOKUP(A11,$AA$10:$AH$100,2,FALSE()))+ISERROR(VLOOKUP(A11,$AA$10:$AH$100,3,FALSE()))=0,VLOOKUP(A11,$AA$10:$AH$100,2,FALSE())+VLOOKUP(A11,$AA$10:$AH$100,3,FALSE()),0)</f>
        <v>-1597384.53548303</v>
      </c>
      <c r="C11" s="807" t="n">
        <f aca="false">IF(ISERROR(VLOOKUP(A11,$AA$10:$AH$100,4,FALSE()))=FALSE(),VLOOKUP(A11,$AA$10:$AH$100,4,FALSE()),0)</f>
        <v>12651.3854</v>
      </c>
      <c r="D11" s="818" t="n">
        <f aca="false">B11+C11</f>
        <v>-1584733.15008303</v>
      </c>
      <c r="E11" s="807" t="n">
        <f aca="false">IF(ISERROR(VLOOKUP(A11,$AI$10:$AL$100,2,FALSE()))+ISERROR(VLOOKUP(A11,$AI$10:$AL$100,3,FALSE()))=0,VLOOKUP(A11,$AI$10:$AL$100,2,FALSE())+VLOOKUP(A11,$AI$10:$AL$100,3,FALSE()),0)</f>
        <v>0</v>
      </c>
      <c r="F11" s="807" t="n">
        <f aca="false">IF(ISERROR(VLOOKUP(A11,$AI$10:$AL$100,4,FALSE()))=FALSE(),VLOOKUP(A11,$AI$10:$AL$100,4,FALSE()),0)</f>
        <v>0</v>
      </c>
      <c r="G11" s="818" t="n">
        <f aca="false">F11+E11</f>
        <v>0</v>
      </c>
      <c r="H11" s="819" t="n">
        <f aca="false">VLOOKUP(A11,NymexData!$S$12:$T$128,2)</f>
        <v>2.74</v>
      </c>
      <c r="I11" s="820" t="n">
        <f aca="false">IF($I$7=1,NymexData!AN13,NymexData!X13)</f>
        <v>-0</v>
      </c>
      <c r="J11" s="819" t="n">
        <f aca="false">IF($I$7=1,H11+I11,VLOOKUP(A11,NymexData!$AA$12:$AB$128,2))</f>
        <v>2.74</v>
      </c>
      <c r="K11" s="807" t="n">
        <f aca="false">B11*I11</f>
        <v>0</v>
      </c>
      <c r="L11" s="807" t="n">
        <f aca="false">C11*I11</f>
        <v>-0</v>
      </c>
      <c r="M11" s="811" t="n">
        <f aca="false">E11*I11</f>
        <v>-0</v>
      </c>
      <c r="N11" s="807" t="n">
        <f aca="false">F11*I11</f>
        <v>-0</v>
      </c>
      <c r="O11" s="811" t="n">
        <f aca="false">SUM(K11:N11)</f>
        <v>0</v>
      </c>
      <c r="Q11" s="813" t="n">
        <f aca="false">TradeSum!S13/GencoPosn!J11*1000</f>
        <v>9562.04379562044</v>
      </c>
      <c r="R11" s="817" t="n">
        <f aca="false">A11</f>
        <v>37196</v>
      </c>
      <c r="S11" s="807" t="n">
        <f aca="false">IF(ISERROR(VLOOKUP(R11,$AA$10:$AH$100,5,FALSE()))+ISERROR(VLOOKUP(R11,$AA$10:$AH$100,6,FALSE()))=0,VLOOKUP(R11,$AA$10:$AH$100,5,FALSE())+VLOOKUP(R11,$AA$10:$AH$100,6,FALSE()),0)</f>
        <v>26356.5148049632</v>
      </c>
      <c r="T11" s="807" t="n">
        <f aca="false">IF(ISERROR(VLOOKUP(R11,$AA$10:$AH$100,7,FALSE()))=FALSE(),VLOOKUP(R11,$AA$10:$AH$100,7,FALSE()),0)</f>
        <v>-46913.4273440682</v>
      </c>
      <c r="U11" s="807" t="n">
        <f aca="false">IF(ISERROR(VLOOKUP(R11,$AA$10:$AH$100,8,FALSE()))=FALSE(),VLOOKUP(R11,$AA$10:$AH$100,8,FALSE()),0)</f>
        <v>46913.4273440682</v>
      </c>
      <c r="V11" s="807" t="n">
        <f aca="false">S11+T11+U11</f>
        <v>26356.5148049632</v>
      </c>
      <c r="W11" s="814" t="n">
        <f aca="false">[1]Cinergy!$F35</f>
        <v>0.0500003814697294</v>
      </c>
      <c r="X11" s="807" t="n">
        <f aca="false">S11*W11</f>
        <v>1317.83579446073</v>
      </c>
      <c r="Y11" s="807" t="n">
        <f aca="false">T11*W11</f>
        <v>-2345.68926325584</v>
      </c>
      <c r="Z11" s="807" t="n">
        <f aca="false">U11*W11</f>
        <v>2345.68926325584</v>
      </c>
      <c r="AA11" s="804" t="n">
        <v>36861</v>
      </c>
      <c r="AB11" s="815" t="n">
        <v>-596373.092082619</v>
      </c>
      <c r="AC11" s="815" t="n">
        <v>-205480.880383821</v>
      </c>
      <c r="AD11" s="815" t="n">
        <v>-79133.2606</v>
      </c>
      <c r="AE11" s="815" t="n">
        <v>9626.54014485856</v>
      </c>
      <c r="AF11" s="815" t="n">
        <v>4877.42739143739</v>
      </c>
      <c r="AG11" s="815" t="n">
        <v>0</v>
      </c>
      <c r="AH11" s="815" t="n">
        <v>0</v>
      </c>
      <c r="AI11" s="804" t="n">
        <v>36739</v>
      </c>
      <c r="AJ11" s="459"/>
      <c r="AK11" s="816"/>
      <c r="AL11" s="815" t="n">
        <v>-0.0001</v>
      </c>
      <c r="AN11" s="815"/>
      <c r="AO11" s="815"/>
    </row>
    <row r="12" customFormat="false" ht="15" hidden="false" customHeight="false" outlineLevel="0" collapsed="false">
      <c r="A12" s="817" t="n">
        <f aca="false">IF($B$5=1,[1]Cinergy!$D36,[1]Cinergy!$D37)</f>
        <v>37226</v>
      </c>
      <c r="B12" s="807" t="n">
        <f aca="false">IF(ISERROR(VLOOKUP(A12,$AA$10:$AH$100,2,FALSE()))+ISERROR(VLOOKUP(A12,$AA$10:$AH$100,3,FALSE()))=0,VLOOKUP(A12,$AA$10:$AH$100,2,FALSE())+VLOOKUP(A12,$AA$10:$AH$100,3,FALSE()),0)</f>
        <v>-835289.221580967</v>
      </c>
      <c r="C12" s="807" t="n">
        <f aca="false">IF(ISERROR(VLOOKUP(A12,$AA$10:$AH$100,4,FALSE()))=FALSE(),VLOOKUP(A12,$AA$10:$AH$100,4,FALSE()),0)</f>
        <v>-20100.2165</v>
      </c>
      <c r="D12" s="818" t="n">
        <f aca="false">B12+C12</f>
        <v>-855389.438080967</v>
      </c>
      <c r="E12" s="807" t="n">
        <f aca="false">IF(ISERROR(VLOOKUP(A12,$AI$10:$AL$100,2,FALSE()))+ISERROR(VLOOKUP(A12,$AI$10:$AL$100,3,FALSE()))=0,VLOOKUP(A12,$AI$10:$AL$100,2,FALSE())+VLOOKUP(A12,$AI$10:$AL$100,3,FALSE()),0)</f>
        <v>0</v>
      </c>
      <c r="F12" s="807" t="n">
        <f aca="false">IF(ISERROR(VLOOKUP(A12,$AI$10:$AL$100,4,FALSE()))=FALSE(),VLOOKUP(A12,$AI$10:$AL$100,4,FALSE()),0)</f>
        <v>0</v>
      </c>
      <c r="G12" s="818" t="n">
        <f aca="false">F12+E12</f>
        <v>0</v>
      </c>
      <c r="H12" s="819" t="n">
        <f aca="false">VLOOKUP(A12,NymexData!$S$12:$T$128,2)</f>
        <v>3.06</v>
      </c>
      <c r="I12" s="820" t="n">
        <f aca="false">IF($I$7=1,NymexData!AN14,NymexData!X14)</f>
        <v>-0.01</v>
      </c>
      <c r="J12" s="819" t="n">
        <f aca="false">IF($I$7=1,H12+I12,VLOOKUP(A12,NymexData!$AA$12:$AB$128,2))</f>
        <v>3.05</v>
      </c>
      <c r="K12" s="807" t="n">
        <f aca="false">B12*I12</f>
        <v>8352.89221580967</v>
      </c>
      <c r="L12" s="807" t="n">
        <f aca="false">C12*I12</f>
        <v>201.002165</v>
      </c>
      <c r="M12" s="811" t="n">
        <f aca="false">E12*I12</f>
        <v>-0</v>
      </c>
      <c r="N12" s="807" t="n">
        <f aca="false">F12*I12</f>
        <v>-0</v>
      </c>
      <c r="O12" s="811" t="n">
        <f aca="false">SUM(K12:N12)</f>
        <v>8553.89438080967</v>
      </c>
      <c r="Q12" s="813" t="n">
        <f aca="false">TradeSum!S14/GencoPosn!J12*1000</f>
        <v>9016.39344262295</v>
      </c>
      <c r="R12" s="817" t="n">
        <f aca="false">A12</f>
        <v>37226</v>
      </c>
      <c r="S12" s="807" t="n">
        <f aca="false">IF(ISERROR(VLOOKUP(R12,$AA$10:$AH$100,5,FALSE()))+ISERROR(VLOOKUP(R12,$AA$10:$AH$100,6,FALSE()))=0,VLOOKUP(R12,$AA$10:$AH$100,5,FALSE())+VLOOKUP(R12,$AA$10:$AH$100,6,FALSE()),0)</f>
        <v>19504.0512321772</v>
      </c>
      <c r="T12" s="807" t="n">
        <f aca="false">IF(ISERROR(VLOOKUP(R12,$AA$10:$AH$100,7,FALSE()))=FALSE(),VLOOKUP(R12,$AA$10:$AH$100,7,FALSE()),0)</f>
        <v>-44438.3979714829</v>
      </c>
      <c r="U12" s="807" t="n">
        <f aca="false">IF(ISERROR(VLOOKUP(R12,$AA$10:$AH$100,8,FALSE()))=FALSE(),VLOOKUP(R12,$AA$10:$AH$100,8,FALSE()),0)</f>
        <v>44438.3979714828</v>
      </c>
      <c r="V12" s="807" t="n">
        <f aca="false">S12+T12+U12</f>
        <v>19504.0512321771</v>
      </c>
      <c r="W12" s="814" t="n">
        <f aca="false">[1]Cinergy!$F36</f>
        <v>-0.149999618530273</v>
      </c>
      <c r="X12" s="807" t="n">
        <f aca="false">S12*W12</f>
        <v>-2925.60024462148</v>
      </c>
      <c r="Y12" s="807" t="n">
        <f aca="false">T12*W12</f>
        <v>6665.74274381891</v>
      </c>
      <c r="Z12" s="807" t="n">
        <f aca="false">U12*W12</f>
        <v>-6665.7427438189</v>
      </c>
      <c r="AA12" s="804" t="n">
        <v>36892</v>
      </c>
      <c r="AB12" s="815" t="n">
        <v>-499926.338412401</v>
      </c>
      <c r="AC12" s="815" t="n">
        <v>-816729.213810571</v>
      </c>
      <c r="AD12" s="815" t="n">
        <v>13974.0565</v>
      </c>
      <c r="AE12" s="815" t="n">
        <v>15625.1419140221</v>
      </c>
      <c r="AF12" s="815" t="n">
        <v>23697.5685099652</v>
      </c>
      <c r="AG12" s="815" t="n">
        <v>-69117.0271624289</v>
      </c>
      <c r="AH12" s="815" t="n">
        <v>69117.0271624288</v>
      </c>
      <c r="AI12" s="804" t="n">
        <v>36770</v>
      </c>
      <c r="AJ12" s="459" t="n">
        <v>0</v>
      </c>
      <c r="AK12" s="821" t="n">
        <v>0</v>
      </c>
      <c r="AL12" s="815" t="n">
        <v>0</v>
      </c>
      <c r="AM12" s="822" t="n">
        <f aca="false">+AA12</f>
        <v>36892</v>
      </c>
      <c r="AN12" s="815" t="n">
        <f aca="false">SUM(AG12:AH12)/TradeSum!CD13</f>
        <v>0</v>
      </c>
      <c r="AO12" s="815"/>
    </row>
    <row r="13" customFormat="false" ht="15" hidden="false" customHeight="false" outlineLevel="0" collapsed="false">
      <c r="A13" s="817" t="n">
        <f aca="false">IF($B$5=1,[1]Cinergy!$D37,[1]Cinergy!$D38)</f>
        <v>37257</v>
      </c>
      <c r="B13" s="807" t="n">
        <f aca="false">IF(ISERROR(VLOOKUP(A13,$AA$10:$AH$100,2,FALSE()))+ISERROR(VLOOKUP(A13,$AA$10:$AH$100,3,FALSE()))=0,VLOOKUP(A13,$AA$10:$AH$100,2,FALSE())+VLOOKUP(A13,$AA$10:$AH$100,3,FALSE()),0)</f>
        <v>-1866469.84841249</v>
      </c>
      <c r="C13" s="807" t="n">
        <f aca="false">IF(ISERROR(VLOOKUP(A13,$AA$10:$AH$100,4,FALSE()))=FALSE(),VLOOKUP(A13,$AA$10:$AH$100,4,FALSE()),0)</f>
        <v>-158781.8206</v>
      </c>
      <c r="D13" s="818" t="n">
        <f aca="false">B13+C13</f>
        <v>-2025251.66901249</v>
      </c>
      <c r="E13" s="807" t="n">
        <f aca="false">IF(ISERROR(VLOOKUP(A13,$AI$10:$AL$100,2,FALSE()))+ISERROR(VLOOKUP(A13,$AI$10:$AL$100,3,FALSE()))=0,VLOOKUP(A13,$AI$10:$AL$100,2,FALSE())+VLOOKUP(A13,$AI$10:$AL$100,3,FALSE()),0)</f>
        <v>0</v>
      </c>
      <c r="F13" s="807" t="n">
        <f aca="false">IF(ISERROR(VLOOKUP(A13,$AI$10:$AL$100,4,FALSE()))=FALSE(),VLOOKUP(A13,$AI$10:$AL$100,4,FALSE()),0)</f>
        <v>0</v>
      </c>
      <c r="G13" s="818" t="n">
        <f aca="false">F13+E13</f>
        <v>0</v>
      </c>
      <c r="H13" s="819" t="n">
        <f aca="false">VLOOKUP(A13,NymexData!$S$12:$T$128,2)</f>
        <v>3.205</v>
      </c>
      <c r="I13" s="820" t="n">
        <f aca="false">IF($I$7=1,NymexData!AN15,NymexData!X15)</f>
        <v>-0</v>
      </c>
      <c r="J13" s="819" t="n">
        <f aca="false">IF($I$7=1,H13+I13,VLOOKUP(A13,NymexData!$AA$12:$AB$128,2))</f>
        <v>3.205</v>
      </c>
      <c r="K13" s="807" t="n">
        <f aca="false">B13*I13</f>
        <v>0</v>
      </c>
      <c r="L13" s="807" t="n">
        <f aca="false">C13*I13</f>
        <v>0</v>
      </c>
      <c r="M13" s="811" t="n">
        <f aca="false">E13*I13</f>
        <v>-0</v>
      </c>
      <c r="N13" s="807" t="n">
        <f aca="false">F13*I13</f>
        <v>-0</v>
      </c>
      <c r="O13" s="811" t="n">
        <f aca="false">SUM(K13:N13)</f>
        <v>0</v>
      </c>
      <c r="Q13" s="813" t="n">
        <f aca="false">TradeSum!S15/GencoPosn!J13*1000</f>
        <v>9178.367474752</v>
      </c>
      <c r="R13" s="817" t="n">
        <f aca="false">A13</f>
        <v>37257</v>
      </c>
      <c r="S13" s="807" t="n">
        <f aca="false">IF(ISERROR(VLOOKUP(R13,$AA$10:$AH$100,5,FALSE()))+ISERROR(VLOOKUP(R13,$AA$10:$AH$100,6,FALSE()))=0,VLOOKUP(R13,$AA$10:$AH$100,5,FALSE())+VLOOKUP(R13,$AA$10:$AH$100,6,FALSE()),0)</f>
        <v>50095.8621474851</v>
      </c>
      <c r="T13" s="807" t="n">
        <f aca="false">IF(ISERROR(VLOOKUP(R13,$AA$10:$AH$100,7,FALSE()))=FALSE(),VLOOKUP(R13,$AA$10:$AH$100,7,FALSE()),0)</f>
        <v>-48617.6062307807</v>
      </c>
      <c r="U13" s="807" t="n">
        <f aca="false">IF(ISERROR(VLOOKUP(R13,$AA$10:$AH$100,8,FALSE()))=FALSE(),VLOOKUP(R13,$AA$10:$AH$100,8,FALSE()),0)</f>
        <v>16205.8687435936</v>
      </c>
      <c r="V13" s="807" t="n">
        <f aca="false">S13+T13+U13</f>
        <v>17684.124660298</v>
      </c>
      <c r="W13" s="814" t="n">
        <f aca="false">[1]Cinergy!$F37</f>
        <v>-0.250000181652251</v>
      </c>
      <c r="X13" s="807" t="n">
        <f aca="false">S13*W13</f>
        <v>-12523.9746368974</v>
      </c>
      <c r="Y13" s="807" t="n">
        <f aca="false">T13*W13</f>
        <v>12154.4103891928</v>
      </c>
      <c r="Z13" s="807" t="n">
        <f aca="false">U13*W13</f>
        <v>-4051.47012973093</v>
      </c>
      <c r="AA13" s="804" t="n">
        <v>36923</v>
      </c>
      <c r="AB13" s="815" t="n">
        <v>-375165.855824882</v>
      </c>
      <c r="AC13" s="815" t="n">
        <v>-629465.689002221</v>
      </c>
      <c r="AD13" s="815" t="n">
        <v>33596.9275</v>
      </c>
      <c r="AE13" s="815" t="n">
        <v>12316.1903966988</v>
      </c>
      <c r="AF13" s="815" t="n">
        <v>19094.10991844</v>
      </c>
      <c r="AG13" s="815" t="n">
        <v>-62516.1317545261</v>
      </c>
      <c r="AH13" s="815" t="n">
        <v>62516.1317545261</v>
      </c>
      <c r="AI13" s="804" t="n">
        <v>36800</v>
      </c>
      <c r="AJ13" s="459" t="n">
        <v>0</v>
      </c>
      <c r="AK13" s="821" t="n">
        <v>0</v>
      </c>
      <c r="AL13" s="815" t="n">
        <v>0</v>
      </c>
      <c r="AM13" s="822" t="n">
        <f aca="false">+AA13</f>
        <v>36923</v>
      </c>
      <c r="AN13" s="815" t="n">
        <f aca="false">SUM(AG13:AH13)/TradeSum!CD14</f>
        <v>0</v>
      </c>
      <c r="AO13" s="815"/>
    </row>
    <row r="14" customFormat="false" ht="15" hidden="false" customHeight="false" outlineLevel="0" collapsed="false">
      <c r="A14" s="817" t="n">
        <f aca="false">IF($B$5=1,[1]Cinergy!$D38,[1]Cinergy!$D39)</f>
        <v>37288</v>
      </c>
      <c r="B14" s="807" t="n">
        <f aca="false">IF(ISERROR(VLOOKUP(A14,$AA$10:$AH$100,2,FALSE()))+ISERROR(VLOOKUP(A14,$AA$10:$AH$100,3,FALSE()))=0,VLOOKUP(A14,$AA$10:$AH$100,2,FALSE())+VLOOKUP(A14,$AA$10:$AH$100,3,FALSE()),0)</f>
        <v>-1917447.76207881</v>
      </c>
      <c r="C14" s="807" t="n">
        <f aca="false">IF(ISERROR(VLOOKUP(A14,$AA$10:$AH$100,4,FALSE()))=FALSE(),VLOOKUP(A14,$AA$10:$AH$100,4,FALSE()),0)</f>
        <v>-60916.2455</v>
      </c>
      <c r="D14" s="818" t="n">
        <f aca="false">B14+C14</f>
        <v>-1978364.00757881</v>
      </c>
      <c r="E14" s="807" t="n">
        <f aca="false">IF(ISERROR(VLOOKUP(A14,$AI$10:$AL$100,2,FALSE()))+ISERROR(VLOOKUP(A14,$AI$10:$AL$100,3,FALSE()))=0,VLOOKUP(A14,$AI$10:$AL$100,2,FALSE())+VLOOKUP(A14,$AI$10:$AL$100,3,FALSE()),0)</f>
        <v>0</v>
      </c>
      <c r="F14" s="807" t="n">
        <f aca="false">IF(ISERROR(VLOOKUP(A14,$AI$10:$AL$100,4,FALSE()))=FALSE(),VLOOKUP(A14,$AI$10:$AL$100,4,FALSE()),0)</f>
        <v>0</v>
      </c>
      <c r="G14" s="818" t="n">
        <f aca="false">F14+E14</f>
        <v>0</v>
      </c>
      <c r="H14" s="819" t="n">
        <f aca="false">VLOOKUP(A14,NymexData!$S$12:$T$128,2)</f>
        <v>3.177</v>
      </c>
      <c r="I14" s="820" t="n">
        <f aca="false">IF($I$7=1,NymexData!AN16,NymexData!X16)</f>
        <v>-0</v>
      </c>
      <c r="J14" s="819" t="n">
        <f aca="false">IF($I$7=1,H14+I14,VLOOKUP(A14,NymexData!$AA$12:$AB$128,2))</f>
        <v>3.177</v>
      </c>
      <c r="K14" s="807" t="n">
        <f aca="false">B14*I14</f>
        <v>0</v>
      </c>
      <c r="L14" s="807" t="n">
        <f aca="false">C14*I14</f>
        <v>0</v>
      </c>
      <c r="M14" s="811" t="n">
        <f aca="false">E14*I14</f>
        <v>-0</v>
      </c>
      <c r="N14" s="807" t="n">
        <f aca="false">F14*I14</f>
        <v>-0</v>
      </c>
      <c r="O14" s="811" t="n">
        <f aca="false">SUM(K14:N14)</f>
        <v>0</v>
      </c>
      <c r="Q14" s="813" t="n">
        <f aca="false">TradeSum!S16/GencoPosn!J14*1000</f>
        <v>9149.0920578413</v>
      </c>
      <c r="R14" s="817" t="n">
        <f aca="false">A14</f>
        <v>37288</v>
      </c>
      <c r="S14" s="807" t="n">
        <f aca="false">IF(ISERROR(VLOOKUP(R14,$AA$10:$AH$100,5,FALSE()))+ISERROR(VLOOKUP(R14,$AA$10:$AH$100,6,FALSE()))=0,VLOOKUP(R14,$AA$10:$AH$100,5,FALSE())+VLOOKUP(R14,$AA$10:$AH$100,6,FALSE()),0)</f>
        <v>50090.4610848524</v>
      </c>
      <c r="T14" s="807" t="n">
        <f aca="false">IF(ISERROR(VLOOKUP(R14,$AA$10:$AH$100,7,FALSE()))=FALSE(),VLOOKUP(R14,$AA$10:$AH$100,7,FALSE()),0)</f>
        <v>-43982.1969175359</v>
      </c>
      <c r="U14" s="807" t="n">
        <f aca="false">IF(ISERROR(VLOOKUP(R14,$AA$10:$AH$100,8,FALSE()))=FALSE(),VLOOKUP(R14,$AA$10:$AH$100,8,FALSE()),0)</f>
        <v>14660.7323058453</v>
      </c>
      <c r="V14" s="807" t="n">
        <f aca="false">S14+T14+U14</f>
        <v>20768.9964731618</v>
      </c>
      <c r="W14" s="814" t="n">
        <f aca="false">[1]Cinergy!$F38</f>
        <v>-0.250000181652251</v>
      </c>
      <c r="X14" s="807" t="n">
        <f aca="false">S14*W14</f>
        <v>-12522.6243702581</v>
      </c>
      <c r="Y14" s="807" t="n">
        <f aca="false">T14*W14</f>
        <v>10995.557218849</v>
      </c>
      <c r="Z14" s="807" t="n">
        <f aca="false">U14*W14</f>
        <v>-3665.18573961634</v>
      </c>
      <c r="AA14" s="804" t="n">
        <v>36951</v>
      </c>
      <c r="AB14" s="815" t="n">
        <v>-138253.813639002</v>
      </c>
      <c r="AC14" s="815" t="n">
        <v>-229665.055924993</v>
      </c>
      <c r="AD14" s="815" t="n">
        <v>13822.3971</v>
      </c>
      <c r="AE14" s="815" t="n">
        <v>4230.47952404129</v>
      </c>
      <c r="AF14" s="815" t="n">
        <v>6534.94828645087</v>
      </c>
      <c r="AG14" s="815" t="n">
        <v>-51289.3050437319</v>
      </c>
      <c r="AH14" s="815" t="n">
        <v>51289.3050437319</v>
      </c>
      <c r="AI14" s="804" t="n">
        <v>36831</v>
      </c>
      <c r="AJ14" s="459" t="n">
        <v>0</v>
      </c>
      <c r="AK14" s="821" t="n">
        <v>0</v>
      </c>
      <c r="AL14" s="815" t="n">
        <v>0</v>
      </c>
      <c r="AM14" s="822" t="n">
        <f aca="false">+AA14</f>
        <v>36951</v>
      </c>
      <c r="AN14" s="815" t="n">
        <f aca="false">SUM(AG14:AH14)/TradeSum!CD15</f>
        <v>0</v>
      </c>
      <c r="AO14" s="815"/>
    </row>
    <row r="15" customFormat="false" ht="15" hidden="false" customHeight="false" outlineLevel="0" collapsed="false">
      <c r="A15" s="817" t="n">
        <f aca="false">IF($B$5=1,[1]Cinergy!$D39,[1]Cinergy!$D40)</f>
        <v>37316</v>
      </c>
      <c r="B15" s="807" t="n">
        <f aca="false">IF(ISERROR(VLOOKUP(A15,$AA$10:$AH$100,2,FALSE()))+ISERROR(VLOOKUP(A15,$AA$10:$AH$100,3,FALSE()))=0,VLOOKUP(A15,$AA$10:$AH$100,2,FALSE())+VLOOKUP(A15,$AA$10:$AH$100,3,FALSE()),0)</f>
        <v>-1080447.80365329</v>
      </c>
      <c r="C15" s="807" t="n">
        <f aca="false">IF(ISERROR(VLOOKUP(A15,$AA$10:$AH$100,4,FALSE()))=FALSE(),VLOOKUP(A15,$AA$10:$AH$100,4,FALSE()),0)</f>
        <v>-157149.239</v>
      </c>
      <c r="D15" s="818" t="n">
        <f aca="false">B15+C15</f>
        <v>-1237597.04265329</v>
      </c>
      <c r="E15" s="807" t="n">
        <f aca="false">IF(ISERROR(VLOOKUP(A15,$AI$10:$AL$100,2,FALSE()))+ISERROR(VLOOKUP(A15,$AI$10:$AL$100,3,FALSE()))=0,VLOOKUP(A15,$AI$10:$AL$100,2,FALSE())+VLOOKUP(A15,$AI$10:$AL$100,3,FALSE()),0)</f>
        <v>0</v>
      </c>
      <c r="F15" s="807" t="n">
        <f aca="false">IF(ISERROR(VLOOKUP(A15,$AI$10:$AL$100,4,FALSE()))=FALSE(),VLOOKUP(A15,$AI$10:$AL$100,4,FALSE()),0)</f>
        <v>0</v>
      </c>
      <c r="G15" s="818" t="n">
        <f aca="false">F15+E15</f>
        <v>0</v>
      </c>
      <c r="H15" s="819" t="n">
        <f aca="false">VLOOKUP(A15,NymexData!$S$12:$T$128,2)</f>
        <v>3.105</v>
      </c>
      <c r="I15" s="820" t="n">
        <f aca="false">IF($I$7=1,NymexData!AN17,NymexData!X17)</f>
        <v>0</v>
      </c>
      <c r="J15" s="819" t="n">
        <f aca="false">IF($I$7=1,H15+I15,VLOOKUP(A15,NymexData!$AA$12:$AB$128,2))</f>
        <v>3.105</v>
      </c>
      <c r="K15" s="807" t="n">
        <f aca="false">B15*I15</f>
        <v>-0</v>
      </c>
      <c r="L15" s="807" t="n">
        <f aca="false">C15*I15</f>
        <v>-0</v>
      </c>
      <c r="M15" s="811" t="n">
        <f aca="false">E15*I15</f>
        <v>0</v>
      </c>
      <c r="N15" s="807" t="n">
        <f aca="false">F15*I15</f>
        <v>0</v>
      </c>
      <c r="O15" s="811" t="n">
        <f aca="false">SUM(K15:N15)</f>
        <v>0</v>
      </c>
      <c r="Q15" s="813" t="n">
        <f aca="false">TradeSum!S17/GencoPosn!J15*1000</f>
        <v>8863.04896989351</v>
      </c>
      <c r="R15" s="817" t="n">
        <f aca="false">A15</f>
        <v>37316</v>
      </c>
      <c r="S15" s="807" t="n">
        <f aca="false">IF(ISERROR(VLOOKUP(R15,$AA$10:$AH$100,5,FALSE()))+ISERROR(VLOOKUP(R15,$AA$10:$AH$100,6,FALSE()))=0,VLOOKUP(R15,$AA$10:$AH$100,5,FALSE())+VLOOKUP(R15,$AA$10:$AH$100,6,FALSE()),0)</f>
        <v>28483.0620913234</v>
      </c>
      <c r="T15" s="807" t="n">
        <f aca="false">IF(ISERROR(VLOOKUP(R15,$AA$10:$AH$100,7,FALSE()))=FALSE(),VLOOKUP(R15,$AA$10:$AH$100,7,FALSE()),0)</f>
        <v>-30621.803715524</v>
      </c>
      <c r="U15" s="807" t="n">
        <f aca="false">IF(ISERROR(VLOOKUP(R15,$AA$10:$AH$100,8,FALSE()))=FALSE(),VLOOKUP(R15,$AA$10:$AH$100,8,FALSE()),0)</f>
        <v>15310.901857762</v>
      </c>
      <c r="V15" s="807" t="n">
        <f aca="false">S15+T15+U15</f>
        <v>13172.1602335614</v>
      </c>
      <c r="W15" s="814" t="n">
        <f aca="false">[1]Cinergy!$F39</f>
        <v>-0.25000070971112</v>
      </c>
      <c r="X15" s="807" t="n">
        <f aca="false">S15*W15</f>
        <v>-7120.78573757675</v>
      </c>
      <c r="Y15" s="807" t="n">
        <f aca="false">T15*W15</f>
        <v>7655.47266151561</v>
      </c>
      <c r="Z15" s="807" t="n">
        <f aca="false">U15*W15</f>
        <v>-3827.73633075781</v>
      </c>
      <c r="AA15" s="804" t="n">
        <v>36982</v>
      </c>
      <c r="AB15" s="815" t="n">
        <v>-39827.2598626738</v>
      </c>
      <c r="AC15" s="815" t="n">
        <v>-37256.0115310502</v>
      </c>
      <c r="AD15" s="815" t="n">
        <v>-571691.7004</v>
      </c>
      <c r="AE15" s="815" t="n">
        <v>7167.31433828553</v>
      </c>
      <c r="AF15" s="815" t="n">
        <v>6675.82694627172</v>
      </c>
      <c r="AG15" s="815" t="n">
        <v>-48696.5536405679</v>
      </c>
      <c r="AH15" s="815" t="n">
        <v>48696.553640568</v>
      </c>
      <c r="AI15" s="804" t="n">
        <v>36861</v>
      </c>
      <c r="AJ15" s="459" t="n">
        <v>0</v>
      </c>
      <c r="AK15" s="821" t="n">
        <v>0</v>
      </c>
      <c r="AL15" s="815" t="n">
        <v>0</v>
      </c>
      <c r="AM15" s="822" t="n">
        <f aca="false">+AA15</f>
        <v>36982</v>
      </c>
      <c r="AN15" s="815" t="n">
        <f aca="false">SUM(AG15:AH15)/TradeSum!CD16</f>
        <v>0</v>
      </c>
      <c r="AO15" s="815"/>
    </row>
    <row r="16" customFormat="false" ht="15" hidden="false" customHeight="false" outlineLevel="0" collapsed="false">
      <c r="A16" s="817" t="n">
        <f aca="false">IF($B$5=1,[1]Cinergy!$D40,[1]Cinergy!$D41)</f>
        <v>37347</v>
      </c>
      <c r="B16" s="807" t="n">
        <f aca="false">IF(ISERROR(VLOOKUP(A16,$AA$10:$AH$100,2,FALSE()))+ISERROR(VLOOKUP(A16,$AA$10:$AH$100,3,FALSE()))=0,VLOOKUP(A16,$AA$10:$AH$100,2,FALSE())+VLOOKUP(A16,$AA$10:$AH$100,3,FALSE()),0)</f>
        <v>-144309.664787794</v>
      </c>
      <c r="C16" s="807" t="n">
        <f aca="false">IF(ISERROR(VLOOKUP(A16,$AA$10:$AH$100,4,FALSE()))=FALSE(),VLOOKUP(A16,$AA$10:$AH$100,4,FALSE()),0)</f>
        <v>92152.1769</v>
      </c>
      <c r="D16" s="818" t="n">
        <f aca="false">B16+C16</f>
        <v>-52157.4878877944</v>
      </c>
      <c r="E16" s="807" t="n">
        <f aca="false">IF(ISERROR(VLOOKUP(A16,$AI$10:$AL$100,2,FALSE()))+ISERROR(VLOOKUP(A16,$AI$10:$AL$100,3,FALSE()))=0,VLOOKUP(A16,$AI$10:$AL$100,2,FALSE())+VLOOKUP(A16,$AI$10:$AL$100,3,FALSE()),0)</f>
        <v>0</v>
      </c>
      <c r="F16" s="807" t="n">
        <f aca="false">IF(ISERROR(VLOOKUP(A16,$AI$10:$AL$100,4,FALSE()))=FALSE(),VLOOKUP(A16,$AI$10:$AL$100,4,FALSE()),0)</f>
        <v>0</v>
      </c>
      <c r="G16" s="818" t="n">
        <f aca="false">F16+E16</f>
        <v>0</v>
      </c>
      <c r="H16" s="819" t="n">
        <f aca="false">VLOOKUP(A16,NymexData!$S$12:$T$128,2)</f>
        <v>3.012</v>
      </c>
      <c r="I16" s="820" t="n">
        <f aca="false">IF($I$7=1,NymexData!AN18,NymexData!X18)</f>
        <v>-0.01</v>
      </c>
      <c r="J16" s="819" t="n">
        <f aca="false">IF($I$7=1,H16+I16,VLOOKUP(A16,NymexData!$AA$12:$AB$128,2))</f>
        <v>3.002</v>
      </c>
      <c r="K16" s="807" t="n">
        <f aca="false">B16*I16</f>
        <v>1443.09664787794</v>
      </c>
      <c r="L16" s="807" t="n">
        <f aca="false">C16*I16</f>
        <v>-921.521769</v>
      </c>
      <c r="M16" s="811" t="n">
        <f aca="false">E16*I16</f>
        <v>-0</v>
      </c>
      <c r="N16" s="807" t="n">
        <f aca="false">F16*I16</f>
        <v>-0</v>
      </c>
      <c r="O16" s="811" t="n">
        <f aca="false">SUM(K16:N16)</f>
        <v>521.574878877944</v>
      </c>
      <c r="Q16" s="813" t="n">
        <f aca="false">TradeSum!S18/GencoPosn!J16*1000</f>
        <v>9317.04457510286</v>
      </c>
      <c r="R16" s="817" t="n">
        <f aca="false">A16</f>
        <v>37347</v>
      </c>
      <c r="S16" s="807" t="n">
        <f aca="false">IF(ISERROR(VLOOKUP(R16,$AA$10:$AH$100,5,FALSE()))+ISERROR(VLOOKUP(R16,$AA$10:$AH$100,6,FALSE()))=0,VLOOKUP(R16,$AA$10:$AH$100,5,FALSE())+VLOOKUP(R16,$AA$10:$AH$100,6,FALSE()),0)</f>
        <v>23725.3929108363</v>
      </c>
      <c r="T16" s="807" t="n">
        <f aca="false">IF(ISERROR(VLOOKUP(R16,$AA$10:$AH$100,7,FALSE()))=FALSE(),VLOOKUP(R16,$AA$10:$AH$100,7,FALSE()),0)</f>
        <v>-31913.328472238</v>
      </c>
      <c r="U16" s="807" t="n">
        <f aca="false">IF(ISERROR(VLOOKUP(R16,$AA$10:$AH$100,8,FALSE()))=FALSE(),VLOOKUP(R16,$AA$10:$AH$100,8,FALSE()),0)</f>
        <v>15956.664236119</v>
      </c>
      <c r="V16" s="807" t="n">
        <f aca="false">S16+T16+U16</f>
        <v>7768.7286747173</v>
      </c>
      <c r="W16" s="814" t="n">
        <f aca="false">[1]Cinergy!$F40</f>
        <v>-0.25000070971112</v>
      </c>
      <c r="X16" s="807" t="n">
        <f aca="false">S16*W16</f>
        <v>-5931.36506588425</v>
      </c>
      <c r="Y16" s="807" t="n">
        <f aca="false">T16*W16</f>
        <v>7978.3547673036</v>
      </c>
      <c r="Z16" s="807" t="n">
        <f aca="false">U16*W16</f>
        <v>-3989.1773836518</v>
      </c>
      <c r="AA16" s="804" t="n">
        <v>37012</v>
      </c>
      <c r="AB16" s="815" t="n">
        <v>-176314.433686018</v>
      </c>
      <c r="AC16" s="815" t="n">
        <v>-168519.007591892</v>
      </c>
      <c r="AD16" s="815" t="n">
        <v>-127432.9824</v>
      </c>
      <c r="AE16" s="815" t="n">
        <v>26613.7382031988</v>
      </c>
      <c r="AF16" s="815" t="n">
        <v>25796.3063687468</v>
      </c>
      <c r="AG16" s="815" t="n">
        <v>-50736.3625454269</v>
      </c>
      <c r="AH16" s="815" t="n">
        <v>-67648.4833939026</v>
      </c>
      <c r="AI16" s="804" t="n">
        <v>36892</v>
      </c>
      <c r="AJ16" s="459" t="n">
        <v>0</v>
      </c>
      <c r="AK16" s="821" t="n">
        <v>0</v>
      </c>
      <c r="AL16" s="815" t="n">
        <v>0</v>
      </c>
      <c r="AM16" s="822" t="n">
        <f aca="false">+AA16</f>
        <v>37012</v>
      </c>
      <c r="AN16" s="815" t="n">
        <f aca="false">SUM(AG16:AH16)/TradeSum!CD17</f>
        <v>-352.335851009909</v>
      </c>
      <c r="AO16" s="815"/>
    </row>
    <row r="17" customFormat="false" ht="15" hidden="false" customHeight="false" outlineLevel="0" collapsed="false">
      <c r="A17" s="817" t="n">
        <f aca="false">IF($B$5=1,[1]Cinergy!$D41,[1]Cinergy!$D42)</f>
        <v>37377</v>
      </c>
      <c r="B17" s="807" t="n">
        <f aca="false">IF(ISERROR(VLOOKUP(A17,$AA$10:$AH$100,2,FALSE()))+ISERROR(VLOOKUP(A17,$AA$10:$AH$100,3,FALSE()))=0,VLOOKUP(A17,$AA$10:$AH$100,2,FALSE())+VLOOKUP(A17,$AA$10:$AH$100,3,FALSE()),0)</f>
        <v>-329041.996000338</v>
      </c>
      <c r="C17" s="807" t="n">
        <f aca="false">IF(ISERROR(VLOOKUP(A17,$AA$10:$AH$100,4,FALSE()))=FALSE(),VLOOKUP(A17,$AA$10:$AH$100,4,FALSE()),0)</f>
        <v>55287.7966</v>
      </c>
      <c r="D17" s="818" t="n">
        <f aca="false">B17+C17</f>
        <v>-273754.199400338</v>
      </c>
      <c r="E17" s="807" t="n">
        <f aca="false">IF(ISERROR(VLOOKUP(A17,$AI$10:$AL$100,2,FALSE()))+ISERROR(VLOOKUP(A17,$AI$10:$AL$100,3,FALSE()))=0,VLOOKUP(A17,$AI$10:$AL$100,2,FALSE())+VLOOKUP(A17,$AI$10:$AL$100,3,FALSE()),0)</f>
        <v>0</v>
      </c>
      <c r="F17" s="807" t="n">
        <f aca="false">IF(ISERROR(VLOOKUP(A17,$AI$10:$AL$100,4,FALSE()))=FALSE(),VLOOKUP(A17,$AI$10:$AL$100,4,FALSE()),0)</f>
        <v>0</v>
      </c>
      <c r="G17" s="818" t="n">
        <f aca="false">F17+E17</f>
        <v>0</v>
      </c>
      <c r="H17" s="819" t="n">
        <f aca="false">VLOOKUP(A17,NymexData!$S$12:$T$128,2)</f>
        <v>3.035</v>
      </c>
      <c r="I17" s="820" t="n">
        <f aca="false">IF($I$7=1,NymexData!AN19,NymexData!X19)</f>
        <v>-0.01</v>
      </c>
      <c r="J17" s="819" t="n">
        <f aca="false">IF($I$7=1,H17+I17,VLOOKUP(A17,NymexData!$AA$12:$AB$128,2))</f>
        <v>3.025</v>
      </c>
      <c r="K17" s="807" t="n">
        <f aca="false">B17*I17</f>
        <v>3290.41996000338</v>
      </c>
      <c r="L17" s="807" t="n">
        <f aca="false">C17*I17</f>
        <v>-552.877966</v>
      </c>
      <c r="M17" s="811" t="n">
        <f aca="false">E17*I17</f>
        <v>-0</v>
      </c>
      <c r="N17" s="807" t="n">
        <f aca="false">F17*I17</f>
        <v>-0</v>
      </c>
      <c r="O17" s="811" t="n">
        <f aca="false">SUM(K17:N17)</f>
        <v>2737.54199400338</v>
      </c>
      <c r="Q17" s="813" t="n">
        <f aca="false">TradeSum!S19/GencoPosn!J17*1000</f>
        <v>10330.5785123967</v>
      </c>
      <c r="R17" s="817" t="n">
        <f aca="false">A17</f>
        <v>37377</v>
      </c>
      <c r="S17" s="807" t="n">
        <f aca="false">IF(ISERROR(VLOOKUP(R17,$AA$10:$AH$100,5,FALSE()))+ISERROR(VLOOKUP(R17,$AA$10:$AH$100,6,FALSE()))=0,VLOOKUP(R17,$AA$10:$AH$100,5,FALSE())+VLOOKUP(R17,$AA$10:$AH$100,6,FALSE()),0)</f>
        <v>49508.5140952036</v>
      </c>
      <c r="T17" s="807" t="n">
        <f aca="false">IF(ISERROR(VLOOKUP(R17,$AA$10:$AH$100,7,FALSE()))=FALSE(),VLOOKUP(R17,$AA$10:$AH$100,7,FALSE()),0)</f>
        <v>-31741.9044165134</v>
      </c>
      <c r="U17" s="807" t="n">
        <f aca="false">IF(ISERROR(VLOOKUP(R17,$AA$10:$AH$100,8,FALSE()))=FALSE(),VLOOKUP(R17,$AA$10:$AH$100,8,FALSE()),0)</f>
        <v>15870.9522082567</v>
      </c>
      <c r="V17" s="807" t="n">
        <f aca="false">S17+T17+U17</f>
        <v>33637.5618869469</v>
      </c>
      <c r="W17" s="814" t="n">
        <f aca="false">[1]Cinergy!$F41</f>
        <v>0</v>
      </c>
      <c r="X17" s="807" t="n">
        <f aca="false">S17*W17</f>
        <v>0</v>
      </c>
      <c r="Y17" s="807" t="n">
        <f aca="false">T17*W17</f>
        <v>-0</v>
      </c>
      <c r="Z17" s="807" t="n">
        <f aca="false">U17*W17</f>
        <v>0</v>
      </c>
      <c r="AA17" s="804" t="n">
        <v>37043</v>
      </c>
      <c r="AB17" s="815" t="n">
        <v>-631812.335324561</v>
      </c>
      <c r="AC17" s="815" t="n">
        <v>-764510.063310697</v>
      </c>
      <c r="AD17" s="815" t="n">
        <v>-25421.6921</v>
      </c>
      <c r="AE17" s="815" t="n">
        <v>107135.427912751</v>
      </c>
      <c r="AF17" s="815" t="n">
        <v>131875.94866919</v>
      </c>
      <c r="AG17" s="815" t="n">
        <v>-48175.3655238404</v>
      </c>
      <c r="AH17" s="815" t="n">
        <v>0</v>
      </c>
      <c r="AI17" s="804" t="n">
        <v>36923</v>
      </c>
      <c r="AJ17" s="459" t="n">
        <v>0</v>
      </c>
      <c r="AK17" s="821" t="n">
        <v>0</v>
      </c>
      <c r="AL17" s="815" t="n">
        <v>0</v>
      </c>
      <c r="AM17" s="822" t="n">
        <f aca="false">+AA17</f>
        <v>37043</v>
      </c>
      <c r="AN17" s="815" t="n">
        <f aca="false">SUM(AG17:AH17)/TradeSum!CD18</f>
        <v>-136.861833874547</v>
      </c>
      <c r="AO17" s="815"/>
    </row>
    <row r="18" customFormat="false" ht="15" hidden="false" customHeight="false" outlineLevel="0" collapsed="false">
      <c r="A18" s="817" t="n">
        <f aca="false">IF($B$5=1,[1]Cinergy!$D42,[1]Cinergy!$D43)</f>
        <v>37408</v>
      </c>
      <c r="B18" s="807" t="n">
        <f aca="false">IF(ISERROR(VLOOKUP(A18,$AA$10:$AH$100,2,FALSE()))+ISERROR(VLOOKUP(A18,$AA$10:$AH$100,3,FALSE()))=0,VLOOKUP(A18,$AA$10:$AH$100,2,FALSE())+VLOOKUP(A18,$AA$10:$AH$100,3,FALSE()),0)</f>
        <v>-1400921.83603888</v>
      </c>
      <c r="C18" s="807" t="n">
        <f aca="false">IF(ISERROR(VLOOKUP(A18,$AA$10:$AH$100,4,FALSE()))=FALSE(),VLOOKUP(A18,$AA$10:$AH$100,4,FALSE()),0)</f>
        <v>91181.0952</v>
      </c>
      <c r="D18" s="818" t="n">
        <f aca="false">B18+C18</f>
        <v>-1309740.74083888</v>
      </c>
      <c r="E18" s="807" t="n">
        <f aca="false">IF(ISERROR(VLOOKUP(A18,$AI$10:$AL$100,2,FALSE()))+ISERROR(VLOOKUP(A18,$AI$10:$AL$100,3,FALSE()))=0,VLOOKUP(A18,$AI$10:$AL$100,2,FALSE())+VLOOKUP(A18,$AI$10:$AL$100,3,FALSE()),0)</f>
        <v>0</v>
      </c>
      <c r="F18" s="807" t="n">
        <f aca="false">IF(ISERROR(VLOOKUP(A18,$AI$10:$AL$100,4,FALSE()))=FALSE(),VLOOKUP(A18,$AI$10:$AL$100,4,FALSE()),0)</f>
        <v>0</v>
      </c>
      <c r="G18" s="818" t="n">
        <f aca="false">F18+E18</f>
        <v>0</v>
      </c>
      <c r="H18" s="819" t="n">
        <f aca="false">VLOOKUP(A18,NymexData!$S$12:$T$128,2)</f>
        <v>3.07</v>
      </c>
      <c r="I18" s="820" t="n">
        <f aca="false">IF($I$7=1,NymexData!AN20,NymexData!X20)</f>
        <v>-0.01</v>
      </c>
      <c r="J18" s="819" t="n">
        <f aca="false">IF($I$7=1,H18+I18,VLOOKUP(A18,NymexData!$AA$12:$AB$128,2))</f>
        <v>3.06</v>
      </c>
      <c r="K18" s="807" t="n">
        <f aca="false">B18*I18</f>
        <v>14009.2183603888</v>
      </c>
      <c r="L18" s="807" t="n">
        <f aca="false">C18*I18</f>
        <v>-911.810952</v>
      </c>
      <c r="M18" s="811" t="n">
        <f aca="false">E18*I18</f>
        <v>-0</v>
      </c>
      <c r="N18" s="807" t="n">
        <f aca="false">F18*I18</f>
        <v>-0</v>
      </c>
      <c r="O18" s="811" t="n">
        <f aca="false">SUM(K18:N18)</f>
        <v>13097.4074083888</v>
      </c>
      <c r="Q18" s="813" t="n">
        <f aca="false">TradeSum!S20/GencoPosn!J18*1000</f>
        <v>13398.6928104575</v>
      </c>
      <c r="R18" s="817" t="n">
        <f aca="false">A18</f>
        <v>37408</v>
      </c>
      <c r="S18" s="807" t="n">
        <f aca="false">IF(ISERROR(VLOOKUP(R18,$AA$10:$AH$100,5,FALSE()))+ISERROR(VLOOKUP(R18,$AA$10:$AH$100,6,FALSE()))=0,VLOOKUP(R18,$AA$10:$AH$100,5,FALSE())+VLOOKUP(R18,$AA$10:$AH$100,6,FALSE()),0)</f>
        <v>209297.315440375</v>
      </c>
      <c r="T18" s="807" t="n">
        <f aca="false">IF(ISERROR(VLOOKUP(R18,$AA$10:$AH$100,7,FALSE()))=FALSE(),VLOOKUP(R18,$AA$10:$AH$100,7,FALSE()),0)</f>
        <v>-28705.4474671944</v>
      </c>
      <c r="U18" s="807" t="n">
        <f aca="false">IF(ISERROR(VLOOKUP(R18,$AA$10:$AH$100,8,FALSE()))=FALSE(),VLOOKUP(R18,$AA$10:$AH$100,8,FALSE()),0)</f>
        <v>-114821.789868777</v>
      </c>
      <c r="V18" s="807" t="n">
        <f aca="false">S18+T18+U18</f>
        <v>65770.0781044033</v>
      </c>
      <c r="W18" s="814" t="n">
        <f aca="false">[1]Cinergy!$F42</f>
        <v>-0.375</v>
      </c>
      <c r="X18" s="807" t="n">
        <f aca="false">S18*W18</f>
        <v>-78486.4932901405</v>
      </c>
      <c r="Y18" s="807" t="n">
        <f aca="false">T18*W18</f>
        <v>10764.5428001979</v>
      </c>
      <c r="Z18" s="807" t="n">
        <f aca="false">U18*W18</f>
        <v>43058.1712007914</v>
      </c>
      <c r="AA18" s="804" t="n">
        <v>37073</v>
      </c>
      <c r="AB18" s="815" t="n">
        <v>-974672.232176714</v>
      </c>
      <c r="AC18" s="815" t="n">
        <v>-1244570.2004726</v>
      </c>
      <c r="AD18" s="815" t="n">
        <v>507064.5672</v>
      </c>
      <c r="AE18" s="815" t="n">
        <v>128886.103889507</v>
      </c>
      <c r="AF18" s="815" t="n">
        <v>163716.169053365</v>
      </c>
      <c r="AG18" s="815" t="n">
        <v>-287492.117343283</v>
      </c>
      <c r="AH18" s="815" t="n">
        <v>47915.3528905473</v>
      </c>
      <c r="AI18" s="804" t="n">
        <v>36951</v>
      </c>
      <c r="AJ18" s="459" t="n">
        <v>0</v>
      </c>
      <c r="AK18" s="821" t="n">
        <v>0</v>
      </c>
      <c r="AL18" s="815" t="n">
        <v>0</v>
      </c>
      <c r="AM18" s="822" t="n">
        <f aca="false">+AA18</f>
        <v>37073</v>
      </c>
      <c r="AN18" s="815" t="n">
        <f aca="false">SUM(AG18:AH18)/TradeSum!CD19</f>
        <v>-680.615808104363</v>
      </c>
      <c r="AO18" s="815"/>
    </row>
    <row r="19" customFormat="false" ht="15" hidden="false" customHeight="false" outlineLevel="0" collapsed="false">
      <c r="A19" s="817" t="n">
        <f aca="false">IF($B$5=1,[1]Cinergy!$D43,[1]Cinergy!$D44)</f>
        <v>37438</v>
      </c>
      <c r="B19" s="807" t="n">
        <f aca="false">IF(ISERROR(VLOOKUP(A19,$AA$10:$AH$100,2,FALSE()))+ISERROR(VLOOKUP(A19,$AA$10:$AH$100,3,FALSE()))=0,VLOOKUP(A19,$AA$10:$AH$100,2,FALSE())+VLOOKUP(A19,$AA$10:$AH$100,3,FALSE()),0)</f>
        <v>-1894191.50822463</v>
      </c>
      <c r="C19" s="807" t="n">
        <f aca="false">IF(ISERROR(VLOOKUP(A19,$AA$10:$AH$100,4,FALSE()))=FALSE(),VLOOKUP(A19,$AA$10:$AH$100,4,FALSE()),0)</f>
        <v>54705.0813</v>
      </c>
      <c r="D19" s="818" t="n">
        <f aca="false">B19+C19</f>
        <v>-1839486.42692463</v>
      </c>
      <c r="E19" s="807" t="n">
        <f aca="false">IF(ISERROR(VLOOKUP(A19,$AI$10:$AL$100,2,FALSE()))+ISERROR(VLOOKUP(A19,$AI$10:$AL$100,3,FALSE()))=0,VLOOKUP(A19,$AI$10:$AL$100,2,FALSE())+VLOOKUP(A19,$AI$10:$AL$100,3,FALSE()),0)</f>
        <v>0</v>
      </c>
      <c r="F19" s="807" t="n">
        <f aca="false">IF(ISERROR(VLOOKUP(A19,$AI$10:$AL$100,4,FALSE()))=FALSE(),VLOOKUP(A19,$AI$10:$AL$100,4,FALSE()),0)</f>
        <v>0</v>
      </c>
      <c r="G19" s="818" t="n">
        <f aca="false">F19+E19</f>
        <v>0</v>
      </c>
      <c r="H19" s="819" t="n">
        <f aca="false">VLOOKUP(A19,NymexData!$S$12:$T$128,2)</f>
        <v>3.112</v>
      </c>
      <c r="I19" s="820" t="n">
        <f aca="false">IF($I$7=1,NymexData!AN21,NymexData!X21)</f>
        <v>0.023</v>
      </c>
      <c r="J19" s="819" t="n">
        <f aca="false">IF($I$7=1,H19+I19,VLOOKUP(A19,NymexData!$AA$12:$AB$128,2))</f>
        <v>3.135</v>
      </c>
      <c r="K19" s="807" t="n">
        <f aca="false">B19*I19</f>
        <v>-43566.4046891665</v>
      </c>
      <c r="L19" s="807" t="n">
        <f aca="false">C19*I19</f>
        <v>1258.2168699</v>
      </c>
      <c r="M19" s="811" t="n">
        <f aca="false">E19*I19</f>
        <v>0</v>
      </c>
      <c r="N19" s="807" t="n">
        <f aca="false">F19*I19</f>
        <v>0</v>
      </c>
      <c r="O19" s="811" t="n">
        <f aca="false">SUM(K19:N19)</f>
        <v>-42308.1878192665</v>
      </c>
      <c r="Q19" s="813" t="n">
        <f aca="false">TradeSum!S21/GencoPosn!J19*1000</f>
        <v>17503.9872408293</v>
      </c>
      <c r="R19" s="817" t="n">
        <f aca="false">A19</f>
        <v>37438</v>
      </c>
      <c r="S19" s="807" t="n">
        <f aca="false">IF(ISERROR(VLOOKUP(R19,$AA$10:$AH$100,5,FALSE()))+ISERROR(VLOOKUP(R19,$AA$10:$AH$100,6,FALSE()))=0,VLOOKUP(R19,$AA$10:$AH$100,5,FALSE())+VLOOKUP(R19,$AA$10:$AH$100,6,FALSE()),0)</f>
        <v>279917.296359042</v>
      </c>
      <c r="T19" s="807" t="n">
        <f aca="false">IF(ISERROR(VLOOKUP(R19,$AA$10:$AH$100,7,FALSE()))=FALSE(),VLOOKUP(R19,$AA$10:$AH$100,7,FALSE()),0)</f>
        <v>-235538.475064003</v>
      </c>
      <c r="U19" s="807" t="n">
        <f aca="false">IF(ISERROR(VLOOKUP(R19,$AA$10:$AH$100,8,FALSE()))=FALSE(),VLOOKUP(R19,$AA$10:$AH$100,8,FALSE()),0)</f>
        <v>78512.8250213345</v>
      </c>
      <c r="V19" s="807" t="n">
        <f aca="false">S19+T19+U19</f>
        <v>122891.646316374</v>
      </c>
      <c r="W19" s="814" t="n">
        <f aca="false">[1]Cinergy!$F43</f>
        <v>-0.5</v>
      </c>
      <c r="X19" s="807" t="n">
        <f aca="false">S19*W19</f>
        <v>-139958.648179521</v>
      </c>
      <c r="Y19" s="807" t="n">
        <f aca="false">T19*W19</f>
        <v>117769.237532002</v>
      </c>
      <c r="Z19" s="807" t="n">
        <f aca="false">U19*W19</f>
        <v>-39256.4125106673</v>
      </c>
      <c r="AA19" s="804" t="n">
        <v>37104</v>
      </c>
      <c r="AB19" s="815" t="n">
        <v>-1077041.77790498</v>
      </c>
      <c r="AC19" s="815" t="n">
        <v>-1375644.19785375</v>
      </c>
      <c r="AD19" s="815" t="n">
        <v>504313.5589</v>
      </c>
      <c r="AE19" s="815" t="n">
        <v>140499.748955095</v>
      </c>
      <c r="AF19" s="815" t="n">
        <v>178445.60733389</v>
      </c>
      <c r="AG19" s="815" t="n">
        <v>-313182.528406955</v>
      </c>
      <c r="AH19" s="815" t="n">
        <v>52197.0880678257</v>
      </c>
      <c r="AI19" s="804" t="n">
        <v>36982</v>
      </c>
      <c r="AJ19" s="459" t="n">
        <v>0</v>
      </c>
      <c r="AK19" s="821" t="n">
        <v>0</v>
      </c>
      <c r="AL19" s="815" t="n">
        <v>0</v>
      </c>
      <c r="AM19" s="822" t="n">
        <f aca="false">+AA19</f>
        <v>37104</v>
      </c>
      <c r="AN19" s="815" t="n">
        <f aca="false">SUM(AG19:AH19)/TradeSum!CD20</f>
        <v>-815.579501059779</v>
      </c>
      <c r="AO19" s="815"/>
    </row>
    <row r="20" customFormat="false" ht="15" hidden="false" customHeight="false" outlineLevel="0" collapsed="false">
      <c r="A20" s="817" t="n">
        <f aca="false">IF($B$5=1,[1]Cinergy!$D44,[1]Cinergy!$D45)</f>
        <v>37469</v>
      </c>
      <c r="B20" s="807" t="n">
        <f aca="false">IF(ISERROR(VLOOKUP(A20,$AA$10:$AH$100,2,FALSE()))+ISERROR(VLOOKUP(A20,$AA$10:$AH$100,3,FALSE()))=0,VLOOKUP(A20,$AA$10:$AH$100,2,FALSE())+VLOOKUP(A20,$AA$10:$AH$100,3,FALSE()),0)</f>
        <v>-1888509.61560209</v>
      </c>
      <c r="C20" s="807" t="n">
        <f aca="false">IF(ISERROR(VLOOKUP(A20,$AA$10:$AH$100,4,FALSE()))=FALSE(),VLOOKUP(A20,$AA$10:$AH$100,4,FALSE()),0)</f>
        <v>54408.8727</v>
      </c>
      <c r="D20" s="818" t="n">
        <f aca="false">B20+C20</f>
        <v>-1834100.74290209</v>
      </c>
      <c r="E20" s="807" t="n">
        <f aca="false">IF(ISERROR(VLOOKUP(A20,$AI$10:$AL$100,2,FALSE()))+ISERROR(VLOOKUP(A20,$AI$10:$AL$100,3,FALSE()))=0,VLOOKUP(A20,$AI$10:$AL$100,2,FALSE())+VLOOKUP(A20,$AI$10:$AL$100,3,FALSE()),0)</f>
        <v>0</v>
      </c>
      <c r="F20" s="807" t="n">
        <f aca="false">IF(ISERROR(VLOOKUP(A20,$AI$10:$AL$100,4,FALSE()))=FALSE(),VLOOKUP(A20,$AI$10:$AL$100,4,FALSE()),0)</f>
        <v>0</v>
      </c>
      <c r="G20" s="818" t="n">
        <f aca="false">F20+E20</f>
        <v>0</v>
      </c>
      <c r="H20" s="819" t="n">
        <f aca="false">VLOOKUP(A20,NymexData!$S$12:$T$128,2)</f>
        <v>3.147</v>
      </c>
      <c r="I20" s="820" t="n">
        <f aca="false">IF($I$7=1,NymexData!AN22,NymexData!X22)</f>
        <v>0.013</v>
      </c>
      <c r="J20" s="819" t="n">
        <f aca="false">IF($I$7=1,H20+I20,VLOOKUP(A20,NymexData!$AA$12:$AB$128,2))</f>
        <v>3.16</v>
      </c>
      <c r="K20" s="807" t="n">
        <f aca="false">B20*I20</f>
        <v>-24550.6250028272</v>
      </c>
      <c r="L20" s="807" t="n">
        <f aca="false">C20*I20</f>
        <v>707.3153451</v>
      </c>
      <c r="M20" s="811" t="n">
        <f aca="false">E20*I20</f>
        <v>0</v>
      </c>
      <c r="N20" s="807" t="n">
        <f aca="false">F20*I20</f>
        <v>0</v>
      </c>
      <c r="O20" s="811" t="n">
        <f aca="false">SUM(K20:N20)</f>
        <v>-23843.3096577272</v>
      </c>
      <c r="Q20" s="813" t="n">
        <f aca="false">TradeSum!S22/GencoPosn!J20*1000</f>
        <v>17365.5063291139</v>
      </c>
      <c r="R20" s="817" t="n">
        <f aca="false">A20</f>
        <v>37469</v>
      </c>
      <c r="S20" s="807" t="n">
        <f aca="false">IF(ISERROR(VLOOKUP(R20,$AA$10:$AH$100,5,FALSE()))+ISERROR(VLOOKUP(R20,$AA$10:$AH$100,6,FALSE()))=0,VLOOKUP(R20,$AA$10:$AH$100,5,FALSE())+VLOOKUP(R20,$AA$10:$AH$100,6,FALSE()),0)</f>
        <v>278318.040169369</v>
      </c>
      <c r="T20" s="807" t="n">
        <f aca="false">IF(ISERROR(VLOOKUP(R20,$AA$10:$AH$100,7,FALSE()))=FALSE(),VLOOKUP(R20,$AA$10:$AH$100,7,FALSE()),0)</f>
        <v>-234262.787123785</v>
      </c>
      <c r="U20" s="807" t="n">
        <f aca="false">IF(ISERROR(VLOOKUP(R20,$AA$10:$AH$100,8,FALSE()))=FALSE(),VLOOKUP(R20,$AA$10:$AH$100,8,FALSE()),0)</f>
        <v>78087.5957079281</v>
      </c>
      <c r="V20" s="807" t="n">
        <f aca="false">S20+T20+U20</f>
        <v>122142.848753512</v>
      </c>
      <c r="W20" s="814" t="n">
        <f aca="false">[1]Cinergy!$F44</f>
        <v>-0.5</v>
      </c>
      <c r="X20" s="807" t="n">
        <f aca="false">S20*W20</f>
        <v>-139159.020084685</v>
      </c>
      <c r="Y20" s="807" t="n">
        <f aca="false">T20*W20</f>
        <v>117131.393561893</v>
      </c>
      <c r="Z20" s="807" t="n">
        <f aca="false">U20*W20</f>
        <v>-39043.797853964</v>
      </c>
      <c r="AA20" s="804" t="n">
        <v>37135</v>
      </c>
      <c r="AB20" s="815" t="n">
        <v>-209149.788143363</v>
      </c>
      <c r="AC20" s="815" t="n">
        <v>-219279.192896497</v>
      </c>
      <c r="AD20" s="815" t="n">
        <v>-100986.8906</v>
      </c>
      <c r="AE20" s="815" t="n">
        <v>26634.7074269711</v>
      </c>
      <c r="AF20" s="815" t="n">
        <v>28282.8576070838</v>
      </c>
      <c r="AG20" s="815" t="n">
        <v>-42895.5520724994</v>
      </c>
      <c r="AH20" s="815" t="n">
        <v>-85791.1041449994</v>
      </c>
      <c r="AI20" s="804" t="n">
        <v>37012</v>
      </c>
      <c r="AJ20" s="459" t="n">
        <v>0</v>
      </c>
      <c r="AK20" s="821" t="n">
        <v>0</v>
      </c>
      <c r="AL20" s="815" t="n">
        <v>0</v>
      </c>
      <c r="AM20" s="822" t="n">
        <f aca="false">+AA20</f>
        <v>37135</v>
      </c>
      <c r="AN20" s="815" t="n">
        <f aca="false">SUM(AG20:AH20)/TradeSum!CD21</f>
        <v>-365.587091526985</v>
      </c>
      <c r="AO20" s="815"/>
    </row>
    <row r="21" customFormat="false" ht="15" hidden="false" customHeight="false" outlineLevel="0" collapsed="false">
      <c r="A21" s="817" t="n">
        <f aca="false">IF($B$5=1,[1]Cinergy!$D45,[1]Cinergy!$D46)</f>
        <v>37500</v>
      </c>
      <c r="B21" s="807" t="n">
        <f aca="false">IF(ISERROR(VLOOKUP(A21,$AA$10:$AH$100,2,FALSE()))+ISERROR(VLOOKUP(A21,$AA$10:$AH$100,3,FALSE()))=0,VLOOKUP(A21,$AA$10:$AH$100,2,FALSE())+VLOOKUP(A21,$AA$10:$AH$100,3,FALSE()),0)</f>
        <v>-524390.926573069</v>
      </c>
      <c r="C21" s="807" t="n">
        <f aca="false">IF(ISERROR(VLOOKUP(A21,$AA$10:$AH$100,4,FALSE()))=FALSE(),VLOOKUP(A21,$AA$10:$AH$100,4,FALSE()),0)</f>
        <v>89727.4045</v>
      </c>
      <c r="D21" s="818" t="n">
        <f aca="false">B21+C21</f>
        <v>-434663.522073069</v>
      </c>
      <c r="E21" s="807" t="n">
        <f aca="false">IF(ISERROR(VLOOKUP(A21,$AI$10:$AL$100,2,FALSE()))+ISERROR(VLOOKUP(A21,$AI$10:$AL$100,3,FALSE()))=0,VLOOKUP(A21,$AI$10:$AL$100,2,FALSE())+VLOOKUP(A21,$AI$10:$AL$100,3,FALSE()),0)</f>
        <v>0</v>
      </c>
      <c r="F21" s="807" t="n">
        <f aca="false">IF(ISERROR(VLOOKUP(A21,$AI$10:$AL$100,4,FALSE()))=FALSE(),VLOOKUP(A21,$AI$10:$AL$100,4,FALSE()),0)</f>
        <v>0</v>
      </c>
      <c r="G21" s="818" t="n">
        <f aca="false">F21+E21</f>
        <v>0</v>
      </c>
      <c r="H21" s="819" t="n">
        <f aca="false">VLOOKUP(A21,NymexData!$S$12:$T$128,2)</f>
        <v>3.146</v>
      </c>
      <c r="I21" s="820" t="n">
        <f aca="false">IF($I$7=1,NymexData!AN23,NymexData!X23)</f>
        <v>0.004</v>
      </c>
      <c r="J21" s="819" t="n">
        <f aca="false">IF($I$7=1,H21+I21,VLOOKUP(A21,NymexData!$AA$12:$AB$128,2))</f>
        <v>3.15</v>
      </c>
      <c r="K21" s="807" t="n">
        <f aca="false">B21*I21</f>
        <v>-2097.56370629228</v>
      </c>
      <c r="L21" s="807" t="n">
        <f aca="false">C21*I21</f>
        <v>358.909618</v>
      </c>
      <c r="M21" s="811" t="n">
        <f aca="false">E21*I21</f>
        <v>0</v>
      </c>
      <c r="N21" s="807" t="n">
        <f aca="false">F21*I21</f>
        <v>0</v>
      </c>
      <c r="O21" s="811" t="n">
        <f aca="false">SUM(K21:N21)</f>
        <v>-1738.65408829228</v>
      </c>
      <c r="Q21" s="813" t="n">
        <f aca="false">TradeSum!S23/GencoPosn!J21*1000</f>
        <v>8968.25396825397</v>
      </c>
      <c r="R21" s="817" t="n">
        <f aca="false">A21</f>
        <v>37500</v>
      </c>
      <c r="S21" s="807" t="n">
        <f aca="false">IF(ISERROR(VLOOKUP(R21,$AA$10:$AH$100,5,FALSE()))+ISERROR(VLOOKUP(R21,$AA$10:$AH$100,6,FALSE()))=0,VLOOKUP(R21,$AA$10:$AH$100,5,FALSE())+VLOOKUP(R21,$AA$10:$AH$100,6,FALSE()),0)</f>
        <v>65853.0586030434</v>
      </c>
      <c r="T21" s="807" t="n">
        <f aca="false">IF(ISERROR(VLOOKUP(R21,$AA$10:$AH$100,7,FALSE()))=FALSE(),VLOOKUP(R21,$AA$10:$AH$100,7,FALSE()),0)</f>
        <v>-28246.1448278163</v>
      </c>
      <c r="U21" s="807" t="n">
        <f aca="false">IF(ISERROR(VLOOKUP(R21,$AA$10:$AH$100,8,FALSE()))=FALSE(),VLOOKUP(R21,$AA$10:$AH$100,8,FALSE()),0)</f>
        <v>14123.0724139082</v>
      </c>
      <c r="V21" s="807" t="n">
        <f aca="false">S21+T21+U21</f>
        <v>51729.9861891353</v>
      </c>
      <c r="W21" s="814" t="n">
        <f aca="false">[1]Cinergy!$F45</f>
        <v>0</v>
      </c>
      <c r="X21" s="807" t="n">
        <f aca="false">S21*W21</f>
        <v>0</v>
      </c>
      <c r="Y21" s="807" t="n">
        <f aca="false">T21*W21</f>
        <v>-0</v>
      </c>
      <c r="Z21" s="807" t="n">
        <f aca="false">U21*W21</f>
        <v>0</v>
      </c>
      <c r="AA21" s="804" t="n">
        <v>37165</v>
      </c>
      <c r="AB21" s="815" t="n">
        <v>-15106.319215688</v>
      </c>
      <c r="AC21" s="815" t="n">
        <v>-11634.764899682</v>
      </c>
      <c r="AD21" s="815" t="n">
        <v>-199635.8355</v>
      </c>
      <c r="AE21" s="815" t="n">
        <v>2657.49366428759</v>
      </c>
      <c r="AF21" s="815" t="n">
        <v>2087.21432632439</v>
      </c>
      <c r="AG21" s="815" t="n">
        <v>-51648.6897167074</v>
      </c>
      <c r="AH21" s="815" t="n">
        <v>51648.6897167073</v>
      </c>
      <c r="AI21" s="804" t="n">
        <v>37043</v>
      </c>
      <c r="AJ21" s="459" t="n">
        <v>0</v>
      </c>
      <c r="AK21" s="821" t="n">
        <v>0</v>
      </c>
      <c r="AL21" s="815" t="n">
        <v>0</v>
      </c>
      <c r="AM21" s="822" t="n">
        <f aca="false">+AA21</f>
        <v>37165</v>
      </c>
      <c r="AN21" s="815" t="n">
        <f aca="false">SUM(AG21:AH21)/TradeSum!CD22</f>
        <v>0</v>
      </c>
      <c r="AO21" s="815"/>
    </row>
    <row r="22" customFormat="false" ht="15" hidden="false" customHeight="false" outlineLevel="0" collapsed="false">
      <c r="A22" s="817" t="n">
        <f aca="false">IF($B$5=1,[1]Cinergy!$D46,[1]Cinergy!$D47)</f>
        <v>37530</v>
      </c>
      <c r="B22" s="807" t="n">
        <f aca="false">IF(ISERROR(VLOOKUP(A22,$AA$10:$AH$100,2,FALSE()))+ISERROR(VLOOKUP(A22,$AA$10:$AH$100,3,FALSE()))=0,VLOOKUP(A22,$AA$10:$AH$100,2,FALSE())+VLOOKUP(A22,$AA$10:$AH$100,3,FALSE()),0)</f>
        <v>-67066.3686580045</v>
      </c>
      <c r="C22" s="807" t="n">
        <f aca="false">IF(ISERROR(VLOOKUP(A22,$AA$10:$AH$100,4,FALSE()))=FALSE(),VLOOKUP(A22,$AA$10:$AH$100,4,FALSE()),0)</f>
        <v>53830.6662</v>
      </c>
      <c r="D22" s="818" t="n">
        <f aca="false">B22+C22</f>
        <v>-13235.7024580045</v>
      </c>
      <c r="E22" s="807" t="n">
        <f aca="false">IF(ISERROR(VLOOKUP(A22,$AI$10:$AL$100,2,FALSE()))+ISERROR(VLOOKUP(A22,$AI$10:$AL$100,3,FALSE()))=0,VLOOKUP(A22,$AI$10:$AL$100,2,FALSE())+VLOOKUP(A22,$AI$10:$AL$100,3,FALSE()),0)</f>
        <v>0</v>
      </c>
      <c r="F22" s="807" t="n">
        <f aca="false">IF(ISERROR(VLOOKUP(A22,$AI$10:$AL$100,4,FALSE()))=FALSE(),VLOOKUP(A22,$AI$10:$AL$100,4,FALSE()),0)</f>
        <v>0</v>
      </c>
      <c r="G22" s="818" t="n">
        <f aca="false">F22+E22</f>
        <v>0</v>
      </c>
      <c r="H22" s="819" t="n">
        <f aca="false">VLOOKUP(A22,NymexData!$S$12:$T$128,2)</f>
        <v>3.157</v>
      </c>
      <c r="I22" s="820" t="n">
        <f aca="false">IF($I$7=1,NymexData!AN24,NymexData!X24)</f>
        <v>-0</v>
      </c>
      <c r="J22" s="819" t="n">
        <f aca="false">IF($I$7=1,H22+I22,VLOOKUP(A22,NymexData!$AA$12:$AB$128,2))</f>
        <v>3.157</v>
      </c>
      <c r="K22" s="807" t="n">
        <f aca="false">B22*I22</f>
        <v>0</v>
      </c>
      <c r="L22" s="807" t="n">
        <f aca="false">C22*I22</f>
        <v>-0</v>
      </c>
      <c r="M22" s="811" t="n">
        <f aca="false">E22*I22</f>
        <v>-0</v>
      </c>
      <c r="N22" s="807" t="n">
        <f aca="false">F22*I22</f>
        <v>-0</v>
      </c>
      <c r="O22" s="811" t="n">
        <f aca="false">SUM(K22:N22)</f>
        <v>0</v>
      </c>
      <c r="Q22" s="813" t="n">
        <f aca="false">TradeSum!S24/GencoPosn!J22*1000</f>
        <v>9124.56423525649</v>
      </c>
      <c r="R22" s="817" t="n">
        <f aca="false">A22</f>
        <v>37530</v>
      </c>
      <c r="S22" s="807" t="n">
        <f aca="false">IF(ISERROR(VLOOKUP(R22,$AA$10:$AH$100,5,FALSE()))+ISERROR(VLOOKUP(R22,$AA$10:$AH$100,6,FALSE()))=0,VLOOKUP(R22,$AA$10:$AH$100,5,FALSE())+VLOOKUP(R22,$AA$10:$AH$100,6,FALSE()),0)</f>
        <v>11297.5311604914</v>
      </c>
      <c r="T22" s="807" t="n">
        <f aca="false">IF(ISERROR(VLOOKUP(R22,$AA$10:$AH$100,7,FALSE()))=FALSE(),VLOOKUP(R22,$AA$10:$AH$100,7,FALSE()),0)</f>
        <v>-32306.3194767414</v>
      </c>
      <c r="U22" s="807" t="n">
        <f aca="false">IF(ISERROR(VLOOKUP(R22,$AA$10:$AH$100,8,FALSE()))=FALSE(),VLOOKUP(R22,$AA$10:$AH$100,8,FALSE()),0)</f>
        <v>16153.1597383707</v>
      </c>
      <c r="V22" s="807" t="n">
        <f aca="false">S22+T22+U22</f>
        <v>-4855.62857787929</v>
      </c>
      <c r="W22" s="814" t="n">
        <f aca="false">[1]Cinergy!$F46</f>
        <v>-3.27825546264648E-007</v>
      </c>
      <c r="X22" s="807" t="n">
        <f aca="false">S22*W22</f>
        <v>-0.00370361932412998</v>
      </c>
      <c r="Y22" s="807" t="n">
        <f aca="false">T22*W22</f>
        <v>0.010590836830263</v>
      </c>
      <c r="Z22" s="807" t="n">
        <f aca="false">U22*W22</f>
        <v>-0.0052954184151315</v>
      </c>
      <c r="AA22" s="804" t="n">
        <v>37196</v>
      </c>
      <c r="AB22" s="815" t="n">
        <v>-589059.245128053</v>
      </c>
      <c r="AC22" s="815" t="n">
        <v>-1008325.29035498</v>
      </c>
      <c r="AD22" s="815" t="n">
        <v>12651.3854</v>
      </c>
      <c r="AE22" s="815" t="n">
        <v>10204.7928927605</v>
      </c>
      <c r="AF22" s="815" t="n">
        <v>16151.7219122027</v>
      </c>
      <c r="AG22" s="815" t="n">
        <v>-46913.4273440682</v>
      </c>
      <c r="AH22" s="815" t="n">
        <v>46913.4273440682</v>
      </c>
      <c r="AI22" s="804" t="n">
        <v>37073</v>
      </c>
      <c r="AJ22" s="459" t="n">
        <v>0</v>
      </c>
      <c r="AK22" s="821" t="n">
        <v>0</v>
      </c>
      <c r="AL22" s="815" t="n">
        <v>0</v>
      </c>
      <c r="AM22" s="822" t="n">
        <f aca="false">+AA22</f>
        <v>37196</v>
      </c>
      <c r="AN22" s="815" t="n">
        <f aca="false">SUM(AG22:AH22)/TradeSum!CD23</f>
        <v>0</v>
      </c>
      <c r="AO22" s="815"/>
    </row>
    <row r="23" customFormat="false" ht="15" hidden="false" customHeight="false" outlineLevel="0" collapsed="false">
      <c r="A23" s="817" t="n">
        <f aca="false">IF($B$5=1,[1]Cinergy!$D47,[1]Cinergy!$D48)</f>
        <v>37561</v>
      </c>
      <c r="B23" s="807" t="n">
        <f aca="false">IF(ISERROR(VLOOKUP(A23,$AA$10:$AH$100,2,FALSE()))+ISERROR(VLOOKUP(A23,$AA$10:$AH$100,3,FALSE()))=0,VLOOKUP(A23,$AA$10:$AH$100,2,FALSE())+VLOOKUP(A23,$AA$10:$AH$100,3,FALSE()),0)</f>
        <v>-2095538.17048601</v>
      </c>
      <c r="C23" s="807" t="n">
        <f aca="false">IF(ISERROR(VLOOKUP(A23,$AA$10:$AH$100,4,FALSE()))=FALSE(),VLOOKUP(A23,$AA$10:$AH$100,4,FALSE()),0)</f>
        <v>12387.1055</v>
      </c>
      <c r="D23" s="818" t="n">
        <f aca="false">B23+C23</f>
        <v>-2083151.06498601</v>
      </c>
      <c r="E23" s="807" t="n">
        <f aca="false">IF(ISERROR(VLOOKUP(A23,$AI$10:$AL$100,2,FALSE()))+ISERROR(VLOOKUP(A23,$AI$10:$AL$100,3,FALSE()))=0,VLOOKUP(A23,$AI$10:$AL$100,2,FALSE())+VLOOKUP(A23,$AI$10:$AL$100,3,FALSE()),0)</f>
        <v>0</v>
      </c>
      <c r="F23" s="807" t="n">
        <f aca="false">IF(ISERROR(VLOOKUP(A23,$AI$10:$AL$100,4,FALSE()))=FALSE(),VLOOKUP(A23,$AI$10:$AL$100,4,FALSE()),0)</f>
        <v>0</v>
      </c>
      <c r="G23" s="818" t="n">
        <f aca="false">F23+E23</f>
        <v>0</v>
      </c>
      <c r="H23" s="819" t="n">
        <f aca="false">VLOOKUP(A23,NymexData!$S$12:$T$128,2)</f>
        <v>3.317</v>
      </c>
      <c r="I23" s="820" t="n">
        <f aca="false">IF($I$7=1,NymexData!AN25,NymexData!X25)</f>
        <v>0.019</v>
      </c>
      <c r="J23" s="819" t="n">
        <f aca="false">IF($I$7=1,H23+I23,VLOOKUP(A23,NymexData!$AA$12:$AB$128,2))</f>
        <v>3.336</v>
      </c>
      <c r="K23" s="807" t="n">
        <f aca="false">B23*I23</f>
        <v>-39815.2252392342</v>
      </c>
      <c r="L23" s="807" t="n">
        <f aca="false">C23*I23</f>
        <v>235.3550045</v>
      </c>
      <c r="M23" s="811" t="n">
        <f aca="false">E23*I23</f>
        <v>0</v>
      </c>
      <c r="N23" s="807" t="n">
        <f aca="false">F23*I23</f>
        <v>0</v>
      </c>
      <c r="O23" s="811" t="n">
        <f aca="false">SUM(K23:N23)</f>
        <v>-39579.8702347342</v>
      </c>
      <c r="Q23" s="813" t="n">
        <f aca="false">TradeSum!S25/GencoPosn!J23*1000</f>
        <v>8694.91965257578</v>
      </c>
      <c r="R23" s="817" t="n">
        <f aca="false">A23</f>
        <v>37561</v>
      </c>
      <c r="S23" s="807" t="n">
        <f aca="false">IF(ISERROR(VLOOKUP(R23,$AA$10:$AH$100,5,FALSE()))+ISERROR(VLOOKUP(R23,$AA$10:$AH$100,6,FALSE()))=0,VLOOKUP(R23,$AA$10:$AH$100,5,FALSE())+VLOOKUP(R23,$AA$10:$AH$100,6,FALSE()),0)</f>
        <v>35419.9641031814</v>
      </c>
      <c r="T23" s="807" t="n">
        <f aca="false">IF(ISERROR(VLOOKUP(R23,$AA$10:$AH$100,7,FALSE()))=FALSE(),VLOOKUP(R23,$AA$10:$AH$100,7,FALSE()),0)</f>
        <v>-27943.8820693333</v>
      </c>
      <c r="U23" s="807" t="n">
        <f aca="false">IF(ISERROR(VLOOKUP(R23,$AA$10:$AH$100,8,FALSE()))=FALSE(),VLOOKUP(R23,$AA$10:$AH$100,8,FALSE()),0)</f>
        <v>13971.9410346666</v>
      </c>
      <c r="V23" s="807" t="n">
        <f aca="false">S23+T23+U23</f>
        <v>21448.0230685147</v>
      </c>
      <c r="W23" s="814" t="n">
        <f aca="false">[1]Cinergy!$F47</f>
        <v>-3.27825546264648E-007</v>
      </c>
      <c r="X23" s="807" t="n">
        <f aca="false">S23*W23</f>
        <v>-0.0116115690807997</v>
      </c>
      <c r="Y23" s="807" t="n">
        <f aca="false">T23*W23</f>
        <v>0.0091607184041341</v>
      </c>
      <c r="Z23" s="807" t="n">
        <f aca="false">U23*W23</f>
        <v>-0.00458035920206704</v>
      </c>
      <c r="AA23" s="804" t="n">
        <v>37226</v>
      </c>
      <c r="AB23" s="815" t="n">
        <v>-289430.517315885</v>
      </c>
      <c r="AC23" s="815" t="n">
        <v>-545858.704265082</v>
      </c>
      <c r="AD23" s="815" t="n">
        <v>-20100.2165</v>
      </c>
      <c r="AE23" s="815" t="n">
        <v>7130.64669269255</v>
      </c>
      <c r="AF23" s="815" t="n">
        <v>12373.4045394846</v>
      </c>
      <c r="AG23" s="815" t="n">
        <v>-44438.3979714829</v>
      </c>
      <c r="AH23" s="815" t="n">
        <v>44438.3979714828</v>
      </c>
      <c r="AI23" s="804" t="n">
        <v>37104</v>
      </c>
      <c r="AJ23" s="459" t="n">
        <v>0</v>
      </c>
      <c r="AK23" s="821" t="n">
        <v>0</v>
      </c>
      <c r="AL23" s="815" t="n">
        <v>0</v>
      </c>
      <c r="AM23" s="822" t="n">
        <f aca="false">+AA23</f>
        <v>37226</v>
      </c>
      <c r="AN23" s="815" t="n">
        <f aca="false">SUM(AG23:AH23)/TradeSum!CD24</f>
        <v>0</v>
      </c>
      <c r="AO23" s="815"/>
    </row>
    <row r="24" customFormat="false" ht="15" hidden="false" customHeight="false" outlineLevel="0" collapsed="false">
      <c r="A24" s="817" t="n">
        <f aca="false">IF($B$5=1,[1]Cinergy!$D48,[1]Cinergy!$D49)</f>
        <v>37591</v>
      </c>
      <c r="B24" s="807" t="n">
        <f aca="false">IF(ISERROR(VLOOKUP(A24,$AA$10:$AH$100,2,FALSE()))+ISERROR(VLOOKUP(A24,$AA$10:$AH$100,3,FALSE()))=0,VLOOKUP(A24,$AA$10:$AH$100,2,FALSE())+VLOOKUP(A24,$AA$10:$AH$100,3,FALSE()),0)</f>
        <v>-1283533.61510804</v>
      </c>
      <c r="C24" s="807" t="n">
        <f aca="false">IF(ISERROR(VLOOKUP(A24,$AA$10:$AH$100,4,FALSE()))=FALSE(),VLOOKUP(A24,$AA$10:$AH$100,4,FALSE()),0)</f>
        <v>-13963.8647</v>
      </c>
      <c r="D24" s="818" t="n">
        <f aca="false">B24+C24</f>
        <v>-1297497.47980804</v>
      </c>
      <c r="E24" s="807" t="n">
        <f aca="false">IF(ISERROR(VLOOKUP(A24,$AI$10:$AL$100,2,FALSE()))+ISERROR(VLOOKUP(A24,$AI$10:$AL$100,3,FALSE()))=0,VLOOKUP(A24,$AI$10:$AL$100,2,FALSE())+VLOOKUP(A24,$AI$10:$AL$100,3,FALSE()),0)</f>
        <v>0</v>
      </c>
      <c r="F24" s="807" t="n">
        <f aca="false">IF(ISERROR(VLOOKUP(A24,$AI$10:$AL$100,4,FALSE()))=FALSE(),VLOOKUP(A24,$AI$10:$AL$100,4,FALSE()),0)</f>
        <v>0</v>
      </c>
      <c r="G24" s="818" t="n">
        <f aca="false">F24+E24</f>
        <v>0</v>
      </c>
      <c r="H24" s="819" t="n">
        <f aca="false">VLOOKUP(A24,NymexData!$S$12:$T$128,2)</f>
        <v>3.478</v>
      </c>
      <c r="I24" s="820" t="n">
        <f aca="false">IF($I$7=1,NymexData!AN26,NymexData!X26)</f>
        <v>0.01</v>
      </c>
      <c r="J24" s="819" t="n">
        <f aca="false">IF($I$7=1,H24+I24,VLOOKUP(A24,NymexData!$AA$12:$AB$128,2))</f>
        <v>3.488</v>
      </c>
      <c r="K24" s="807" t="n">
        <f aca="false">B24*I24</f>
        <v>-12835.3361510804</v>
      </c>
      <c r="L24" s="807" t="n">
        <f aca="false">C24*I24</f>
        <v>-139.638647</v>
      </c>
      <c r="M24" s="811" t="n">
        <f aca="false">E24*I24</f>
        <v>0</v>
      </c>
      <c r="N24" s="807" t="n">
        <f aca="false">F24*I24</f>
        <v>0</v>
      </c>
      <c r="O24" s="811" t="n">
        <f aca="false">SUM(K24:N24)</f>
        <v>-12974.9747980804</v>
      </c>
      <c r="Q24" s="813" t="n">
        <f aca="false">TradeSum!S26/GencoPosn!J24*1000</f>
        <v>8373.35117810636</v>
      </c>
      <c r="R24" s="817" t="n">
        <f aca="false">A24</f>
        <v>37591</v>
      </c>
      <c r="S24" s="807" t="n">
        <f aca="false">IF(ISERROR(VLOOKUP(R24,$AA$10:$AH$100,5,FALSE()))+ISERROR(VLOOKUP(R24,$AA$10:$AH$100,6,FALSE()))=0,VLOOKUP(R24,$AA$10:$AH$100,5,FALSE())+VLOOKUP(R24,$AA$10:$AH$100,6,FALSE()),0)</f>
        <v>29127.5540034119</v>
      </c>
      <c r="T24" s="807" t="n">
        <f aca="false">IF(ISERROR(VLOOKUP(R24,$AA$10:$AH$100,7,FALSE()))=FALSE(),VLOOKUP(R24,$AA$10:$AH$100,7,FALSE()),0)</f>
        <v>-29179.3987147278</v>
      </c>
      <c r="U24" s="807" t="n">
        <f aca="false">IF(ISERROR(VLOOKUP(R24,$AA$10:$AH$100,8,FALSE()))=FALSE(),VLOOKUP(R24,$AA$10:$AH$100,8,FALSE()),0)</f>
        <v>14589.6993573639</v>
      </c>
      <c r="V24" s="807" t="n">
        <f aca="false">S24+T24+U24</f>
        <v>14537.854646048</v>
      </c>
      <c r="W24" s="814" t="n">
        <f aca="false">[1]Cinergy!$F48</f>
        <v>-3.27825546264648E-007</v>
      </c>
      <c r="X24" s="807" t="n">
        <f aca="false">S24*W24</f>
        <v>-0.00954875630252156</v>
      </c>
      <c r="Y24" s="807" t="n">
        <f aca="false">T24*W24</f>
        <v>0.00956575232332962</v>
      </c>
      <c r="Z24" s="807" t="n">
        <f aca="false">U24*W24</f>
        <v>-0.00478287616166481</v>
      </c>
      <c r="AA24" s="804" t="n">
        <v>37257</v>
      </c>
      <c r="AB24" s="815" t="n">
        <v>-685808.710200205</v>
      </c>
      <c r="AC24" s="815" t="n">
        <v>-1180661.13821228</v>
      </c>
      <c r="AD24" s="815" t="n">
        <v>-158781.8206</v>
      </c>
      <c r="AE24" s="815" t="n">
        <v>19360.1675482629</v>
      </c>
      <c r="AF24" s="815" t="n">
        <v>30735.6945992222</v>
      </c>
      <c r="AG24" s="815" t="n">
        <v>-48617.6062307807</v>
      </c>
      <c r="AH24" s="815" t="n">
        <v>16205.8687435936</v>
      </c>
      <c r="AI24" s="804" t="n">
        <v>37135</v>
      </c>
      <c r="AJ24" s="459" t="n">
        <v>0</v>
      </c>
      <c r="AK24" s="821" t="n">
        <v>0</v>
      </c>
      <c r="AL24" s="815" t="n">
        <v>0</v>
      </c>
      <c r="AM24" s="822" t="n">
        <f aca="false">+AA24</f>
        <v>37257</v>
      </c>
      <c r="AN24" s="815" t="n">
        <f aca="false">SUM(AG24:AH24)/TradeSum!CD25</f>
        <v>-101.28667964746</v>
      </c>
      <c r="AO24" s="815"/>
    </row>
    <row r="25" customFormat="false" ht="15" hidden="false" customHeight="false" outlineLevel="0" collapsed="false">
      <c r="A25" s="817" t="n">
        <f aca="false">IF($B$5=1,[1]Cinergy!$D49,[1]Cinergy!$D50)</f>
        <v>37622</v>
      </c>
      <c r="B25" s="807" t="n">
        <f aca="false">IF(ISERROR(VLOOKUP(A25,$AA$10:$AH$100,2,FALSE()))+ISERROR(VLOOKUP(A25,$AA$10:$AH$100,3,FALSE()))=0,VLOOKUP(A25,$AA$10:$AH$100,2,FALSE())+VLOOKUP(A25,$AA$10:$AH$100,3,FALSE()),0)</f>
        <v>-2463780.50011827</v>
      </c>
      <c r="C25" s="807" t="n">
        <f aca="false">IF(ISERROR(VLOOKUP(A25,$AA$10:$AH$100,4,FALSE()))=FALSE(),VLOOKUP(A25,$AA$10:$AH$100,4,FALSE()),0)</f>
        <v>0</v>
      </c>
      <c r="D25" s="818" t="n">
        <f aca="false">B25+C25</f>
        <v>-2463780.50011827</v>
      </c>
      <c r="E25" s="807" t="n">
        <f aca="false">IF(ISERROR(VLOOKUP(A25,$AI$10:$AL$100,2,FALSE()))+ISERROR(VLOOKUP(A25,$AI$10:$AL$100,3,FALSE()))=0,VLOOKUP(A25,$AI$10:$AL$100,2,FALSE())+VLOOKUP(A25,$AI$10:$AL$100,3,FALSE()),0)</f>
        <v>0</v>
      </c>
      <c r="F25" s="807" t="n">
        <f aca="false">IF(ISERROR(VLOOKUP(A25,$AI$10:$AL$100,4,FALSE()))=FALSE(),VLOOKUP(A25,$AI$10:$AL$100,4,FALSE()),0)</f>
        <v>0</v>
      </c>
      <c r="G25" s="818" t="n">
        <f aca="false">F25+E25</f>
        <v>0</v>
      </c>
      <c r="H25" s="819" t="n">
        <f aca="false">VLOOKUP(A25,NymexData!$S$12:$T$128,2)</f>
        <v>3.555</v>
      </c>
      <c r="I25" s="820" t="n">
        <f aca="false">IF($I$7=1,NymexData!AN27,NymexData!X27)</f>
        <v>0.008</v>
      </c>
      <c r="J25" s="819" t="n">
        <f aca="false">IF($I$7=1,H25+I25,VLOOKUP(A25,NymexData!$AA$12:$AB$128,2))</f>
        <v>3.563</v>
      </c>
      <c r="K25" s="807" t="n">
        <f aca="false">B25*I25</f>
        <v>-19710.2440009461</v>
      </c>
      <c r="L25" s="807" t="n">
        <f aca="false">C25*I25</f>
        <v>0</v>
      </c>
      <c r="M25" s="811" t="n">
        <f aca="false">E25*I25</f>
        <v>0</v>
      </c>
      <c r="N25" s="807" t="n">
        <f aca="false">F25*I25</f>
        <v>0</v>
      </c>
      <c r="O25" s="811" t="n">
        <f aca="false">SUM(K25:N25)</f>
        <v>-19710.2440009461</v>
      </c>
      <c r="Q25" s="813" t="n">
        <f aca="false">TradeSum!S27/GencoPosn!J25*1000</f>
        <v>8500.06095766217</v>
      </c>
      <c r="R25" s="817" t="n">
        <f aca="false">A25</f>
        <v>37622</v>
      </c>
      <c r="S25" s="807" t="n">
        <f aca="false">IF(ISERROR(VLOOKUP(R25,$AA$10:$AH$100,5,FALSE()))+ISERROR(VLOOKUP(R25,$AA$10:$AH$100,6,FALSE()))=0,VLOOKUP(R25,$AA$10:$AH$100,5,FALSE())+VLOOKUP(R25,$AA$10:$AH$100,6,FALSE()),0)</f>
        <v>61228.2370050412</v>
      </c>
      <c r="T25" s="807" t="n">
        <f aca="false">IF(ISERROR(VLOOKUP(R25,$AA$10:$AH$100,7,FALSE()))=FALSE(),VLOOKUP(R25,$AA$10:$AH$100,7,FALSE()),0)</f>
        <v>-45599.5857179446</v>
      </c>
      <c r="U25" s="807" t="n">
        <f aca="false">IF(ISERROR(VLOOKUP(R25,$AA$10:$AH$100,8,FALSE()))=FALSE(),VLOOKUP(R25,$AA$10:$AH$100,8,FALSE()),0)</f>
        <v>0</v>
      </c>
      <c r="V25" s="807" t="n">
        <f aca="false">S25+T25+U25</f>
        <v>15628.6512870966</v>
      </c>
      <c r="W25" s="814" t="n">
        <f aca="false">[1]Cinergy!$F49</f>
        <v>1.81652250574871E-007</v>
      </c>
      <c r="X25" s="807" t="n">
        <f aca="false">S25*W25</f>
        <v>0.0111222470506973</v>
      </c>
      <c r="Y25" s="807" t="n">
        <f aca="false">T25*W25</f>
        <v>-0.00828326737094637</v>
      </c>
      <c r="Z25" s="807" t="n">
        <f aca="false">U25*W25</f>
        <v>0</v>
      </c>
      <c r="AA25" s="804" t="n">
        <v>37288</v>
      </c>
      <c r="AB25" s="815" t="n">
        <v>-702307.49730929</v>
      </c>
      <c r="AC25" s="815" t="n">
        <v>-1215140.26476952</v>
      </c>
      <c r="AD25" s="815" t="n">
        <v>-60916.2455</v>
      </c>
      <c r="AE25" s="815" t="n">
        <v>19316.0897365516</v>
      </c>
      <c r="AF25" s="815" t="n">
        <v>30774.3713483008</v>
      </c>
      <c r="AG25" s="815" t="n">
        <v>-43982.1969175359</v>
      </c>
      <c r="AH25" s="815" t="n">
        <v>14660.7323058453</v>
      </c>
      <c r="AI25" s="804" t="n">
        <v>37165</v>
      </c>
      <c r="AJ25" s="459" t="n">
        <v>0</v>
      </c>
      <c r="AK25" s="821" t="n">
        <v>0</v>
      </c>
      <c r="AL25" s="815" t="n">
        <v>0</v>
      </c>
      <c r="AM25" s="822" t="n">
        <f aca="false">+AA25</f>
        <v>37288</v>
      </c>
      <c r="AN25" s="815" t="n">
        <f aca="false">SUM(AG25:AH25)/TradeSum!CD26</f>
        <v>-87.2662637252697</v>
      </c>
      <c r="AO25" s="815"/>
    </row>
    <row r="26" customFormat="false" ht="15" hidden="false" customHeight="false" outlineLevel="0" collapsed="false">
      <c r="A26" s="817" t="n">
        <f aca="false">IF($B$5=1,[1]Cinergy!$D50,[1]Cinergy!$D51)</f>
        <v>37653</v>
      </c>
      <c r="B26" s="807" t="n">
        <f aca="false">IF(ISERROR(VLOOKUP(A26,$AA$10:$AH$100,2,FALSE()))+ISERROR(VLOOKUP(A26,$AA$10:$AH$100,3,FALSE()))=0,VLOOKUP(A26,$AA$10:$AH$100,2,FALSE())+VLOOKUP(A26,$AA$10:$AH$100,3,FALSE()),0)</f>
        <v>-2468869.80544421</v>
      </c>
      <c r="C26" s="807" t="n">
        <f aca="false">IF(ISERROR(VLOOKUP(A26,$AA$10:$AH$100,4,FALSE()))=FALSE(),VLOOKUP(A26,$AA$10:$AH$100,4,FALSE()),0)</f>
        <v>0</v>
      </c>
      <c r="D26" s="818" t="n">
        <f aca="false">B26+C26</f>
        <v>-2468869.80544421</v>
      </c>
      <c r="E26" s="807" t="n">
        <f aca="false">IF(ISERROR(VLOOKUP(A26,$AI$10:$AL$100,2,FALSE()))+ISERROR(VLOOKUP(A26,$AI$10:$AL$100,3,FALSE()))=0,VLOOKUP(A26,$AI$10:$AL$100,2,FALSE())+VLOOKUP(A26,$AI$10:$AL$100,3,FALSE()),0)</f>
        <v>0</v>
      </c>
      <c r="F26" s="807" t="n">
        <f aca="false">IF(ISERROR(VLOOKUP(A26,$AI$10:$AL$100,4,FALSE()))=FALSE(),VLOOKUP(A26,$AI$10:$AL$100,4,FALSE()),0)</f>
        <v>0</v>
      </c>
      <c r="G26" s="818" t="n">
        <f aca="false">F26+E26</f>
        <v>0</v>
      </c>
      <c r="H26" s="819" t="n">
        <f aca="false">VLOOKUP(A26,NymexData!$S$12:$T$128,2)</f>
        <v>3.445</v>
      </c>
      <c r="I26" s="820" t="n">
        <f aca="false">IF($I$7=1,NymexData!AN28,NymexData!X28)</f>
        <v>0.013</v>
      </c>
      <c r="J26" s="819" t="n">
        <f aca="false">IF($I$7=1,H26+I26,VLOOKUP(A26,NymexData!$AA$12:$AB$128,2))</f>
        <v>3.458</v>
      </c>
      <c r="K26" s="807" t="n">
        <f aca="false">B26*I26</f>
        <v>-32095.3074707747</v>
      </c>
      <c r="L26" s="807" t="n">
        <f aca="false">C26*I26</f>
        <v>0</v>
      </c>
      <c r="M26" s="811" t="n">
        <f aca="false">E26*I26</f>
        <v>0</v>
      </c>
      <c r="N26" s="807" t="n">
        <f aca="false">F26*I26</f>
        <v>0</v>
      </c>
      <c r="O26" s="811" t="n">
        <f aca="false">SUM(K26:N26)</f>
        <v>-32095.3074707747</v>
      </c>
      <c r="Q26" s="813" t="n">
        <f aca="false">TradeSum!S28/GencoPosn!J26*1000</f>
        <v>8584.64750972663</v>
      </c>
      <c r="R26" s="817" t="n">
        <f aca="false">A26</f>
        <v>37653</v>
      </c>
      <c r="S26" s="807" t="n">
        <f aca="false">IF(ISERROR(VLOOKUP(R26,$AA$10:$AH$100,5,FALSE()))+ISERROR(VLOOKUP(R26,$AA$10:$AH$100,6,FALSE()))=0,VLOOKUP(R26,$AA$10:$AH$100,5,FALSE())+VLOOKUP(R26,$AA$10:$AH$100,6,FALSE()),0)</f>
        <v>59817.5634313727</v>
      </c>
      <c r="T26" s="807" t="n">
        <f aca="false">IF(ISERROR(VLOOKUP(R26,$AA$10:$AH$100,7,FALSE()))=FALSE(),VLOOKUP(R26,$AA$10:$AH$100,7,FALSE()),0)</f>
        <v>-41247.0697998736</v>
      </c>
      <c r="U26" s="807" t="n">
        <f aca="false">IF(ISERROR(VLOOKUP(R26,$AA$10:$AH$100,8,FALSE()))=FALSE(),VLOOKUP(R26,$AA$10:$AH$100,8,FALSE()),0)</f>
        <v>0</v>
      </c>
      <c r="V26" s="807" t="n">
        <f aca="false">S26+T26+U26</f>
        <v>18570.4936314991</v>
      </c>
      <c r="W26" s="814" t="n">
        <f aca="false">[1]Cinergy!$F50</f>
        <v>1.81652250574871E-007</v>
      </c>
      <c r="X26" s="807" t="n">
        <f aca="false">S26*W26</f>
        <v>0.0108659950212139</v>
      </c>
      <c r="Y26" s="807" t="n">
        <f aca="false">T26*W26</f>
        <v>-0.00749262305876582</v>
      </c>
      <c r="Z26" s="807" t="n">
        <f aca="false">U26*W26</f>
        <v>0</v>
      </c>
      <c r="AA26" s="804" t="n">
        <v>37316</v>
      </c>
      <c r="AB26" s="815" t="n">
        <v>-402128.581180022</v>
      </c>
      <c r="AC26" s="815" t="n">
        <v>-678319.222473267</v>
      </c>
      <c r="AD26" s="815" t="n">
        <v>-157149.239</v>
      </c>
      <c r="AE26" s="815" t="n">
        <v>11094.7724770716</v>
      </c>
      <c r="AF26" s="815" t="n">
        <v>17388.2896142518</v>
      </c>
      <c r="AG26" s="815" t="n">
        <v>-30621.803715524</v>
      </c>
      <c r="AH26" s="815" t="n">
        <v>15310.901857762</v>
      </c>
      <c r="AI26" s="804" t="n">
        <v>37196</v>
      </c>
      <c r="AJ26" s="459" t="n">
        <v>0</v>
      </c>
      <c r="AK26" s="821" t="n">
        <v>0</v>
      </c>
      <c r="AL26" s="815" t="n">
        <v>0</v>
      </c>
      <c r="AM26" s="822" t="n">
        <f aca="false">+AA26</f>
        <v>37316</v>
      </c>
      <c r="AN26" s="815" t="n">
        <f aca="false">SUM(AG26:AH26)/TradeSum!CD27</f>
        <v>-43.496880277733</v>
      </c>
      <c r="AO26" s="815"/>
    </row>
    <row r="27" customFormat="false" ht="15" hidden="false" customHeight="false" outlineLevel="0" collapsed="false">
      <c r="A27" s="817" t="n">
        <f aca="false">IF($B$5=1,[1]Cinergy!$D51,[1]Cinergy!$D52)</f>
        <v>37681</v>
      </c>
      <c r="B27" s="807" t="n">
        <f aca="false">IF(ISERROR(VLOOKUP(A27,$AA$10:$AH$100,2,FALSE()))+ISERROR(VLOOKUP(A27,$AA$10:$AH$100,3,FALSE()))=0,VLOOKUP(A27,$AA$10:$AH$100,2,FALSE())+VLOOKUP(A27,$AA$10:$AH$100,3,FALSE()),0)</f>
        <v>-1681110.03194389</v>
      </c>
      <c r="C27" s="807" t="n">
        <f aca="false">IF(ISERROR(VLOOKUP(A27,$AA$10:$AH$100,4,FALSE()))=FALSE(),VLOOKUP(A27,$AA$10:$AH$100,4,FALSE()),0)</f>
        <v>0</v>
      </c>
      <c r="D27" s="818" t="n">
        <f aca="false">B27+C27</f>
        <v>-1681110.03194389</v>
      </c>
      <c r="E27" s="807" t="n">
        <f aca="false">IF(ISERROR(VLOOKUP(A27,$AI$10:$AL$100,2,FALSE()))+ISERROR(VLOOKUP(A27,$AI$10:$AL$100,3,FALSE()))=0,VLOOKUP(A27,$AI$10:$AL$100,2,FALSE())+VLOOKUP(A27,$AI$10:$AL$100,3,FALSE()),0)</f>
        <v>0</v>
      </c>
      <c r="F27" s="807" t="n">
        <f aca="false">IF(ISERROR(VLOOKUP(A27,$AI$10:$AL$100,4,FALSE()))=FALSE(),VLOOKUP(A27,$AI$10:$AL$100,4,FALSE()),0)</f>
        <v>0</v>
      </c>
      <c r="G27" s="818" t="n">
        <f aca="false">F27+E27</f>
        <v>0</v>
      </c>
      <c r="H27" s="819" t="n">
        <f aca="false">VLOOKUP(A27,NymexData!$S$12:$T$128,2)</f>
        <v>3.318</v>
      </c>
      <c r="I27" s="820" t="n">
        <f aca="false">IF($I$7=1,NymexData!AN29,NymexData!X29)</f>
        <v>0.005</v>
      </c>
      <c r="J27" s="819" t="n">
        <f aca="false">IF($I$7=1,H27+I27,VLOOKUP(A27,NymexData!$AA$12:$AB$128,2))</f>
        <v>3.323</v>
      </c>
      <c r="K27" s="807" t="n">
        <f aca="false">B27*I27</f>
        <v>-8405.55015971946</v>
      </c>
      <c r="L27" s="807" t="n">
        <f aca="false">C27*I27</f>
        <v>0</v>
      </c>
      <c r="M27" s="811" t="n">
        <f aca="false">E27*I27</f>
        <v>0</v>
      </c>
      <c r="N27" s="807" t="n">
        <f aca="false">F27*I27</f>
        <v>0</v>
      </c>
      <c r="O27" s="811" t="n">
        <f aca="false">SUM(K27:N27)</f>
        <v>-8405.55015971946</v>
      </c>
      <c r="Q27" s="813" t="n">
        <f aca="false">TradeSum!S29/GencoPosn!J27*1000</f>
        <v>8545.79534507213</v>
      </c>
      <c r="R27" s="817" t="n">
        <f aca="false">A27</f>
        <v>37681</v>
      </c>
      <c r="S27" s="807" t="n">
        <f aca="false">IF(ISERROR(VLOOKUP(R27,$AA$10:$AH$100,5,FALSE()))+ISERROR(VLOOKUP(R27,$AA$10:$AH$100,6,FALSE()))=0,VLOOKUP(R27,$AA$10:$AH$100,5,FALSE())+VLOOKUP(R27,$AA$10:$AH$100,6,FALSE()),0)</f>
        <v>40164.0993244658</v>
      </c>
      <c r="T27" s="807" t="n">
        <f aca="false">IF(ISERROR(VLOOKUP(R27,$AA$10:$AH$100,7,FALSE()))=FALSE(),VLOOKUP(R27,$AA$10:$AH$100,7,FALSE()),0)</f>
        <v>0</v>
      </c>
      <c r="U27" s="807" t="n">
        <f aca="false">IF(ISERROR(VLOOKUP(R27,$AA$10:$AH$100,8,FALSE()))=FALSE(),VLOOKUP(R27,$AA$10:$AH$100,8,FALSE()),0)</f>
        <v>0</v>
      </c>
      <c r="V27" s="807" t="n">
        <f aca="false">S27+T27+U27</f>
        <v>40164.0993244658</v>
      </c>
      <c r="W27" s="814" t="n">
        <f aca="false">[1]Cinergy!$F51</f>
        <v>-0.250000443569448</v>
      </c>
      <c r="X27" s="807" t="n">
        <f aca="false">S27*W27</f>
        <v>-10041.0426466838</v>
      </c>
      <c r="Y27" s="807" t="n">
        <f aca="false">T27*W27</f>
        <v>-0</v>
      </c>
      <c r="Z27" s="807" t="n">
        <f aca="false">U27*W27</f>
        <v>-0</v>
      </c>
      <c r="AA27" s="804" t="n">
        <v>37347</v>
      </c>
      <c r="AB27" s="815" t="n">
        <v>-69716.7743221588</v>
      </c>
      <c r="AC27" s="815" t="n">
        <v>-74592.8904656356</v>
      </c>
      <c r="AD27" s="815" t="n">
        <v>92152.1769</v>
      </c>
      <c r="AE27" s="815" t="n">
        <v>11452.3128996402</v>
      </c>
      <c r="AF27" s="815" t="n">
        <v>12273.0800111961</v>
      </c>
      <c r="AG27" s="815" t="n">
        <v>-31913.328472238</v>
      </c>
      <c r="AH27" s="815" t="n">
        <v>15956.664236119</v>
      </c>
      <c r="AI27" s="804" t="n">
        <v>37226</v>
      </c>
      <c r="AJ27" s="459" t="n">
        <v>0</v>
      </c>
      <c r="AK27" s="821" t="n">
        <v>0</v>
      </c>
      <c r="AL27" s="815" t="n">
        <v>0</v>
      </c>
      <c r="AM27" s="822" t="n">
        <f aca="false">+AA27</f>
        <v>37347</v>
      </c>
      <c r="AN27" s="815" t="n">
        <f aca="false">SUM(AG27:AH27)/TradeSum!CD28</f>
        <v>-49.8645757378719</v>
      </c>
      <c r="AO27" s="815"/>
    </row>
    <row r="28" customFormat="false" ht="15" hidden="false" customHeight="false" outlineLevel="0" collapsed="false">
      <c r="A28" s="817" t="n">
        <f aca="false">IF($B$5=1,[1]Cinergy!$D52,[1]Cinergy!$D53)</f>
        <v>37712</v>
      </c>
      <c r="B28" s="807" t="n">
        <f aca="false">IF(ISERROR(VLOOKUP(A28,$AA$10:$AH$100,2,FALSE()))+ISERROR(VLOOKUP(A28,$AA$10:$AH$100,3,FALSE()))=0,VLOOKUP(A28,$AA$10:$AH$100,2,FALSE())+VLOOKUP(A28,$AA$10:$AH$100,3,FALSE()),0)</f>
        <v>-204054.7413186</v>
      </c>
      <c r="C28" s="807" t="n">
        <f aca="false">IF(ISERROR(VLOOKUP(A28,$AA$10:$AH$100,4,FALSE()))=FALSE(),VLOOKUP(A28,$AA$10:$AH$100,4,FALSE()),0)</f>
        <v>0</v>
      </c>
      <c r="D28" s="818" t="n">
        <f aca="false">B28+C28</f>
        <v>-204054.7413186</v>
      </c>
      <c r="E28" s="807" t="n">
        <f aca="false">IF(ISERROR(VLOOKUP(A28,$AI$10:$AL$100,2,FALSE()))+ISERROR(VLOOKUP(A28,$AI$10:$AL$100,3,FALSE()))=0,VLOOKUP(A28,$AI$10:$AL$100,2,FALSE())+VLOOKUP(A28,$AI$10:$AL$100,3,FALSE()),0)</f>
        <v>0</v>
      </c>
      <c r="F28" s="807" t="n">
        <f aca="false">IF(ISERROR(VLOOKUP(A28,$AI$10:$AL$100,4,FALSE()))=FALSE(),VLOOKUP(A28,$AI$10:$AL$100,4,FALSE()),0)</f>
        <v>0</v>
      </c>
      <c r="G28" s="818" t="n">
        <f aca="false">F28+E28</f>
        <v>0</v>
      </c>
      <c r="H28" s="819" t="n">
        <f aca="false">VLOOKUP(A28,NymexData!$S$12:$T$128,2)</f>
        <v>3.138</v>
      </c>
      <c r="I28" s="820" t="n">
        <f aca="false">IF($I$7=1,NymexData!AN30,NymexData!X30)</f>
        <v>0.005</v>
      </c>
      <c r="J28" s="819" t="n">
        <f aca="false">IF($I$7=1,H28+I28,VLOOKUP(A28,NymexData!$AA$12:$AB$128,2))</f>
        <v>3.143</v>
      </c>
      <c r="K28" s="807" t="n">
        <f aca="false">B28*I28</f>
        <v>-1020.273706593</v>
      </c>
      <c r="L28" s="807" t="n">
        <f aca="false">C28*I28</f>
        <v>0</v>
      </c>
      <c r="M28" s="811" t="n">
        <f aca="false">E28*I28</f>
        <v>0</v>
      </c>
      <c r="N28" s="807" t="n">
        <f aca="false">F28*I28</f>
        <v>0</v>
      </c>
      <c r="O28" s="811" t="n">
        <f aca="false">SUM(K28:N28)</f>
        <v>-1020.273706593</v>
      </c>
      <c r="Q28" s="813" t="n">
        <f aca="false">TradeSum!S30/GencoPosn!J28*1000</f>
        <v>9098.84539141572</v>
      </c>
      <c r="R28" s="817" t="n">
        <f aca="false">A28</f>
        <v>37712</v>
      </c>
      <c r="S28" s="807" t="n">
        <f aca="false">IF(ISERROR(VLOOKUP(R28,$AA$10:$AH$100,5,FALSE()))+ISERROR(VLOOKUP(R28,$AA$10:$AH$100,6,FALSE()))=0,VLOOKUP(R28,$AA$10:$AH$100,5,FALSE())+VLOOKUP(R28,$AA$10:$AH$100,6,FALSE()),0)</f>
        <v>30669.5874203189</v>
      </c>
      <c r="T28" s="807" t="n">
        <f aca="false">IF(ISERROR(VLOOKUP(R28,$AA$10:$AH$100,7,FALSE()))=FALSE(),VLOOKUP(R28,$AA$10:$AH$100,7,FALSE()),0)</f>
        <v>0</v>
      </c>
      <c r="U28" s="807" t="n">
        <f aca="false">IF(ISERROR(VLOOKUP(R28,$AA$10:$AH$100,8,FALSE()))=FALSE(),VLOOKUP(R28,$AA$10:$AH$100,8,FALSE()),0)</f>
        <v>0</v>
      </c>
      <c r="V28" s="807" t="n">
        <f aca="false">S28+T28+U28</f>
        <v>30669.5874203189</v>
      </c>
      <c r="W28" s="814" t="n">
        <f aca="false">[1]Cinergy!$F52</f>
        <v>-0.250000443569448</v>
      </c>
      <c r="X28" s="807" t="n">
        <f aca="false">S28*W28</f>
        <v>-7667.41045917168</v>
      </c>
      <c r="Y28" s="807" t="n">
        <f aca="false">T28*W28</f>
        <v>-0</v>
      </c>
      <c r="Z28" s="807" t="n">
        <f aca="false">U28*W28</f>
        <v>-0</v>
      </c>
      <c r="AA28" s="804" t="n">
        <v>37377</v>
      </c>
      <c r="AB28" s="815" t="n">
        <v>-167218.742697302</v>
      </c>
      <c r="AC28" s="815" t="n">
        <v>-161823.253303036</v>
      </c>
      <c r="AD28" s="815" t="n">
        <v>55287.7966</v>
      </c>
      <c r="AE28" s="815" t="n">
        <v>24578.1281199467</v>
      </c>
      <c r="AF28" s="815" t="n">
        <v>24930.3859752569</v>
      </c>
      <c r="AG28" s="815" t="n">
        <v>-31741.9044165134</v>
      </c>
      <c r="AH28" s="815" t="n">
        <v>15870.9522082567</v>
      </c>
      <c r="AI28" s="804" t="n">
        <v>37257</v>
      </c>
      <c r="AJ28" s="459" t="n">
        <v>0</v>
      </c>
      <c r="AK28" s="821" t="n">
        <v>0</v>
      </c>
      <c r="AL28" s="815" t="n">
        <v>0</v>
      </c>
      <c r="AM28" s="822" t="n">
        <f aca="false">+AA28</f>
        <v>37377</v>
      </c>
      <c r="AN28" s="815" t="n">
        <f aca="false">SUM(AG28:AH28)/TradeSum!CD29</f>
        <v>-47.2349768102878</v>
      </c>
      <c r="AO28" s="815"/>
    </row>
    <row r="29" customFormat="false" ht="15" hidden="false" customHeight="false" outlineLevel="0" collapsed="false">
      <c r="A29" s="817" t="n">
        <f aca="false">IF($B$5=1,[1]Cinergy!$D53,[1]Cinergy!$D54)</f>
        <v>37742</v>
      </c>
      <c r="B29" s="807" t="n">
        <f aca="false">IF(ISERROR(VLOOKUP(A29,$AA$10:$AH$100,2,FALSE()))+ISERROR(VLOOKUP(A29,$AA$10:$AH$100,3,FALSE()))=0,VLOOKUP(A29,$AA$10:$AH$100,2,FALSE())+VLOOKUP(A29,$AA$10:$AH$100,3,FALSE()),0)</f>
        <v>-388148.082711091</v>
      </c>
      <c r="C29" s="807" t="n">
        <f aca="false">IF(ISERROR(VLOOKUP(A29,$AA$10:$AH$100,4,FALSE()))=FALSE(),VLOOKUP(A29,$AA$10:$AH$100,4,FALSE()),0)</f>
        <v>0</v>
      </c>
      <c r="D29" s="818" t="n">
        <f aca="false">B29+C29</f>
        <v>-388148.082711091</v>
      </c>
      <c r="E29" s="807" t="n">
        <f aca="false">IF(ISERROR(VLOOKUP(A29,$AI$10:$AL$100,2,FALSE()))+ISERROR(VLOOKUP(A29,$AI$10:$AL$100,3,FALSE()))=0,VLOOKUP(A29,$AI$10:$AL$100,2,FALSE())+VLOOKUP(A29,$AI$10:$AL$100,3,FALSE()),0)</f>
        <v>0</v>
      </c>
      <c r="F29" s="807" t="n">
        <f aca="false">IF(ISERROR(VLOOKUP(A29,$AI$10:$AL$100,4,FALSE()))=FALSE(),VLOOKUP(A29,$AI$10:$AL$100,4,FALSE()),0)</f>
        <v>0</v>
      </c>
      <c r="G29" s="818" t="n">
        <f aca="false">F29+E29</f>
        <v>0</v>
      </c>
      <c r="H29" s="819" t="n">
        <f aca="false">VLOOKUP(A29,NymexData!$S$12:$T$128,2)</f>
        <v>3.143</v>
      </c>
      <c r="I29" s="820" t="n">
        <f aca="false">IF($I$7=1,NymexData!AN31,NymexData!X31)</f>
        <v>0.005</v>
      </c>
      <c r="J29" s="819" t="n">
        <f aca="false">IF($I$7=1,H29+I29,VLOOKUP(A29,NymexData!$AA$12:$AB$128,2))</f>
        <v>3.148</v>
      </c>
      <c r="K29" s="807" t="n">
        <f aca="false">B29*I29</f>
        <v>-1940.74041355546</v>
      </c>
      <c r="L29" s="807" t="n">
        <f aca="false">C29*I29</f>
        <v>0</v>
      </c>
      <c r="M29" s="811" t="n">
        <f aca="false">E29*I29</f>
        <v>0</v>
      </c>
      <c r="N29" s="807" t="n">
        <f aca="false">F29*I29</f>
        <v>0</v>
      </c>
      <c r="O29" s="811" t="n">
        <f aca="false">SUM(K29:N29)</f>
        <v>-1940.74041355546</v>
      </c>
      <c r="Q29" s="813" t="n">
        <f aca="false">TradeSum!S31/GencoPosn!J29*1000</f>
        <v>9688.69123252859</v>
      </c>
      <c r="R29" s="817" t="n">
        <f aca="false">A29</f>
        <v>37742</v>
      </c>
      <c r="S29" s="807" t="n">
        <f aca="false">IF(ISERROR(VLOOKUP(R29,$AA$10:$AH$100,5,FALSE()))+ISERROR(VLOOKUP(R29,$AA$10:$AH$100,6,FALSE()))=0,VLOOKUP(R29,$AA$10:$AH$100,5,FALSE())+VLOOKUP(R29,$AA$10:$AH$100,6,FALSE()),0)</f>
        <v>55440.9459955367</v>
      </c>
      <c r="T29" s="807" t="n">
        <f aca="false">IF(ISERROR(VLOOKUP(R29,$AA$10:$AH$100,7,FALSE()))=FALSE(),VLOOKUP(R29,$AA$10:$AH$100,7,FALSE()),0)</f>
        <v>0</v>
      </c>
      <c r="U29" s="807" t="n">
        <f aca="false">IF(ISERROR(VLOOKUP(R29,$AA$10:$AH$100,8,FALSE()))=FALSE(),VLOOKUP(R29,$AA$10:$AH$100,8,FALSE()),0)</f>
        <v>0</v>
      </c>
      <c r="V29" s="807" t="n">
        <f aca="false">S29+T29+U29</f>
        <v>55440.9459955367</v>
      </c>
      <c r="W29" s="814" t="n">
        <f aca="false">[1]Cinergy!$F53</f>
        <v>0</v>
      </c>
      <c r="X29" s="807" t="n">
        <f aca="false">S29*W29</f>
        <v>0</v>
      </c>
      <c r="Y29" s="807" t="n">
        <f aca="false">T29*W29</f>
        <v>0</v>
      </c>
      <c r="Z29" s="807" t="n">
        <f aca="false">U29*W29</f>
        <v>0</v>
      </c>
      <c r="AA29" s="804" t="n">
        <v>37408</v>
      </c>
      <c r="AB29" s="815" t="n">
        <v>-639222.834303942</v>
      </c>
      <c r="AC29" s="815" t="n">
        <v>-761699.001734941</v>
      </c>
      <c r="AD29" s="815" t="n">
        <v>91181.0952</v>
      </c>
      <c r="AE29" s="815" t="n">
        <v>94509.9677932747</v>
      </c>
      <c r="AF29" s="815" t="n">
        <v>114787.3476471</v>
      </c>
      <c r="AG29" s="815" t="n">
        <v>-28705.4474671944</v>
      </c>
      <c r="AH29" s="815" t="n">
        <v>-114821.789868777</v>
      </c>
      <c r="AI29" s="804" t="n">
        <v>37288</v>
      </c>
      <c r="AJ29" s="459" t="n">
        <v>0</v>
      </c>
      <c r="AK29" s="821" t="n">
        <v>0</v>
      </c>
      <c r="AL29" s="815" t="n">
        <v>0</v>
      </c>
      <c r="AM29" s="822" t="n">
        <f aca="false">+AA29</f>
        <v>37408</v>
      </c>
      <c r="AN29" s="815" t="n">
        <f aca="false">SUM(AG29:AH29)/TradeSum!CD30</f>
        <v>-407.747833340828</v>
      </c>
      <c r="AO29" s="815"/>
    </row>
    <row r="30" customFormat="false" ht="15" hidden="false" customHeight="false" outlineLevel="0" collapsed="false">
      <c r="A30" s="817" t="n">
        <f aca="false">IF($B$5=1,[1]Cinergy!$D54,[1]Cinergy!$D55)</f>
        <v>37773</v>
      </c>
      <c r="B30" s="807" t="n">
        <f aca="false">IF(ISERROR(VLOOKUP(A30,$AA$10:$AH$100,2,FALSE()))+ISERROR(VLOOKUP(A30,$AA$10:$AH$100,3,FALSE()))=0,VLOOKUP(A30,$AA$10:$AH$100,2,FALSE())+VLOOKUP(A30,$AA$10:$AH$100,3,FALSE()),0)</f>
        <v>-1530401.86882815</v>
      </c>
      <c r="C30" s="807" t="n">
        <f aca="false">IF(ISERROR(VLOOKUP(A30,$AA$10:$AH$100,4,FALSE()))=FALSE(),VLOOKUP(A30,$AA$10:$AH$100,4,FALSE()),0)</f>
        <v>0</v>
      </c>
      <c r="D30" s="818" t="n">
        <f aca="false">B30+C30</f>
        <v>-1530401.86882815</v>
      </c>
      <c r="E30" s="807" t="n">
        <f aca="false">IF(ISERROR(VLOOKUP(A30,$AI$10:$AL$100,2,FALSE()))+ISERROR(VLOOKUP(A30,$AI$10:$AL$100,3,FALSE()))=0,VLOOKUP(A30,$AI$10:$AL$100,2,FALSE())+VLOOKUP(A30,$AI$10:$AL$100,3,FALSE()),0)</f>
        <v>0</v>
      </c>
      <c r="F30" s="807" t="n">
        <f aca="false">IF(ISERROR(VLOOKUP(A30,$AI$10:$AL$100,4,FALSE()))=FALSE(),VLOOKUP(A30,$AI$10:$AL$100,4,FALSE()),0)</f>
        <v>0</v>
      </c>
      <c r="G30" s="818" t="n">
        <f aca="false">F30+E30</f>
        <v>0</v>
      </c>
      <c r="H30" s="819" t="n">
        <f aca="false">VLOOKUP(A30,NymexData!$S$12:$T$128,2)</f>
        <v>3.171</v>
      </c>
      <c r="I30" s="820" t="n">
        <f aca="false">IF($I$7=1,NymexData!AN32,NymexData!X32)</f>
        <v>0.005</v>
      </c>
      <c r="J30" s="819" t="n">
        <f aca="false">IF($I$7=1,H30+I30,VLOOKUP(A30,NymexData!$AA$12:$AB$128,2))</f>
        <v>3.176</v>
      </c>
      <c r="K30" s="807" t="n">
        <f aca="false">B30*I30</f>
        <v>-7652.00934414075</v>
      </c>
      <c r="L30" s="807" t="n">
        <f aca="false">C30*I30</f>
        <v>0</v>
      </c>
      <c r="M30" s="811" t="n">
        <f aca="false">E30*I30</f>
        <v>0</v>
      </c>
      <c r="N30" s="807" t="n">
        <f aca="false">F30*I30</f>
        <v>0</v>
      </c>
      <c r="O30" s="811" t="n">
        <f aca="false">SUM(K30:N30)</f>
        <v>-7652.00934414075</v>
      </c>
      <c r="Q30" s="813" t="n">
        <f aca="false">TradeSum!S32/GencoPosn!J30*1000</f>
        <v>12555.1007556675</v>
      </c>
      <c r="R30" s="817" t="n">
        <f aca="false">A30</f>
        <v>37773</v>
      </c>
      <c r="S30" s="807" t="n">
        <f aca="false">IF(ISERROR(VLOOKUP(R30,$AA$10:$AH$100,5,FALSE()))+ISERROR(VLOOKUP(R30,$AA$10:$AH$100,6,FALSE()))=0,VLOOKUP(R30,$AA$10:$AH$100,5,FALSE())+VLOOKUP(R30,$AA$10:$AH$100,6,FALSE()),0)</f>
        <v>207172.878525982</v>
      </c>
      <c r="T30" s="807" t="n">
        <f aca="false">IF(ISERROR(VLOOKUP(R30,$AA$10:$AH$100,7,FALSE()))=FALSE(),VLOOKUP(R30,$AA$10:$AH$100,7,FALSE()),0)</f>
        <v>0</v>
      </c>
      <c r="U30" s="807" t="n">
        <f aca="false">IF(ISERROR(VLOOKUP(R30,$AA$10:$AH$100,8,FALSE()))=FALSE(),VLOOKUP(R30,$AA$10:$AH$100,8,FALSE()),0)</f>
        <v>-98877.5798687341</v>
      </c>
      <c r="V30" s="807" t="n">
        <f aca="false">S30+T30+U30</f>
        <v>108295.298657248</v>
      </c>
      <c r="W30" s="814" t="n">
        <f aca="false">[1]Cinergy!$F54</f>
        <v>-0.5</v>
      </c>
      <c r="X30" s="807" t="n">
        <f aca="false">S30*W30</f>
        <v>-103586.439262991</v>
      </c>
      <c r="Y30" s="807" t="n">
        <f aca="false">T30*W30</f>
        <v>-0</v>
      </c>
      <c r="Z30" s="807" t="n">
        <f aca="false">U30*W30</f>
        <v>49438.7899343671</v>
      </c>
      <c r="AA30" s="804" t="n">
        <v>37438</v>
      </c>
      <c r="AB30" s="815" t="n">
        <v>-838515.638801689</v>
      </c>
      <c r="AC30" s="815" t="n">
        <v>-1055675.86942294</v>
      </c>
      <c r="AD30" s="815" t="n">
        <v>54705.0813</v>
      </c>
      <c r="AE30" s="815" t="n">
        <v>123604.160940199</v>
      </c>
      <c r="AF30" s="815" t="n">
        <v>156313.135418843</v>
      </c>
      <c r="AG30" s="815" t="n">
        <v>-235538.475064003</v>
      </c>
      <c r="AH30" s="815" t="n">
        <v>78512.8250213345</v>
      </c>
      <c r="AI30" s="804" t="n">
        <v>37316</v>
      </c>
      <c r="AJ30" s="459" t="n">
        <v>0</v>
      </c>
      <c r="AK30" s="821" t="n">
        <v>0</v>
      </c>
      <c r="AL30" s="815" t="n">
        <v>0</v>
      </c>
      <c r="AM30" s="822" t="n">
        <f aca="false">+AA30</f>
        <v>37438</v>
      </c>
      <c r="AN30" s="815" t="n">
        <f aca="false">SUM(AG30:AH30)/TradeSum!CD31</f>
        <v>-467.338244174609</v>
      </c>
      <c r="AO30" s="815"/>
    </row>
    <row r="31" customFormat="false" ht="15" hidden="false" customHeight="false" outlineLevel="0" collapsed="false">
      <c r="A31" s="817" t="n">
        <f aca="false">IF($B$5=1,[1]Cinergy!$D55,[1]Cinergy!$D56)</f>
        <v>37803</v>
      </c>
      <c r="B31" s="807" t="n">
        <f aca="false">IF(ISERROR(VLOOKUP(A31,$AA$10:$AH$100,2,FALSE()))+ISERROR(VLOOKUP(A31,$AA$10:$AH$100,3,FALSE()))=0,VLOOKUP(A31,$AA$10:$AH$100,2,FALSE())+VLOOKUP(A31,$AA$10:$AH$100,3,FALSE()),0)</f>
        <v>-1966275.28542624</v>
      </c>
      <c r="C31" s="807" t="n">
        <f aca="false">IF(ISERROR(VLOOKUP(A31,$AA$10:$AH$100,4,FALSE()))=FALSE(),VLOOKUP(A31,$AA$10:$AH$100,4,FALSE()),0)</f>
        <v>0</v>
      </c>
      <c r="D31" s="818" t="n">
        <f aca="false">B31+C31</f>
        <v>-1966275.28542624</v>
      </c>
      <c r="E31" s="807" t="n">
        <f aca="false">IF(ISERROR(VLOOKUP(A31,$AI$10:$AL$100,2,FALSE()))+ISERROR(VLOOKUP(A31,$AI$10:$AL$100,3,FALSE()))=0,VLOOKUP(A31,$AI$10:$AL$100,2,FALSE())+VLOOKUP(A31,$AI$10:$AL$100,3,FALSE()),0)</f>
        <v>0</v>
      </c>
      <c r="F31" s="807" t="n">
        <f aca="false">IF(ISERROR(VLOOKUP(A31,$AI$10:$AL$100,4,FALSE()))=FALSE(),VLOOKUP(A31,$AI$10:$AL$100,4,FALSE()),0)</f>
        <v>0</v>
      </c>
      <c r="G31" s="818" t="n">
        <f aca="false">F31+E31</f>
        <v>0</v>
      </c>
      <c r="H31" s="819" t="n">
        <f aca="false">VLOOKUP(A31,NymexData!$S$12:$T$128,2)</f>
        <v>3.196</v>
      </c>
      <c r="I31" s="820" t="n">
        <f aca="false">IF($I$7=1,NymexData!AN33,NymexData!X33)</f>
        <v>0.002</v>
      </c>
      <c r="J31" s="819" t="n">
        <f aca="false">IF($I$7=1,H31+I31,VLOOKUP(A31,NymexData!$AA$12:$AB$128,2))</f>
        <v>3.198</v>
      </c>
      <c r="K31" s="807" t="n">
        <f aca="false">B31*I31</f>
        <v>-3932.55057085248</v>
      </c>
      <c r="L31" s="807" t="n">
        <f aca="false">C31*I31</f>
        <v>0</v>
      </c>
      <c r="M31" s="811" t="n">
        <f aca="false">E31*I31</f>
        <v>0</v>
      </c>
      <c r="N31" s="807" t="n">
        <f aca="false">F31*I31</f>
        <v>0</v>
      </c>
      <c r="O31" s="811" t="n">
        <f aca="false">SUM(K31:N31)</f>
        <v>-3932.55057085248</v>
      </c>
      <c r="R31" s="817" t="n">
        <f aca="false">A31</f>
        <v>37803</v>
      </c>
      <c r="S31" s="807" t="n">
        <f aca="false">IF(ISERROR(VLOOKUP(R31,$AA$10:$AH$100,5,FALSE()))+ISERROR(VLOOKUP(R31,$AA$10:$AH$100,6,FALSE()))=0,VLOOKUP(R31,$AA$10:$AH$100,5,FALSE())+VLOOKUP(R31,$AA$10:$AH$100,6,FALSE()),0)</f>
        <v>259798.223535089</v>
      </c>
      <c r="T31" s="807" t="n">
        <f aca="false">IF(ISERROR(VLOOKUP(R31,$AA$10:$AH$100,7,FALSE()))=FALSE(),VLOOKUP(R31,$AA$10:$AH$100,7,FALSE()),0)</f>
        <v>0</v>
      </c>
      <c r="U31" s="807" t="n">
        <f aca="false">IF(ISERROR(VLOOKUP(R31,$AA$10:$AH$100,8,FALSE()))=FALSE(),VLOOKUP(R31,$AA$10:$AH$100,8,FALSE()),0)</f>
        <v>-176591.78627661</v>
      </c>
      <c r="V31" s="807" t="n">
        <f aca="false">S31+T31+U31</f>
        <v>83206.437258479</v>
      </c>
      <c r="W31" s="814" t="n">
        <f aca="false">[1]Cinergy!$F55</f>
        <v>-0.5</v>
      </c>
      <c r="X31" s="807" t="n">
        <f aca="false">S31*W31</f>
        <v>-129899.111767545</v>
      </c>
      <c r="Y31" s="807" t="n">
        <f aca="false">T31*W31</f>
        <v>-0</v>
      </c>
      <c r="Z31" s="807" t="n">
        <f aca="false">U31*W31</f>
        <v>88295.893138305</v>
      </c>
      <c r="AA31" s="804" t="n">
        <v>37469</v>
      </c>
      <c r="AB31" s="815" t="n">
        <v>-835967.107111483</v>
      </c>
      <c r="AC31" s="815" t="n">
        <v>-1052542.50849061</v>
      </c>
      <c r="AD31" s="815" t="n">
        <v>54408.8727</v>
      </c>
      <c r="AE31" s="815" t="n">
        <v>122903.933884327</v>
      </c>
      <c r="AF31" s="815" t="n">
        <v>155414.106285042</v>
      </c>
      <c r="AG31" s="815" t="n">
        <v>-234262.787123785</v>
      </c>
      <c r="AH31" s="815" t="n">
        <v>78087.5957079281</v>
      </c>
      <c r="AI31" s="804" t="n">
        <v>37347</v>
      </c>
      <c r="AJ31" s="459" t="n">
        <v>0</v>
      </c>
      <c r="AK31" s="821" t="n">
        <v>0</v>
      </c>
      <c r="AL31" s="815" t="n">
        <v>0</v>
      </c>
      <c r="AM31" s="822" t="n">
        <f aca="false">+AA31</f>
        <v>37469</v>
      </c>
      <c r="AN31" s="815" t="n">
        <f aca="false">SUM(AG31:AH31)/TradeSum!CD32</f>
        <v>-464.807117309098</v>
      </c>
      <c r="AO31" s="815"/>
    </row>
    <row r="32" customFormat="false" ht="15" hidden="false" customHeight="false" outlineLevel="0" collapsed="false">
      <c r="A32" s="817" t="n">
        <f aca="false">IF($B$5=1,[1]Cinergy!$D56,[1]Cinergy!$D57)</f>
        <v>37834</v>
      </c>
      <c r="B32" s="807" t="n">
        <f aca="false">IF(ISERROR(VLOOKUP(A32,$AA$10:$AH$100,2,FALSE()))+ISERROR(VLOOKUP(A32,$AA$10:$AH$100,3,FALSE()))=0,VLOOKUP(A32,$AA$10:$AH$100,2,FALSE())+VLOOKUP(A32,$AA$10:$AH$100,3,FALSE()),0)</f>
        <v>-1868884.9924154</v>
      </c>
      <c r="C32" s="807" t="n">
        <f aca="false">IF(ISERROR(VLOOKUP(A32,$AA$10:$AH$100,4,FALSE()))=FALSE(),VLOOKUP(A32,$AA$10:$AH$100,4,FALSE()),0)</f>
        <v>0</v>
      </c>
      <c r="D32" s="818" t="n">
        <f aca="false">B32+C32</f>
        <v>-1868884.9924154</v>
      </c>
      <c r="E32" s="807" t="n">
        <f aca="false">IF(ISERROR(VLOOKUP(A32,$AI$10:$AL$100,2,FALSE()))+ISERROR(VLOOKUP(A32,$AI$10:$AL$100,3,FALSE()))=0,VLOOKUP(A32,$AI$10:$AL$100,2,FALSE())+VLOOKUP(A32,$AI$10:$AL$100,3,FALSE()),0)</f>
        <v>0</v>
      </c>
      <c r="F32" s="807" t="n">
        <f aca="false">IF(ISERROR(VLOOKUP(A32,$AI$10:$AL$100,4,FALSE()))=FALSE(),VLOOKUP(A32,$AI$10:$AL$100,4,FALSE()),0)</f>
        <v>0</v>
      </c>
      <c r="G32" s="818" t="n">
        <f aca="false">F32+E32</f>
        <v>0</v>
      </c>
      <c r="H32" s="819" t="n">
        <f aca="false">VLOOKUP(A32,NymexData!$S$12:$T$128,2)</f>
        <v>3.216</v>
      </c>
      <c r="I32" s="820" t="n">
        <f aca="false">IF($I$7=1,NymexData!AN34,NymexData!X34)</f>
        <v>0.002</v>
      </c>
      <c r="J32" s="819" t="n">
        <f aca="false">IF($I$7=1,H32+I32,VLOOKUP(A32,NymexData!$AA$12:$AB$128,2))</f>
        <v>3.218</v>
      </c>
      <c r="K32" s="807" t="n">
        <f aca="false">B32*I32</f>
        <v>-3737.76998483079</v>
      </c>
      <c r="L32" s="807" t="n">
        <f aca="false">C32*I32</f>
        <v>0</v>
      </c>
      <c r="M32" s="811" t="n">
        <f aca="false">E32*I32</f>
        <v>0</v>
      </c>
      <c r="N32" s="807" t="n">
        <f aca="false">F32*I32</f>
        <v>0</v>
      </c>
      <c r="O32" s="811" t="n">
        <f aca="false">SUM(K32:N32)</f>
        <v>-3737.76998483079</v>
      </c>
      <c r="R32" s="817" t="n">
        <f aca="false">A32</f>
        <v>37834</v>
      </c>
      <c r="S32" s="807" t="n">
        <f aca="false">IF(ISERROR(VLOOKUP(R32,$AA$10:$AH$100,5,FALSE()))+ISERROR(VLOOKUP(R32,$AA$10:$AH$100,6,FALSE()))=0,VLOOKUP(R32,$AA$10:$AH$100,5,FALSE())+VLOOKUP(R32,$AA$10:$AH$100,6,FALSE()),0)</f>
        <v>246639.23683076</v>
      </c>
      <c r="T32" s="807" t="n">
        <f aca="false">IF(ISERROR(VLOOKUP(R32,$AA$10:$AH$100,7,FALSE()))=FALSE(),VLOOKUP(R32,$AA$10:$AH$100,7,FALSE()),0)</f>
        <v>0</v>
      </c>
      <c r="U32" s="807" t="n">
        <f aca="false">IF(ISERROR(VLOOKUP(R32,$AA$10:$AH$100,8,FALSE()))=FALSE(),VLOOKUP(R32,$AA$10:$AH$100,8,FALSE()),0)</f>
        <v>-167629.34543028</v>
      </c>
      <c r="V32" s="807" t="n">
        <f aca="false">S32+T32+U32</f>
        <v>79009.89140048</v>
      </c>
      <c r="W32" s="814" t="n">
        <f aca="false">[1]Cinergy!$F56</f>
        <v>-0.5</v>
      </c>
      <c r="X32" s="807" t="n">
        <f aca="false">S32*W32</f>
        <v>-123319.61841538</v>
      </c>
      <c r="Y32" s="807" t="n">
        <f aca="false">T32*W32</f>
        <v>-0</v>
      </c>
      <c r="Z32" s="807" t="n">
        <f aca="false">U32*W32</f>
        <v>83814.67271514</v>
      </c>
      <c r="AA32" s="804" t="n">
        <v>37500</v>
      </c>
      <c r="AB32" s="815" t="n">
        <v>-252904.050561097</v>
      </c>
      <c r="AC32" s="815" t="n">
        <v>-271486.876011972</v>
      </c>
      <c r="AD32" s="815" t="n">
        <v>89727.4045</v>
      </c>
      <c r="AE32" s="815" t="n">
        <v>31521.9588347406</v>
      </c>
      <c r="AF32" s="815" t="n">
        <v>34331.0997683028</v>
      </c>
      <c r="AG32" s="815" t="n">
        <v>-28246.1448278163</v>
      </c>
      <c r="AH32" s="815" t="n">
        <v>14123.0724139082</v>
      </c>
      <c r="AI32" s="804" t="n">
        <v>37377</v>
      </c>
      <c r="AJ32" s="459" t="n">
        <v>0</v>
      </c>
      <c r="AK32" s="821" t="n">
        <v>0</v>
      </c>
      <c r="AL32" s="815" t="n">
        <v>0</v>
      </c>
      <c r="AM32" s="822" t="n">
        <f aca="false">+AA32</f>
        <v>37500</v>
      </c>
      <c r="AN32" s="815" t="n">
        <f aca="false">SUM(AG32:AH32)/TradeSum!CD33</f>
        <v>-40.1223648122389</v>
      </c>
      <c r="AO32" s="815"/>
    </row>
    <row r="33" customFormat="false" ht="15" hidden="false" customHeight="false" outlineLevel="0" collapsed="false">
      <c r="A33" s="817" t="n">
        <f aca="false">IF($B$5=1,[1]Cinergy!$D57,[1]Cinergy!$D58)</f>
        <v>37865</v>
      </c>
      <c r="B33" s="807" t="n">
        <f aca="false">IF(ISERROR(VLOOKUP(A33,$AA$10:$AH$100,2,FALSE()))+ISERROR(VLOOKUP(A33,$AA$10:$AH$100,3,FALSE()))=0,VLOOKUP(A33,$AA$10:$AH$100,2,FALSE())+VLOOKUP(A33,$AA$10:$AH$100,3,FALSE()),0)</f>
        <v>-605594.830937981</v>
      </c>
      <c r="C33" s="807" t="n">
        <f aca="false">IF(ISERROR(VLOOKUP(A33,$AA$10:$AH$100,4,FALSE()))=FALSE(),VLOOKUP(A33,$AA$10:$AH$100,4,FALSE()),0)</f>
        <v>0</v>
      </c>
      <c r="D33" s="818" t="n">
        <f aca="false">B33+C33</f>
        <v>-605594.830937981</v>
      </c>
      <c r="E33" s="807" t="n">
        <f aca="false">IF(ISERROR(VLOOKUP(A33,$AI$10:$AL$100,2,FALSE()))+ISERROR(VLOOKUP(A33,$AI$10:$AL$100,3,FALSE()))=0,VLOOKUP(A33,$AI$10:$AL$100,2,FALSE())+VLOOKUP(A33,$AI$10:$AL$100,3,FALSE()),0)</f>
        <v>0</v>
      </c>
      <c r="F33" s="807" t="n">
        <f aca="false">IF(ISERROR(VLOOKUP(A33,$AI$10:$AL$100,4,FALSE()))=FALSE(),VLOOKUP(A33,$AI$10:$AL$100,4,FALSE()),0)</f>
        <v>0</v>
      </c>
      <c r="G33" s="818" t="n">
        <f aca="false">F33+E33</f>
        <v>0</v>
      </c>
      <c r="H33" s="819" t="n">
        <f aca="false">VLOOKUP(A33,NymexData!$S$12:$T$128,2)</f>
        <v>3.216</v>
      </c>
      <c r="I33" s="820" t="n">
        <f aca="false">IF($I$7=1,NymexData!AN35,NymexData!X35)</f>
        <v>0.001</v>
      </c>
      <c r="J33" s="819" t="n">
        <f aca="false">IF($I$7=1,H33+I33,VLOOKUP(A33,NymexData!$AA$12:$AB$128,2))</f>
        <v>3.217</v>
      </c>
      <c r="K33" s="807" t="n">
        <f aca="false">B33*I33</f>
        <v>-605.594830937981</v>
      </c>
      <c r="L33" s="807" t="n">
        <f aca="false">C33*I33</f>
        <v>0</v>
      </c>
      <c r="M33" s="811" t="n">
        <f aca="false">E33*I33</f>
        <v>0</v>
      </c>
      <c r="N33" s="807" t="n">
        <f aca="false">F33*I33</f>
        <v>0</v>
      </c>
      <c r="O33" s="811" t="n">
        <f aca="false">SUM(K33:N33)</f>
        <v>-605.594830937981</v>
      </c>
      <c r="R33" s="817" t="n">
        <f aca="false">A33</f>
        <v>37865</v>
      </c>
      <c r="S33" s="807" t="n">
        <f aca="false">IF(ISERROR(VLOOKUP(R33,$AA$10:$AH$100,5,FALSE()))+ISERROR(VLOOKUP(R33,$AA$10:$AH$100,6,FALSE()))=0,VLOOKUP(R33,$AA$10:$AH$100,5,FALSE())+VLOOKUP(R33,$AA$10:$AH$100,6,FALSE()),0)</f>
        <v>73928.6988712956</v>
      </c>
      <c r="T33" s="807" t="n">
        <f aca="false">IF(ISERROR(VLOOKUP(R33,$AA$10:$AH$100,7,FALSE()))=FALSE(),VLOOKUP(R33,$AA$10:$AH$100,7,FALSE()),0)</f>
        <v>0</v>
      </c>
      <c r="U33" s="807" t="n">
        <f aca="false">IF(ISERROR(VLOOKUP(R33,$AA$10:$AH$100,8,FALSE()))=FALSE(),VLOOKUP(R33,$AA$10:$AH$100,8,FALSE()),0)</f>
        <v>0</v>
      </c>
      <c r="V33" s="807" t="n">
        <f aca="false">S33+T33+U33</f>
        <v>73928.6988712956</v>
      </c>
      <c r="W33" s="814" t="n">
        <f aca="false">[1]Cinergy!$F57</f>
        <v>0</v>
      </c>
      <c r="X33" s="807" t="n">
        <f aca="false">S33*W33</f>
        <v>0</v>
      </c>
      <c r="Y33" s="807" t="n">
        <f aca="false">T33*W33</f>
        <v>0</v>
      </c>
      <c r="Z33" s="807" t="n">
        <f aca="false">U33*W33</f>
        <v>0</v>
      </c>
      <c r="AA33" s="804" t="n">
        <v>37530</v>
      </c>
      <c r="AB33" s="815" t="n">
        <v>-35506.4693880603</v>
      </c>
      <c r="AC33" s="815" t="n">
        <v>-31559.8992699442</v>
      </c>
      <c r="AD33" s="815" t="n">
        <v>53830.6662</v>
      </c>
      <c r="AE33" s="815" t="n">
        <v>5935.71064568425</v>
      </c>
      <c r="AF33" s="815" t="n">
        <v>5361.82051480716</v>
      </c>
      <c r="AG33" s="815" t="n">
        <v>-32306.3194767414</v>
      </c>
      <c r="AH33" s="815" t="n">
        <v>16153.1597383707</v>
      </c>
      <c r="AI33" s="804" t="n">
        <v>37408</v>
      </c>
      <c r="AJ33" s="459" t="n">
        <v>0</v>
      </c>
      <c r="AK33" s="821" t="n">
        <v>0</v>
      </c>
      <c r="AL33" s="815" t="n">
        <v>0</v>
      </c>
      <c r="AM33" s="822" t="n">
        <f aca="false">+AA33</f>
        <v>37530</v>
      </c>
      <c r="AN33" s="815" t="n">
        <f aca="false">SUM(AG33:AH33)/TradeSum!CD34</f>
        <v>-48.0748801737223</v>
      </c>
      <c r="AO33" s="815"/>
    </row>
    <row r="34" customFormat="false" ht="15" hidden="false" customHeight="false" outlineLevel="0" collapsed="false">
      <c r="A34" s="817" t="n">
        <f aca="false">IF($B$5=1,[1]Cinergy!$D58,[1]Cinergy!$D59)</f>
        <v>37895</v>
      </c>
      <c r="B34" s="807" t="n">
        <f aca="false">IF(ISERROR(VLOOKUP(A34,$AA$10:$AH$100,2,FALSE()))+ISERROR(VLOOKUP(A34,$AA$10:$AH$100,3,FALSE()))=0,VLOOKUP(A34,$AA$10:$AH$100,2,FALSE())+VLOOKUP(A34,$AA$10:$AH$100,3,FALSE()),0)</f>
        <v>-89730.5366432671</v>
      </c>
      <c r="C34" s="807" t="n">
        <f aca="false">IF(ISERROR(VLOOKUP(A34,$AA$10:$AH$100,4,FALSE()))=FALSE(),VLOOKUP(A34,$AA$10:$AH$100,4,FALSE()),0)</f>
        <v>0</v>
      </c>
      <c r="D34" s="818" t="n">
        <f aca="false">B34+C34</f>
        <v>-89730.5366432671</v>
      </c>
      <c r="E34" s="807" t="n">
        <f aca="false">IF(ISERROR(VLOOKUP(A34,$AI$10:$AL$100,2,FALSE()))+ISERROR(VLOOKUP(A34,$AI$10:$AL$100,3,FALSE()))=0,VLOOKUP(A34,$AI$10:$AL$100,2,FALSE())+VLOOKUP(A34,$AI$10:$AL$100,3,FALSE()),0)</f>
        <v>0</v>
      </c>
      <c r="F34" s="807" t="n">
        <f aca="false">IF(ISERROR(VLOOKUP(A34,$AI$10:$AL$100,4,FALSE()))=FALSE(),VLOOKUP(A34,$AI$10:$AL$100,4,FALSE()),0)</f>
        <v>0</v>
      </c>
      <c r="G34" s="818" t="n">
        <f aca="false">F34+E34</f>
        <v>0</v>
      </c>
      <c r="H34" s="819" t="n">
        <f aca="false">VLOOKUP(A34,NymexData!$S$12:$T$128,2)</f>
        <v>3.221</v>
      </c>
      <c r="I34" s="820" t="n">
        <f aca="false">IF($I$7=1,NymexData!AN36,NymexData!X36)</f>
        <v>0.001</v>
      </c>
      <c r="J34" s="819" t="n">
        <f aca="false">IF($I$7=1,H34+I34,VLOOKUP(A34,NymexData!$AA$12:$AB$128,2))</f>
        <v>3.222</v>
      </c>
      <c r="K34" s="807" t="n">
        <f aca="false">B34*I34</f>
        <v>-89.7305366432671</v>
      </c>
      <c r="L34" s="807" t="n">
        <f aca="false">C34*I34</f>
        <v>0</v>
      </c>
      <c r="M34" s="811" t="n">
        <f aca="false">E34*I34</f>
        <v>0</v>
      </c>
      <c r="N34" s="807" t="n">
        <f aca="false">F34*I34</f>
        <v>0</v>
      </c>
      <c r="O34" s="811" t="n">
        <f aca="false">SUM(K34:N34)</f>
        <v>-89.7305366432671</v>
      </c>
      <c r="R34" s="817" t="n">
        <f aca="false">A34</f>
        <v>37895</v>
      </c>
      <c r="S34" s="807" t="n">
        <f aca="false">IF(ISERROR(VLOOKUP(R34,$AA$10:$AH$100,5,FALSE()))+ISERROR(VLOOKUP(R34,$AA$10:$AH$100,6,FALSE()))=0,VLOOKUP(R34,$AA$10:$AH$100,5,FALSE())+VLOOKUP(R34,$AA$10:$AH$100,6,FALSE()),0)</f>
        <v>13733.3083101553</v>
      </c>
      <c r="T34" s="807" t="n">
        <f aca="false">IF(ISERROR(VLOOKUP(R34,$AA$10:$AH$100,7,FALSE()))=FALSE(),VLOOKUP(R34,$AA$10:$AH$100,7,FALSE()),0)</f>
        <v>0</v>
      </c>
      <c r="U34" s="807" t="n">
        <f aca="false">IF(ISERROR(VLOOKUP(R34,$AA$10:$AH$100,8,FALSE()))=FALSE(),VLOOKUP(R34,$AA$10:$AH$100,8,FALSE()),0)</f>
        <v>0</v>
      </c>
      <c r="V34" s="807" t="n">
        <f aca="false">S34+T34+U34</f>
        <v>13733.3083101553</v>
      </c>
      <c r="W34" s="814" t="n">
        <f aca="false">[1]Cinergy!$F58</f>
        <v>-0.365001320838928</v>
      </c>
      <c r="X34" s="807" t="n">
        <f aca="false">S34*W34</f>
        <v>-5012.67567269493</v>
      </c>
      <c r="Y34" s="807" t="n">
        <f aca="false">T34*W34</f>
        <v>-0</v>
      </c>
      <c r="Z34" s="807" t="n">
        <f aca="false">U34*W34</f>
        <v>-0</v>
      </c>
      <c r="AA34" s="804" t="n">
        <v>37561</v>
      </c>
      <c r="AB34" s="815" t="n">
        <v>-769014.332567763</v>
      </c>
      <c r="AC34" s="815" t="n">
        <v>-1326523.83791825</v>
      </c>
      <c r="AD34" s="815" t="n">
        <v>12387.1055</v>
      </c>
      <c r="AE34" s="815" t="n">
        <v>13668.3499740567</v>
      </c>
      <c r="AF34" s="815" t="n">
        <v>21751.6141291247</v>
      </c>
      <c r="AG34" s="815" t="n">
        <v>-27943.8820693333</v>
      </c>
      <c r="AH34" s="815" t="n">
        <v>13971.9410346666</v>
      </c>
      <c r="AI34" s="804" t="n">
        <v>37438</v>
      </c>
      <c r="AJ34" s="459" t="n">
        <v>0</v>
      </c>
      <c r="AK34" s="821" t="n">
        <v>0</v>
      </c>
      <c r="AL34" s="815" t="n">
        <v>0</v>
      </c>
      <c r="AM34" s="822" t="n">
        <f aca="false">+AA34</f>
        <v>37561</v>
      </c>
      <c r="AN34" s="815" t="n">
        <f aca="false">SUM(AG34:AH34)/TradeSum!CD35</f>
        <v>-41.5831578412699</v>
      </c>
      <c r="AO34" s="815"/>
    </row>
    <row r="35" customFormat="false" ht="15" hidden="false" customHeight="false" outlineLevel="0" collapsed="false">
      <c r="A35" s="817" t="n">
        <f aca="false">IF($B$5=1,[1]Cinergy!$D59,[1]Cinergy!$D60)</f>
        <v>37926</v>
      </c>
      <c r="B35" s="807" t="n">
        <f aca="false">IF(ISERROR(VLOOKUP(A35,$AA$10:$AH$100,2,FALSE()))+ISERROR(VLOOKUP(A35,$AA$10:$AH$100,3,FALSE()))=0,VLOOKUP(A35,$AA$10:$AH$100,2,FALSE())+VLOOKUP(A35,$AA$10:$AH$100,3,FALSE()),0)</f>
        <v>-2429679.55650635</v>
      </c>
      <c r="C35" s="807" t="n">
        <f aca="false">IF(ISERROR(VLOOKUP(A35,$AA$10:$AH$100,4,FALSE()))=FALSE(),VLOOKUP(A35,$AA$10:$AH$100,4,FALSE()),0)</f>
        <v>0</v>
      </c>
      <c r="D35" s="818" t="n">
        <f aca="false">B35+C35</f>
        <v>-2429679.55650635</v>
      </c>
      <c r="E35" s="807" t="n">
        <f aca="false">IF(ISERROR(VLOOKUP(A35,$AI$10:$AL$100,2,FALSE()))+ISERROR(VLOOKUP(A35,$AI$10:$AL$100,3,FALSE()))=0,VLOOKUP(A35,$AI$10:$AL$100,2,FALSE())+VLOOKUP(A35,$AI$10:$AL$100,3,FALSE()),0)</f>
        <v>0</v>
      </c>
      <c r="F35" s="807" t="n">
        <f aca="false">IF(ISERROR(VLOOKUP(A35,$AI$10:$AL$100,4,FALSE()))=FALSE(),VLOOKUP(A35,$AI$10:$AL$100,4,FALSE()),0)</f>
        <v>0</v>
      </c>
      <c r="G35" s="818" t="n">
        <f aca="false">F35+E35</f>
        <v>0</v>
      </c>
      <c r="H35" s="819" t="n">
        <f aca="false">VLOOKUP(A35,NymexData!$S$12:$T$128,2)</f>
        <v>3.371</v>
      </c>
      <c r="I35" s="820" t="n">
        <f aca="false">IF($I$7=1,NymexData!AN37,NymexData!X37)</f>
        <v>0.001</v>
      </c>
      <c r="J35" s="819" t="n">
        <f aca="false">IF($I$7=1,H35+I35,VLOOKUP(A35,NymexData!$AA$12:$AB$128,2))</f>
        <v>3.372</v>
      </c>
      <c r="K35" s="807" t="n">
        <f aca="false">B35*I35</f>
        <v>-2429.67955650635</v>
      </c>
      <c r="L35" s="807" t="n">
        <f aca="false">C35*I35</f>
        <v>0</v>
      </c>
      <c r="M35" s="811" t="n">
        <f aca="false">E35*I35</f>
        <v>0</v>
      </c>
      <c r="N35" s="807" t="n">
        <f aca="false">F35*I35</f>
        <v>0</v>
      </c>
      <c r="O35" s="811" t="n">
        <f aca="false">SUM(K35:N35)</f>
        <v>-2429.67955650635</v>
      </c>
      <c r="R35" s="817" t="n">
        <f aca="false">A35</f>
        <v>37926</v>
      </c>
      <c r="S35" s="807" t="n">
        <f aca="false">IF(ISERROR(VLOOKUP(R35,$AA$10:$AH$100,5,FALSE()))+ISERROR(VLOOKUP(R35,$AA$10:$AH$100,6,FALSE()))=0,VLOOKUP(R35,$AA$10:$AH$100,5,FALSE())+VLOOKUP(R35,$AA$10:$AH$100,6,FALSE()),0)</f>
        <v>38478.2650080118</v>
      </c>
      <c r="T35" s="807" t="n">
        <f aca="false">IF(ISERROR(VLOOKUP(R35,$AA$10:$AH$100,7,FALSE()))=FALSE(),VLOOKUP(R35,$AA$10:$AH$100,7,FALSE()),0)</f>
        <v>0</v>
      </c>
      <c r="U35" s="807" t="n">
        <f aca="false">IF(ISERROR(VLOOKUP(R35,$AA$10:$AH$100,8,FALSE()))=FALSE(),VLOOKUP(R35,$AA$10:$AH$100,8,FALSE()),0)</f>
        <v>0</v>
      </c>
      <c r="V35" s="807" t="n">
        <f aca="false">S35+T35+U35</f>
        <v>38478.2650080118</v>
      </c>
      <c r="W35" s="814" t="n">
        <f aca="false">[1]Cinergy!$F59</f>
        <v>-0.365001320838928</v>
      </c>
      <c r="X35" s="807" t="n">
        <f aca="false">S35*W35</f>
        <v>-14044.6175515146</v>
      </c>
      <c r="Y35" s="807" t="n">
        <f aca="false">T35*W35</f>
        <v>-0</v>
      </c>
      <c r="Z35" s="807" t="n">
        <f aca="false">U35*W35</f>
        <v>-0</v>
      </c>
      <c r="AA35" s="804" t="n">
        <v>37591</v>
      </c>
      <c r="AB35" s="815" t="n">
        <v>-453221.959798295</v>
      </c>
      <c r="AC35" s="815" t="n">
        <v>-830311.655309745</v>
      </c>
      <c r="AD35" s="815" t="n">
        <v>-13963.8647</v>
      </c>
      <c r="AE35" s="815" t="n">
        <v>10856.8694810258</v>
      </c>
      <c r="AF35" s="815" t="n">
        <v>18270.6845223861</v>
      </c>
      <c r="AG35" s="815" t="n">
        <v>-29179.3987147278</v>
      </c>
      <c r="AH35" s="815" t="n">
        <v>14589.6993573639</v>
      </c>
      <c r="AI35" s="804" t="n">
        <v>37469</v>
      </c>
      <c r="AJ35" s="459" t="n">
        <v>0</v>
      </c>
      <c r="AK35" s="821" t="n">
        <v>0</v>
      </c>
      <c r="AL35" s="815" t="n">
        <v>0</v>
      </c>
      <c r="AM35" s="822" t="n">
        <f aca="false">+AA35</f>
        <v>37591</v>
      </c>
      <c r="AN35" s="815" t="n">
        <f aca="false">SUM(AG35:AH35)/TradeSum!CD36</f>
        <v>-39.6459221667497</v>
      </c>
      <c r="AO35" s="815"/>
    </row>
    <row r="36" customFormat="false" ht="15" hidden="false" customHeight="false" outlineLevel="0" collapsed="false">
      <c r="A36" s="817" t="n">
        <f aca="false">IF($B$5=1,[1]Cinergy!$D60,[1]Cinergy!$D61)</f>
        <v>37956</v>
      </c>
      <c r="B36" s="807" t="n">
        <f aca="false">IF(ISERROR(VLOOKUP(A36,$AA$10:$AH$100,2,FALSE()))+ISERROR(VLOOKUP(A36,$AA$10:$AH$100,3,FALSE()))=0,VLOOKUP(A36,$AA$10:$AH$100,2,FALSE())+VLOOKUP(A36,$AA$10:$AH$100,3,FALSE()),0)</f>
        <v>-1607831.92145393</v>
      </c>
      <c r="C36" s="807" t="n">
        <f aca="false">IF(ISERROR(VLOOKUP(A36,$AA$10:$AH$100,4,FALSE()))=FALSE(),VLOOKUP(A36,$AA$10:$AH$100,4,FALSE()),0)</f>
        <v>0</v>
      </c>
      <c r="D36" s="818" t="n">
        <f aca="false">B36+C36</f>
        <v>-1607831.92145393</v>
      </c>
      <c r="E36" s="807" t="n">
        <f aca="false">IF(ISERROR(VLOOKUP(A36,$AI$10:$AL$100,2,FALSE()))+ISERROR(VLOOKUP(A36,$AI$10:$AL$100,3,FALSE()))=0,VLOOKUP(A36,$AI$10:$AL$100,2,FALSE())+VLOOKUP(A36,$AI$10:$AL$100,3,FALSE()),0)</f>
        <v>0</v>
      </c>
      <c r="F36" s="807" t="n">
        <f aca="false">IF(ISERROR(VLOOKUP(A36,$AI$10:$AL$100,4,FALSE()))=FALSE(),VLOOKUP(A36,$AI$10:$AL$100,4,FALSE()),0)</f>
        <v>0</v>
      </c>
      <c r="G36" s="818" t="n">
        <f aca="false">F36+E36</f>
        <v>0</v>
      </c>
      <c r="H36" s="819" t="n">
        <f aca="false">VLOOKUP(A36,NymexData!$S$12:$T$128,2)</f>
        <v>3.526</v>
      </c>
      <c r="I36" s="820" t="n">
        <f aca="false">IF($I$7=1,NymexData!AN38,NymexData!X38)</f>
        <v>0</v>
      </c>
      <c r="J36" s="819" t="n">
        <f aca="false">IF($I$7=1,H36+I36,VLOOKUP(A36,NymexData!$AA$12:$AB$128,2))</f>
        <v>3.526</v>
      </c>
      <c r="K36" s="807" t="n">
        <f aca="false">B36*I36</f>
        <v>-0</v>
      </c>
      <c r="L36" s="807" t="n">
        <f aca="false">C36*I36</f>
        <v>0</v>
      </c>
      <c r="M36" s="811" t="n">
        <f aca="false">E36*I36</f>
        <v>0</v>
      </c>
      <c r="N36" s="807" t="n">
        <f aca="false">F36*I36</f>
        <v>0</v>
      </c>
      <c r="O36" s="811" t="n">
        <f aca="false">SUM(K36:N36)</f>
        <v>0</v>
      </c>
      <c r="R36" s="817" t="n">
        <f aca="false">A36</f>
        <v>37956</v>
      </c>
      <c r="S36" s="807" t="n">
        <f aca="false">IF(ISERROR(VLOOKUP(R36,$AA$10:$AH$100,5,FALSE()))+ISERROR(VLOOKUP(R36,$AA$10:$AH$100,6,FALSE()))=0,VLOOKUP(R36,$AA$10:$AH$100,5,FALSE())+VLOOKUP(R36,$AA$10:$AH$100,6,FALSE()),0)</f>
        <v>34528.6476352976</v>
      </c>
      <c r="T36" s="807" t="n">
        <f aca="false">IF(ISERROR(VLOOKUP(R36,$AA$10:$AH$100,7,FALSE()))=FALSE(),VLOOKUP(R36,$AA$10:$AH$100,7,FALSE()),0)</f>
        <v>0</v>
      </c>
      <c r="U36" s="807" t="n">
        <f aca="false">IF(ISERROR(VLOOKUP(R36,$AA$10:$AH$100,8,FALSE()))=FALSE(),VLOOKUP(R36,$AA$10:$AH$100,8,FALSE()),0)</f>
        <v>0</v>
      </c>
      <c r="V36" s="807" t="n">
        <f aca="false">S36+T36+U36</f>
        <v>34528.6476352976</v>
      </c>
      <c r="W36" s="814" t="n">
        <f aca="false">[1]Cinergy!$F60</f>
        <v>-0.365001320838928</v>
      </c>
      <c r="X36" s="807" t="n">
        <f aca="false">S36*W36</f>
        <v>-12603.0019936656</v>
      </c>
      <c r="Y36" s="807" t="n">
        <f aca="false">T36*W36</f>
        <v>-0</v>
      </c>
      <c r="Z36" s="807" t="n">
        <f aca="false">U36*W36</f>
        <v>-0</v>
      </c>
      <c r="AA36" s="804" t="n">
        <v>37622</v>
      </c>
      <c r="AB36" s="815" t="n">
        <v>-902945.035463256</v>
      </c>
      <c r="AC36" s="815" t="n">
        <v>-1560835.46465501</v>
      </c>
      <c r="AD36" s="815" t="n">
        <v>0</v>
      </c>
      <c r="AE36" s="815" t="n">
        <v>23624.8015115764</v>
      </c>
      <c r="AF36" s="815" t="n">
        <v>37603.4354934648</v>
      </c>
      <c r="AG36" s="815" t="n">
        <v>-45599.5857179446</v>
      </c>
      <c r="AH36" s="815" t="n">
        <v>0</v>
      </c>
      <c r="AI36" s="804" t="n">
        <v>37500</v>
      </c>
      <c r="AJ36" s="459" t="n">
        <v>0</v>
      </c>
      <c r="AK36" s="821" t="n">
        <v>0</v>
      </c>
      <c r="AL36" s="815" t="n">
        <v>0</v>
      </c>
      <c r="AM36" s="822" t="n">
        <f aca="false">+AA36</f>
        <v>37622</v>
      </c>
      <c r="AN36" s="815" t="n">
        <f aca="false">SUM(AG36:AH36)/TradeSum!CD37</f>
        <v>-149.998637230081</v>
      </c>
      <c r="AO36" s="815"/>
    </row>
    <row r="37" customFormat="false" ht="15" hidden="false" customHeight="false" outlineLevel="0" collapsed="false">
      <c r="A37" s="817" t="n">
        <f aca="false">IF($B$5=1,[1]Cinergy!$D61,[1]Cinergy!$D62)</f>
        <v>37987</v>
      </c>
      <c r="B37" s="807" t="n">
        <f aca="false">IF(ISERROR(VLOOKUP(A37,$AA$10:$AH$100,2,FALSE()))+ISERROR(VLOOKUP(A37,$AA$10:$AH$100,3,FALSE()))=0,VLOOKUP(A37,$AA$10:$AH$100,2,FALSE())+VLOOKUP(A37,$AA$10:$AH$100,3,FALSE()),0)</f>
        <v>-2434964.87834324</v>
      </c>
      <c r="C37" s="807" t="n">
        <f aca="false">IF(ISERROR(VLOOKUP(A37,$AA$10:$AH$100,4,FALSE()))=FALSE(),VLOOKUP(A37,$AA$10:$AH$100,4,FALSE()),0)</f>
        <v>0</v>
      </c>
      <c r="D37" s="818" t="n">
        <f aca="false">B37+C37</f>
        <v>-2434964.87834324</v>
      </c>
      <c r="E37" s="807" t="n">
        <f aca="false">IF(ISERROR(VLOOKUP(A37,$AI$10:$AL$100,2,FALSE()))+ISERROR(VLOOKUP(A37,$AI$10:$AL$100,3,FALSE()))=0,VLOOKUP(A37,$AI$10:$AL$100,2,FALSE())+VLOOKUP(A37,$AI$10:$AL$100,3,FALSE()),0)</f>
        <v>0</v>
      </c>
      <c r="F37" s="807" t="n">
        <f aca="false">IF(ISERROR(VLOOKUP(A37,$AI$10:$AL$100,4,FALSE()))=FALSE(),VLOOKUP(A37,$AI$10:$AL$100,4,FALSE()),0)</f>
        <v>0</v>
      </c>
      <c r="G37" s="818" t="n">
        <f aca="false">F37+E37</f>
        <v>0</v>
      </c>
      <c r="H37" s="819" t="n">
        <f aca="false">VLOOKUP(A37,NymexData!$S$12:$T$128,2)</f>
        <v>3.581</v>
      </c>
      <c r="I37" s="820" t="n">
        <f aca="false">IF($I$7=1,NymexData!AN39,NymexData!X39)</f>
        <v>0</v>
      </c>
      <c r="J37" s="819" t="n">
        <f aca="false">IF($I$7=1,H37+I37,VLOOKUP(A37,NymexData!$AA$12:$AB$128,2))</f>
        <v>3.581</v>
      </c>
      <c r="K37" s="807" t="n">
        <f aca="false">B37*I37</f>
        <v>-0</v>
      </c>
      <c r="L37" s="807" t="n">
        <f aca="false">C37*I37</f>
        <v>0</v>
      </c>
      <c r="M37" s="811" t="n">
        <f aca="false">E37*I37</f>
        <v>0</v>
      </c>
      <c r="N37" s="807" t="n">
        <f aca="false">F37*I37</f>
        <v>0</v>
      </c>
      <c r="O37" s="811" t="n">
        <f aca="false">SUM(K37:N37)</f>
        <v>0</v>
      </c>
      <c r="R37" s="817" t="n">
        <f aca="false">A37</f>
        <v>37987</v>
      </c>
      <c r="S37" s="807" t="n">
        <f aca="false">IF(ISERROR(VLOOKUP(R37,$AA$10:$AH$100,5,FALSE()))+ISERROR(VLOOKUP(R37,$AA$10:$AH$100,6,FALSE()))=0,VLOOKUP(R37,$AA$10:$AH$100,5,FALSE())+VLOOKUP(R37,$AA$10:$AH$100,6,FALSE()),0)</f>
        <v>56179.8200817997</v>
      </c>
      <c r="T37" s="807" t="n">
        <f aca="false">IF(ISERROR(VLOOKUP(R37,$AA$10:$AH$100,7,FALSE()))=FALSE(),VLOOKUP(R37,$AA$10:$AH$100,7,FALSE()),0)</f>
        <v>0</v>
      </c>
      <c r="U37" s="807" t="n">
        <f aca="false">IF(ISERROR(VLOOKUP(R37,$AA$10:$AH$100,8,FALSE()))=FALSE(),VLOOKUP(R37,$AA$10:$AH$100,8,FALSE()),0)</f>
        <v>0</v>
      </c>
      <c r="V37" s="807" t="n">
        <f aca="false">S37+T37+U37</f>
        <v>56179.8200817997</v>
      </c>
      <c r="W37" s="814" t="n">
        <f aca="false">[1]Cinergy!$F61</f>
        <v>1.81652250574871E-007</v>
      </c>
      <c r="X37" s="807" t="n">
        <f aca="false">S37*W37</f>
        <v>0.0102051907547502</v>
      </c>
      <c r="Y37" s="807" t="n">
        <f aca="false">T37*W37</f>
        <v>0</v>
      </c>
      <c r="Z37" s="807" t="n">
        <f aca="false">U37*W37</f>
        <v>0</v>
      </c>
      <c r="AA37" s="804" t="n">
        <v>37653</v>
      </c>
      <c r="AB37" s="815" t="n">
        <v>-900782.970067775</v>
      </c>
      <c r="AC37" s="815" t="n">
        <v>-1568086.83537643</v>
      </c>
      <c r="AD37" s="815" t="n">
        <v>0</v>
      </c>
      <c r="AE37" s="815" t="n">
        <v>23014.7676613897</v>
      </c>
      <c r="AF37" s="815" t="n">
        <v>36802.795769983</v>
      </c>
      <c r="AG37" s="815" t="n">
        <v>-41247.0697998736</v>
      </c>
      <c r="AH37" s="815" t="n">
        <v>0</v>
      </c>
      <c r="AI37" s="804" t="n">
        <v>37530</v>
      </c>
      <c r="AJ37" s="459" t="n">
        <v>0</v>
      </c>
      <c r="AK37" s="821" t="n">
        <v>0</v>
      </c>
      <c r="AL37" s="815" t="n">
        <v>0</v>
      </c>
      <c r="AM37" s="822" t="n">
        <f aca="false">+AA37</f>
        <v>37653</v>
      </c>
      <c r="AN37" s="815" t="n">
        <f aca="false">SUM(AG37:AH37)/TradeSum!CD38</f>
        <v>-117.179175567823</v>
      </c>
      <c r="AO37" s="815"/>
    </row>
    <row r="38" customFormat="false" ht="15" hidden="false" customHeight="false" outlineLevel="0" collapsed="false">
      <c r="A38" s="817" t="n">
        <f aca="false">IF($B$5=1,[1]Cinergy!$D62,[1]Cinergy!$D63)</f>
        <v>38018</v>
      </c>
      <c r="B38" s="807" t="n">
        <f aca="false">IF(ISERROR(VLOOKUP(A38,$AA$10:$AH$100,2,FALSE()))+ISERROR(VLOOKUP(A38,$AA$10:$AH$100,3,FALSE()))=0,VLOOKUP(A38,$AA$10:$AH$100,2,FALSE())+VLOOKUP(A38,$AA$10:$AH$100,3,FALSE()),0)</f>
        <v>-2516824.89779146</v>
      </c>
      <c r="C38" s="807" t="n">
        <f aca="false">IF(ISERROR(VLOOKUP(A38,$AA$10:$AH$100,4,FALSE()))=FALSE(),VLOOKUP(A38,$AA$10:$AH$100,4,FALSE()),0)</f>
        <v>0</v>
      </c>
      <c r="D38" s="818" t="n">
        <f aca="false">B38+C38</f>
        <v>-2516824.89779146</v>
      </c>
      <c r="E38" s="807" t="n">
        <f aca="false">IF(ISERROR(VLOOKUP(A38,$AI$10:$AL$100,2,FALSE()))+ISERROR(VLOOKUP(A38,$AI$10:$AL$100,3,FALSE()))=0,VLOOKUP(A38,$AI$10:$AL$100,2,FALSE())+VLOOKUP(A38,$AI$10:$AL$100,3,FALSE()),0)</f>
        <v>0</v>
      </c>
      <c r="F38" s="807" t="n">
        <f aca="false">IF(ISERROR(VLOOKUP(A38,$AI$10:$AL$100,4,FALSE()))=FALSE(),VLOOKUP(A38,$AI$10:$AL$100,4,FALSE()),0)</f>
        <v>0</v>
      </c>
      <c r="G38" s="818" t="n">
        <f aca="false">F38+E38</f>
        <v>0</v>
      </c>
      <c r="H38" s="819" t="n">
        <f aca="false">VLOOKUP(A38,NymexData!$S$12:$T$128,2)</f>
        <v>3.467</v>
      </c>
      <c r="I38" s="820" t="n">
        <f aca="false">IF($I$7=1,NymexData!AN40,NymexData!X40)</f>
        <v>0</v>
      </c>
      <c r="J38" s="819" t="n">
        <f aca="false">IF($I$7=1,H38+I38,VLOOKUP(A38,NymexData!$AA$12:$AB$128,2))</f>
        <v>3.467</v>
      </c>
      <c r="K38" s="807" t="n">
        <f aca="false">B38*I38</f>
        <v>-0</v>
      </c>
      <c r="L38" s="807" t="n">
        <f aca="false">C38*I38</f>
        <v>0</v>
      </c>
      <c r="M38" s="811" t="n">
        <f aca="false">E38*I38</f>
        <v>0</v>
      </c>
      <c r="N38" s="807" t="n">
        <f aca="false">F38*I38</f>
        <v>0</v>
      </c>
      <c r="O38" s="811" t="n">
        <f aca="false">SUM(K38:N38)</f>
        <v>0</v>
      </c>
      <c r="R38" s="817" t="n">
        <f aca="false">A38</f>
        <v>38018</v>
      </c>
      <c r="S38" s="807" t="n">
        <f aca="false">IF(ISERROR(VLOOKUP(R38,$AA$10:$AH$100,5,FALSE()))+ISERROR(VLOOKUP(R38,$AA$10:$AH$100,6,FALSE()))=0,VLOOKUP(R38,$AA$10:$AH$100,5,FALSE())+VLOOKUP(R38,$AA$10:$AH$100,6,FALSE()),0)</f>
        <v>56749.6734069896</v>
      </c>
      <c r="T38" s="807" t="n">
        <f aca="false">IF(ISERROR(VLOOKUP(R38,$AA$10:$AH$100,7,FALSE()))=FALSE(),VLOOKUP(R38,$AA$10:$AH$100,7,FALSE()),0)</f>
        <v>0</v>
      </c>
      <c r="U38" s="807" t="n">
        <f aca="false">IF(ISERROR(VLOOKUP(R38,$AA$10:$AH$100,8,FALSE()))=FALSE(),VLOOKUP(R38,$AA$10:$AH$100,8,FALSE()),0)</f>
        <v>0</v>
      </c>
      <c r="V38" s="807" t="n">
        <f aca="false">S38+T38+U38</f>
        <v>56749.6734069896</v>
      </c>
      <c r="W38" s="814" t="n">
        <f aca="false">[1]Cinergy!$F62</f>
        <v>1.81652250574871E-007</v>
      </c>
      <c r="X38" s="807" t="n">
        <f aca="false">S38*W38</f>
        <v>0.0103087058937686</v>
      </c>
      <c r="Y38" s="807" t="n">
        <f aca="false">T38*W38</f>
        <v>0</v>
      </c>
      <c r="Z38" s="807" t="n">
        <f aca="false">U38*W38</f>
        <v>0</v>
      </c>
      <c r="AA38" s="804" t="n">
        <v>37681</v>
      </c>
      <c r="AB38" s="815" t="n">
        <v>-616615.083468872</v>
      </c>
      <c r="AC38" s="815" t="n">
        <v>-1064494.94847502</v>
      </c>
      <c r="AD38" s="815" t="n">
        <v>0</v>
      </c>
      <c r="AE38" s="815" t="n">
        <v>15468.8921506386</v>
      </c>
      <c r="AF38" s="815" t="n">
        <v>24695.2071738272</v>
      </c>
      <c r="AG38" s="815" t="n">
        <v>0</v>
      </c>
      <c r="AH38" s="815" t="n">
        <v>0</v>
      </c>
      <c r="AI38" s="804" t="n">
        <v>37561</v>
      </c>
      <c r="AJ38" s="459" t="n">
        <v>0</v>
      </c>
      <c r="AK38" s="821" t="n">
        <v>0</v>
      </c>
      <c r="AL38" s="815" t="n">
        <v>0</v>
      </c>
      <c r="AN38" s="815" t="n">
        <f aca="false">SUM(AG38:AH38)/TradeSum!CD39</f>
        <v>0</v>
      </c>
      <c r="AO38" s="815"/>
    </row>
    <row r="39" customFormat="false" ht="15" hidden="false" customHeight="false" outlineLevel="0" collapsed="false">
      <c r="A39" s="817" t="n">
        <f aca="false">IF($B$5=1,[1]Cinergy!$D63,[1]Cinergy!$D64)</f>
        <v>38047</v>
      </c>
      <c r="B39" s="807" t="n">
        <f aca="false">IF(ISERROR(VLOOKUP(A39,$AA$10:$AH$100,2,FALSE()))+ISERROR(VLOOKUP(A39,$AA$10:$AH$100,3,FALSE()))=0,VLOOKUP(A39,$AA$10:$AH$100,2,FALSE())+VLOOKUP(A39,$AA$10:$AH$100,3,FALSE()),0)</f>
        <v>-1904039.94796977</v>
      </c>
      <c r="C39" s="807" t="n">
        <f aca="false">IF(ISERROR(VLOOKUP(A39,$AA$10:$AH$100,4,FALSE()))=FALSE(),VLOOKUP(A39,$AA$10:$AH$100,4,FALSE()),0)</f>
        <v>0</v>
      </c>
      <c r="D39" s="818" t="n">
        <f aca="false">B39+C39</f>
        <v>-1904039.94796977</v>
      </c>
      <c r="E39" s="807" t="n">
        <f aca="false">IF(ISERROR(VLOOKUP(A39,$AI$10:$AL$100,2,FALSE()))+ISERROR(VLOOKUP(A39,$AI$10:$AL$100,3,FALSE()))=0,VLOOKUP(A39,$AI$10:$AL$100,2,FALSE())+VLOOKUP(A39,$AI$10:$AL$100,3,FALSE()),0)</f>
        <v>0</v>
      </c>
      <c r="F39" s="807" t="n">
        <f aca="false">IF(ISERROR(VLOOKUP(A39,$AI$10:$AL$100,4,FALSE()))=FALSE(),VLOOKUP(A39,$AI$10:$AL$100,4,FALSE()),0)</f>
        <v>0</v>
      </c>
      <c r="G39" s="818" t="n">
        <f aca="false">F39+E39</f>
        <v>0</v>
      </c>
      <c r="H39" s="819" t="n">
        <f aca="false">VLOOKUP(A39,NymexData!$S$12:$T$128,2)</f>
        <v>3.335</v>
      </c>
      <c r="I39" s="820" t="n">
        <f aca="false">IF($I$7=1,NymexData!AN41,NymexData!X41)</f>
        <v>0</v>
      </c>
      <c r="J39" s="819" t="n">
        <f aca="false">IF($I$7=1,H39+I39,VLOOKUP(A39,NymexData!$AA$12:$AB$128,2))</f>
        <v>3.335</v>
      </c>
      <c r="K39" s="807" t="n">
        <f aca="false">B39*I39</f>
        <v>-0</v>
      </c>
      <c r="L39" s="807" t="n">
        <f aca="false">C39*I39</f>
        <v>0</v>
      </c>
      <c r="M39" s="811" t="n">
        <f aca="false">E39*I39</f>
        <v>0</v>
      </c>
      <c r="N39" s="807" t="n">
        <f aca="false">F39*I39</f>
        <v>0</v>
      </c>
      <c r="O39" s="811" t="n">
        <f aca="false">SUM(K39:N39)</f>
        <v>0</v>
      </c>
      <c r="R39" s="817" t="n">
        <f aca="false">A39</f>
        <v>38047</v>
      </c>
      <c r="S39" s="807" t="n">
        <f aca="false">IF(ISERROR(VLOOKUP(R39,$AA$10:$AH$100,5,FALSE()))+ISERROR(VLOOKUP(R39,$AA$10:$AH$100,6,FALSE()))=0,VLOOKUP(R39,$AA$10:$AH$100,5,FALSE())+VLOOKUP(R39,$AA$10:$AH$100,6,FALSE()),0)</f>
        <v>44193.9121075319</v>
      </c>
      <c r="T39" s="807" t="n">
        <f aca="false">IF(ISERROR(VLOOKUP(R39,$AA$10:$AH$100,7,FALSE()))=FALSE(),VLOOKUP(R39,$AA$10:$AH$100,7,FALSE()),0)</f>
        <v>0</v>
      </c>
      <c r="U39" s="807" t="n">
        <f aca="false">IF(ISERROR(VLOOKUP(R39,$AA$10:$AH$100,8,FALSE()))=FALSE(),VLOOKUP(R39,$AA$10:$AH$100,8,FALSE()),0)</f>
        <v>0</v>
      </c>
      <c r="V39" s="807" t="n">
        <f aca="false">S39+T39+U39</f>
        <v>44193.9121075319</v>
      </c>
      <c r="W39" s="814" t="n">
        <f aca="false">[1]Cinergy!$F63</f>
        <v>-0.250000443569448</v>
      </c>
      <c r="X39" s="807" t="n">
        <f aca="false">S39*W39</f>
        <v>-11048.4976299522</v>
      </c>
      <c r="Y39" s="807" t="n">
        <f aca="false">T39*W39</f>
        <v>-0</v>
      </c>
      <c r="Z39" s="807" t="n">
        <f aca="false">U39*W39</f>
        <v>-0</v>
      </c>
      <c r="AA39" s="804" t="n">
        <v>37712</v>
      </c>
      <c r="AB39" s="815" t="n">
        <v>-97929.2720119363</v>
      </c>
      <c r="AC39" s="815" t="n">
        <v>-106125.469306664</v>
      </c>
      <c r="AD39" s="815" t="n">
        <v>0</v>
      </c>
      <c r="AE39" s="815" t="n">
        <v>14697.4610129022</v>
      </c>
      <c r="AF39" s="815" t="n">
        <v>15972.1264074167</v>
      </c>
      <c r="AG39" s="815" t="n">
        <v>0</v>
      </c>
      <c r="AH39" s="815" t="n">
        <v>0</v>
      </c>
      <c r="AI39" s="804" t="n">
        <v>37591</v>
      </c>
      <c r="AJ39" s="459" t="n">
        <v>0</v>
      </c>
      <c r="AK39" s="821" t="n">
        <v>0</v>
      </c>
      <c r="AL39" s="815" t="n">
        <v>0</v>
      </c>
      <c r="AN39" s="815" t="n">
        <f aca="false">SUM(AG39:AH39)/TradeSum!CD40</f>
        <v>0</v>
      </c>
      <c r="AO39" s="815"/>
    </row>
    <row r="40" customFormat="false" ht="15" hidden="false" customHeight="false" outlineLevel="0" collapsed="false">
      <c r="A40" s="817" t="n">
        <f aca="false">IF($B$5=1,[1]Cinergy!$D64,[1]Cinergy!$D65)</f>
        <v>38078</v>
      </c>
      <c r="B40" s="807" t="n">
        <f aca="false">IF(ISERROR(VLOOKUP(A40,$AA$10:$AH$100,2,FALSE()))+ISERROR(VLOOKUP(A40,$AA$10:$AH$100,3,FALSE()))=0,VLOOKUP(A40,$AA$10:$AH$100,2,FALSE())+VLOOKUP(A40,$AA$10:$AH$100,3,FALSE()),0)</f>
        <v>-202536.732918245</v>
      </c>
      <c r="C40" s="807" t="n">
        <f aca="false">IF(ISERROR(VLOOKUP(A40,$AA$10:$AH$100,4,FALSE()))=FALSE(),VLOOKUP(A40,$AA$10:$AH$100,4,FALSE()),0)</f>
        <v>0</v>
      </c>
      <c r="D40" s="818" t="n">
        <f aca="false">B40+C40</f>
        <v>-202536.732918245</v>
      </c>
      <c r="E40" s="807" t="n">
        <f aca="false">IF(ISERROR(VLOOKUP(A40,$AI$10:$AL$100,2,FALSE()))+ISERROR(VLOOKUP(A40,$AI$10:$AL$100,3,FALSE()))=0,VLOOKUP(A40,$AI$10:$AL$100,2,FALSE())+VLOOKUP(A40,$AI$10:$AL$100,3,FALSE()),0)</f>
        <v>0</v>
      </c>
      <c r="F40" s="807" t="n">
        <f aca="false">IF(ISERROR(VLOOKUP(A40,$AI$10:$AL$100,4,FALSE()))=FALSE(),VLOOKUP(A40,$AI$10:$AL$100,4,FALSE()),0)</f>
        <v>0</v>
      </c>
      <c r="G40" s="818" t="n">
        <f aca="false">F40+E40</f>
        <v>0</v>
      </c>
      <c r="H40" s="819" t="n">
        <f aca="false">VLOOKUP(A40,NymexData!$S$12:$T$128,2)</f>
        <v>3.137</v>
      </c>
      <c r="I40" s="820" t="n">
        <f aca="false">IF($I$7=1,NymexData!AN42,NymexData!X42)</f>
        <v>0</v>
      </c>
      <c r="J40" s="819" t="n">
        <f aca="false">IF($I$7=1,H40+I40,VLOOKUP(A40,NymexData!$AA$12:$AB$128,2))</f>
        <v>3.137</v>
      </c>
      <c r="K40" s="807" t="n">
        <f aca="false">B40*I40</f>
        <v>-0</v>
      </c>
      <c r="L40" s="807" t="n">
        <f aca="false">C40*I40</f>
        <v>0</v>
      </c>
      <c r="M40" s="811" t="n">
        <f aca="false">E40*I40</f>
        <v>0</v>
      </c>
      <c r="N40" s="807" t="n">
        <f aca="false">F40*I40</f>
        <v>0</v>
      </c>
      <c r="O40" s="811" t="n">
        <f aca="false">SUM(K40:N40)</f>
        <v>0</v>
      </c>
      <c r="R40" s="817" t="n">
        <f aca="false">A40</f>
        <v>38078</v>
      </c>
      <c r="S40" s="807" t="n">
        <f aca="false">IF(ISERROR(VLOOKUP(R40,$AA$10:$AH$100,5,FALSE()))+ISERROR(VLOOKUP(R40,$AA$10:$AH$100,6,FALSE()))=0,VLOOKUP(R40,$AA$10:$AH$100,5,FALSE())+VLOOKUP(R40,$AA$10:$AH$100,6,FALSE()),0)</f>
        <v>29548.0919991238</v>
      </c>
      <c r="T40" s="807" t="n">
        <f aca="false">IF(ISERROR(VLOOKUP(R40,$AA$10:$AH$100,7,FALSE()))=FALSE(),VLOOKUP(R40,$AA$10:$AH$100,7,FALSE()),0)</f>
        <v>0</v>
      </c>
      <c r="U40" s="807" t="n">
        <f aca="false">IF(ISERROR(VLOOKUP(R40,$AA$10:$AH$100,8,FALSE()))=FALSE(),VLOOKUP(R40,$AA$10:$AH$100,8,FALSE()),0)</f>
        <v>0</v>
      </c>
      <c r="V40" s="807" t="n">
        <f aca="false">S40+T40+U40</f>
        <v>29548.0919991238</v>
      </c>
      <c r="W40" s="814" t="n">
        <f aca="false">[1]Cinergy!$F64</f>
        <v>-0.250000443569448</v>
      </c>
      <c r="X40" s="807" t="n">
        <f aca="false">S40*W40</f>
        <v>-7387.0361064118</v>
      </c>
      <c r="Y40" s="807" t="n">
        <f aca="false">T40*W40</f>
        <v>-0</v>
      </c>
      <c r="Z40" s="807" t="n">
        <f aca="false">U40*W40</f>
        <v>-0</v>
      </c>
      <c r="AA40" s="804" t="n">
        <v>37742</v>
      </c>
      <c r="AB40" s="815" t="n">
        <v>-191555.223004361</v>
      </c>
      <c r="AC40" s="815" t="n">
        <v>-196592.85970673</v>
      </c>
      <c r="AD40" s="815" t="n">
        <v>0</v>
      </c>
      <c r="AE40" s="815" t="n">
        <v>26776.2859514948</v>
      </c>
      <c r="AF40" s="815" t="n">
        <v>28664.6600440419</v>
      </c>
      <c r="AG40" s="815" t="n">
        <v>0</v>
      </c>
      <c r="AH40" s="815" t="n">
        <v>0</v>
      </c>
      <c r="AI40" s="804" t="n">
        <v>37622</v>
      </c>
      <c r="AJ40" s="459" t="n">
        <v>0</v>
      </c>
      <c r="AK40" s="821" t="n">
        <v>0</v>
      </c>
      <c r="AL40" s="815"/>
      <c r="AN40" s="815"/>
      <c r="AO40" s="815"/>
    </row>
    <row r="41" customFormat="false" ht="15" hidden="false" customHeight="false" outlineLevel="0" collapsed="false">
      <c r="A41" s="817" t="n">
        <f aca="false">IF($B$5=1,[1]Cinergy!$D65,[1]Cinergy!$D66)</f>
        <v>38108</v>
      </c>
      <c r="B41" s="807" t="n">
        <f aca="false">IF(ISERROR(VLOOKUP(A41,$AA$10:$AH$100,2,FALSE()))+ISERROR(VLOOKUP(A41,$AA$10:$AH$100,3,FALSE()))=0,VLOOKUP(A41,$AA$10:$AH$100,2,FALSE())+VLOOKUP(A41,$AA$10:$AH$100,3,FALSE()),0)</f>
        <v>-361421.887161068</v>
      </c>
      <c r="C41" s="807" t="n">
        <f aca="false">IF(ISERROR(VLOOKUP(A41,$AA$10:$AH$100,4,FALSE()))=FALSE(),VLOOKUP(A41,$AA$10:$AH$100,4,FALSE()),0)</f>
        <v>0</v>
      </c>
      <c r="D41" s="818" t="n">
        <f aca="false">B41+C41</f>
        <v>-361421.887161068</v>
      </c>
      <c r="E41" s="807" t="n">
        <f aca="false">IF(ISERROR(VLOOKUP(A41,$AI$10:$AL$100,2,FALSE()))+ISERROR(VLOOKUP(A41,$AI$10:$AL$100,3,FALSE()))=0,VLOOKUP(A41,$AI$10:$AL$100,2,FALSE())+VLOOKUP(A41,$AI$10:$AL$100,3,FALSE()),0)</f>
        <v>0</v>
      </c>
      <c r="F41" s="807" t="n">
        <f aca="false">IF(ISERROR(VLOOKUP(A41,$AI$10:$AL$100,4,FALSE()))=FALSE(),VLOOKUP(A41,$AI$10:$AL$100,4,FALSE()),0)</f>
        <v>0</v>
      </c>
      <c r="G41" s="818" t="n">
        <f aca="false">F41+E41</f>
        <v>0</v>
      </c>
      <c r="H41" s="819" t="n">
        <f aca="false">VLOOKUP(A41,NymexData!$S$12:$T$128,2)</f>
        <v>3.133</v>
      </c>
      <c r="I41" s="820" t="n">
        <f aca="false">IF($I$7=1,NymexData!AN43,NymexData!X43)</f>
        <v>0</v>
      </c>
      <c r="J41" s="819" t="n">
        <f aca="false">IF($I$7=1,H41+I41,VLOOKUP(A41,NymexData!$AA$12:$AB$128,2))</f>
        <v>3.133</v>
      </c>
      <c r="K41" s="807" t="n">
        <f aca="false">B41*I41</f>
        <v>-0</v>
      </c>
      <c r="L41" s="807" t="n">
        <f aca="false">C41*I41</f>
        <v>0</v>
      </c>
      <c r="M41" s="811" t="n">
        <f aca="false">E41*I41</f>
        <v>0</v>
      </c>
      <c r="N41" s="807" t="n">
        <f aca="false">F41*I41</f>
        <v>0</v>
      </c>
      <c r="O41" s="811" t="n">
        <f aca="false">SUM(K41:N41)</f>
        <v>0</v>
      </c>
      <c r="R41" s="817" t="n">
        <f aca="false">A41</f>
        <v>38108</v>
      </c>
      <c r="S41" s="807" t="n">
        <f aca="false">IF(ISERROR(VLOOKUP(R41,$AA$10:$AH$100,5,FALSE()))+ISERROR(VLOOKUP(R41,$AA$10:$AH$100,6,FALSE()))=0,VLOOKUP(R41,$AA$10:$AH$100,5,FALSE())+VLOOKUP(R41,$AA$10:$AH$100,6,FALSE()),0)</f>
        <v>47280.7984151752</v>
      </c>
      <c r="T41" s="807" t="n">
        <f aca="false">IF(ISERROR(VLOOKUP(R41,$AA$10:$AH$100,7,FALSE()))=FALSE(),VLOOKUP(R41,$AA$10:$AH$100,7,FALSE()),0)</f>
        <v>0</v>
      </c>
      <c r="U41" s="807" t="n">
        <f aca="false">IF(ISERROR(VLOOKUP(R41,$AA$10:$AH$100,8,FALSE()))=FALSE(),VLOOKUP(R41,$AA$10:$AH$100,8,FALSE()),0)</f>
        <v>0</v>
      </c>
      <c r="V41" s="807" t="n">
        <f aca="false">S41+T41+U41</f>
        <v>47280.7984151752</v>
      </c>
      <c r="W41" s="814" t="n">
        <f aca="false">[1]Cinergy!$F65</f>
        <v>0</v>
      </c>
      <c r="X41" s="807" t="n">
        <f aca="false">S41*W41</f>
        <v>0</v>
      </c>
      <c r="Y41" s="807" t="n">
        <f aca="false">T41*W41</f>
        <v>0</v>
      </c>
      <c r="Z41" s="807" t="n">
        <f aca="false">U41*W41</f>
        <v>0</v>
      </c>
      <c r="AA41" s="804" t="n">
        <v>37773</v>
      </c>
      <c r="AB41" s="815" t="n">
        <v>-700706.839685373</v>
      </c>
      <c r="AC41" s="815" t="n">
        <v>-829695.029142776</v>
      </c>
      <c r="AD41" s="815" t="n">
        <v>0</v>
      </c>
      <c r="AE41" s="815" t="n">
        <v>93923.3803364398</v>
      </c>
      <c r="AF41" s="815" t="n">
        <v>113249.498189542</v>
      </c>
      <c r="AG41" s="815" t="n">
        <v>0</v>
      </c>
      <c r="AH41" s="815" t="n">
        <v>-98877.5798687341</v>
      </c>
      <c r="AI41" s="804" t="n">
        <v>37653</v>
      </c>
      <c r="AJ41" s="459" t="n">
        <v>0</v>
      </c>
      <c r="AK41" s="821" t="n">
        <v>0</v>
      </c>
      <c r="AL41" s="815"/>
      <c r="AN41" s="815"/>
      <c r="AO41" s="815"/>
    </row>
    <row r="42" customFormat="false" ht="15" hidden="false" customHeight="false" outlineLevel="0" collapsed="false">
      <c r="A42" s="817" t="n">
        <f aca="false">IF($B$5=1,[1]Cinergy!$D66,[1]Cinergy!$D67)</f>
        <v>38139</v>
      </c>
      <c r="B42" s="807" t="n">
        <f aca="false">IF(ISERROR(VLOOKUP(A42,$AA$10:$AH$100,2,FALSE()))+ISERROR(VLOOKUP(A42,$AA$10:$AH$100,3,FALSE()))=0,VLOOKUP(A42,$AA$10:$AH$100,2,FALSE())+VLOOKUP(A42,$AA$10:$AH$100,3,FALSE()),0)</f>
        <v>-1450625.71903785</v>
      </c>
      <c r="C42" s="807" t="n">
        <f aca="false">IF(ISERROR(VLOOKUP(A42,$AA$10:$AH$100,4,FALSE()))=FALSE(),VLOOKUP(A42,$AA$10:$AH$100,4,FALSE()),0)</f>
        <v>0</v>
      </c>
      <c r="D42" s="818" t="n">
        <f aca="false">B42+C42</f>
        <v>-1450625.71903785</v>
      </c>
      <c r="E42" s="807" t="n">
        <f aca="false">IF(ISERROR(VLOOKUP(A42,$AI$10:$AL$100,2,FALSE()))+ISERROR(VLOOKUP(A42,$AI$10:$AL$100,3,FALSE()))=0,VLOOKUP(A42,$AI$10:$AL$100,2,FALSE())+VLOOKUP(A42,$AI$10:$AL$100,3,FALSE()),0)</f>
        <v>0</v>
      </c>
      <c r="F42" s="807" t="n">
        <f aca="false">IF(ISERROR(VLOOKUP(A42,$AI$10:$AL$100,4,FALSE()))=FALSE(),VLOOKUP(A42,$AI$10:$AL$100,4,FALSE()),0)</f>
        <v>0</v>
      </c>
      <c r="G42" s="818" t="n">
        <f aca="false">F42+E42</f>
        <v>0</v>
      </c>
      <c r="H42" s="819" t="n">
        <f aca="false">VLOOKUP(A42,NymexData!$S$12:$T$128,2)</f>
        <v>3.165</v>
      </c>
      <c r="I42" s="820" t="n">
        <f aca="false">IF($I$7=1,NymexData!AN44,NymexData!X44)</f>
        <v>0</v>
      </c>
      <c r="J42" s="819" t="n">
        <f aca="false">IF($I$7=1,H42+I42,VLOOKUP(A42,NymexData!$AA$12:$AB$128,2))</f>
        <v>3.165</v>
      </c>
      <c r="K42" s="807" t="n">
        <f aca="false">B42*I42</f>
        <v>-0</v>
      </c>
      <c r="L42" s="807" t="n">
        <f aca="false">C42*I42</f>
        <v>0</v>
      </c>
      <c r="M42" s="811" t="n">
        <f aca="false">E42*I42</f>
        <v>0</v>
      </c>
      <c r="N42" s="807" t="n">
        <f aca="false">F42*I42</f>
        <v>0</v>
      </c>
      <c r="O42" s="811" t="n">
        <f aca="false">SUM(K42:N42)</f>
        <v>0</v>
      </c>
      <c r="R42" s="817" t="n">
        <f aca="false">A42</f>
        <v>38139</v>
      </c>
      <c r="S42" s="807" t="n">
        <f aca="false">IF(ISERROR(VLOOKUP(R42,$AA$10:$AH$100,5,FALSE()))+ISERROR(VLOOKUP(R42,$AA$10:$AH$100,6,FALSE()))=0,VLOOKUP(R42,$AA$10:$AH$100,5,FALSE())+VLOOKUP(R42,$AA$10:$AH$100,6,FALSE()),0)</f>
        <v>187645.328183371</v>
      </c>
      <c r="T42" s="807" t="n">
        <f aca="false">IF(ISERROR(VLOOKUP(R42,$AA$10:$AH$100,7,FALSE()))=FALSE(),VLOOKUP(R42,$AA$10:$AH$100,7,FALSE()),0)</f>
        <v>0</v>
      </c>
      <c r="U42" s="807" t="n">
        <f aca="false">IF(ISERROR(VLOOKUP(R42,$AA$10:$AH$100,8,FALSE()))=FALSE(),VLOOKUP(R42,$AA$10:$AH$100,8,FALSE()),0)</f>
        <v>-69239.0561156892</v>
      </c>
      <c r="V42" s="807" t="n">
        <f aca="false">S42+T42+U42</f>
        <v>118406.272067681</v>
      </c>
      <c r="W42" s="814" t="n">
        <f aca="false">[1]Cinergy!$F66</f>
        <v>-0.5</v>
      </c>
      <c r="X42" s="807" t="n">
        <f aca="false">S42*W42</f>
        <v>-93822.6640916853</v>
      </c>
      <c r="Y42" s="807" t="n">
        <f aca="false">T42*W42</f>
        <v>-0</v>
      </c>
      <c r="Z42" s="807" t="n">
        <f aca="false">U42*W42</f>
        <v>34619.5280578446</v>
      </c>
      <c r="AA42" s="804" t="n">
        <v>37803</v>
      </c>
      <c r="AB42" s="815" t="n">
        <v>-875449.14265476</v>
      </c>
      <c r="AC42" s="815" t="n">
        <v>-1090826.14277148</v>
      </c>
      <c r="AD42" s="815" t="n">
        <v>0</v>
      </c>
      <c r="AE42" s="815" t="n">
        <v>115151.120974889</v>
      </c>
      <c r="AF42" s="815" t="n">
        <v>144647.1025602</v>
      </c>
      <c r="AG42" s="815" t="n">
        <v>0</v>
      </c>
      <c r="AH42" s="815" t="n">
        <v>-176591.78627661</v>
      </c>
      <c r="AI42" s="804" t="n">
        <v>37681</v>
      </c>
      <c r="AJ42" s="459" t="n">
        <v>0</v>
      </c>
      <c r="AK42" s="821" t="n">
        <v>0</v>
      </c>
      <c r="AL42" s="815"/>
      <c r="AN42" s="815"/>
      <c r="AO42" s="815"/>
    </row>
    <row r="43" customFormat="false" ht="15" hidden="false" customHeight="false" outlineLevel="0" collapsed="false">
      <c r="A43" s="817" t="n">
        <f aca="false">IF($B$5=1,[1]Cinergy!$D67,[1]Cinergy!$D68)</f>
        <v>38169</v>
      </c>
      <c r="B43" s="807" t="n">
        <f aca="false">IF(ISERROR(VLOOKUP(A43,$AA$10:$AH$100,2,FALSE()))+ISERROR(VLOOKUP(A43,$AA$10:$AH$100,3,FALSE()))=0,VLOOKUP(A43,$AA$10:$AH$100,2,FALSE())+VLOOKUP(A43,$AA$10:$AH$100,3,FALSE()),0)</f>
        <v>-1777693.43861232</v>
      </c>
      <c r="C43" s="807" t="n">
        <f aca="false">IF(ISERROR(VLOOKUP(A43,$AA$10:$AH$100,4,FALSE()))=FALSE(),VLOOKUP(A43,$AA$10:$AH$100,4,FALSE()),0)</f>
        <v>0</v>
      </c>
      <c r="D43" s="818" t="n">
        <f aca="false">B43+C43</f>
        <v>-1777693.43861232</v>
      </c>
      <c r="E43" s="807" t="n">
        <f aca="false">IF(ISERROR(VLOOKUP(A43,$AI$10:$AL$100,2,FALSE()))+ISERROR(VLOOKUP(A43,$AI$10:$AL$100,3,FALSE()))=0,VLOOKUP(A43,$AI$10:$AL$100,2,FALSE())+VLOOKUP(A43,$AI$10:$AL$100,3,FALSE()),0)</f>
        <v>0</v>
      </c>
      <c r="F43" s="807" t="n">
        <f aca="false">IF(ISERROR(VLOOKUP(A43,$AI$10:$AL$100,4,FALSE()))=FALSE(),VLOOKUP(A43,$AI$10:$AL$100,4,FALSE()),0)</f>
        <v>0</v>
      </c>
      <c r="G43" s="818" t="n">
        <f aca="false">F43+E43</f>
        <v>0</v>
      </c>
      <c r="H43" s="819" t="n">
        <f aca="false">VLOOKUP(A43,NymexData!$S$12:$T$128,2)</f>
        <v>3.215</v>
      </c>
      <c r="I43" s="820" t="n">
        <f aca="false">IF($I$7=1,NymexData!AN45,NymexData!X45)</f>
        <v>0</v>
      </c>
      <c r="J43" s="819" t="n">
        <f aca="false">IF($I$7=1,H43+I43,VLOOKUP(A43,NymexData!$AA$12:$AB$128,2))</f>
        <v>3.215</v>
      </c>
      <c r="K43" s="807" t="n">
        <f aca="false">B43*I43</f>
        <v>-0</v>
      </c>
      <c r="L43" s="807" t="n">
        <f aca="false">C43*I43</f>
        <v>0</v>
      </c>
      <c r="M43" s="811" t="n">
        <f aca="false">E43*I43</f>
        <v>0</v>
      </c>
      <c r="N43" s="807" t="n">
        <f aca="false">F43*I43</f>
        <v>0</v>
      </c>
      <c r="O43" s="811" t="n">
        <f aca="false">SUM(K43:N43)</f>
        <v>0</v>
      </c>
      <c r="R43" s="817" t="n">
        <f aca="false">A43</f>
        <v>38169</v>
      </c>
      <c r="S43" s="807" t="n">
        <f aca="false">IF(ISERROR(VLOOKUP(R43,$AA$10:$AH$100,5,FALSE()))+ISERROR(VLOOKUP(R43,$AA$10:$AH$100,6,FALSE()))=0,VLOOKUP(R43,$AA$10:$AH$100,5,FALSE())+VLOOKUP(R43,$AA$10:$AH$100,6,FALSE()),0)</f>
        <v>225570.063999477</v>
      </c>
      <c r="T43" s="807" t="n">
        <f aca="false">IF(ISERROR(VLOOKUP(R43,$AA$10:$AH$100,7,FALSE()))=FALSE(),VLOOKUP(R43,$AA$10:$AH$100,7,FALSE()),0)</f>
        <v>0</v>
      </c>
      <c r="U43" s="807" t="n">
        <f aca="false">IF(ISERROR(VLOOKUP(R43,$AA$10:$AH$100,8,FALSE()))=FALSE(),VLOOKUP(R43,$AA$10:$AH$100,8,FALSE()),0)</f>
        <v>-13143.610276031</v>
      </c>
      <c r="V43" s="807" t="n">
        <f aca="false">S43+T43+U43</f>
        <v>212426.453723446</v>
      </c>
      <c r="W43" s="814" t="n">
        <f aca="false">[1]Cinergy!$F67</f>
        <v>-0.5</v>
      </c>
      <c r="X43" s="807" t="n">
        <f aca="false">S43*W43</f>
        <v>-112785.031999739</v>
      </c>
      <c r="Y43" s="807" t="n">
        <f aca="false">T43*W43</f>
        <v>-0</v>
      </c>
      <c r="Z43" s="807" t="n">
        <f aca="false">U43*W43</f>
        <v>6571.8051380155</v>
      </c>
      <c r="AA43" s="804" t="n">
        <v>37834</v>
      </c>
      <c r="AB43" s="815" t="n">
        <v>-832023.751251145</v>
      </c>
      <c r="AC43" s="815" t="n">
        <v>-1036861.24116425</v>
      </c>
      <c r="AD43" s="815" t="n">
        <v>0</v>
      </c>
      <c r="AE43" s="815" t="n">
        <v>109319.848094013</v>
      </c>
      <c r="AF43" s="815" t="n">
        <v>137319.388736747</v>
      </c>
      <c r="AG43" s="815" t="n">
        <v>0</v>
      </c>
      <c r="AH43" s="815" t="n">
        <v>-167629.34543028</v>
      </c>
      <c r="AI43" s="804" t="n">
        <v>37712</v>
      </c>
      <c r="AJ43" s="459" t="n">
        <v>0</v>
      </c>
      <c r="AK43" s="821" t="n">
        <v>0</v>
      </c>
      <c r="AL43" s="815"/>
      <c r="AN43" s="815"/>
      <c r="AO43" s="815"/>
    </row>
    <row r="44" customFormat="false" ht="15" hidden="false" customHeight="false" outlineLevel="0" collapsed="false">
      <c r="A44" s="817" t="n">
        <f aca="false">IF($B$5=1,[1]Cinergy!$D68,[1]Cinergy!$D69)</f>
        <v>38200</v>
      </c>
      <c r="B44" s="807" t="n">
        <f aca="false">IF(ISERROR(VLOOKUP(A44,$AA$10:$AH$100,2,FALSE()))+ISERROR(VLOOKUP(A44,$AA$10:$AH$100,3,FALSE()))=0,VLOOKUP(A44,$AA$10:$AH$100,2,FALSE())+VLOOKUP(A44,$AA$10:$AH$100,3,FALSE()),0)</f>
        <v>-1850285.51856355</v>
      </c>
      <c r="C44" s="807" t="n">
        <f aca="false">IF(ISERROR(VLOOKUP(A44,$AA$10:$AH$100,4,FALSE()))=FALSE(),VLOOKUP(A44,$AA$10:$AH$100,4,FALSE()),0)</f>
        <v>0</v>
      </c>
      <c r="D44" s="818" t="n">
        <f aca="false">B44+C44</f>
        <v>-1850285.51856355</v>
      </c>
      <c r="E44" s="807" t="n">
        <f aca="false">IF(ISERROR(VLOOKUP(A44,$AI$10:$AL$100,2,FALSE()))+ISERROR(VLOOKUP(A44,$AI$10:$AL$100,3,FALSE()))=0,VLOOKUP(A44,$AI$10:$AL$100,2,FALSE())+VLOOKUP(A44,$AI$10:$AL$100,3,FALSE()),0)</f>
        <v>0</v>
      </c>
      <c r="F44" s="807" t="n">
        <f aca="false">IF(ISERROR(VLOOKUP(A44,$AI$10:$AL$100,4,FALSE()))=FALSE(),VLOOKUP(A44,$AI$10:$AL$100,4,FALSE()),0)</f>
        <v>0</v>
      </c>
      <c r="G44" s="818" t="n">
        <f aca="false">F44+E44</f>
        <v>0</v>
      </c>
      <c r="H44" s="819" t="n">
        <f aca="false">VLOOKUP(A44,NymexData!$S$12:$T$128,2)</f>
        <v>3.249</v>
      </c>
      <c r="I44" s="820" t="n">
        <f aca="false">IF($I$7=1,NymexData!AN46,NymexData!X46)</f>
        <v>0</v>
      </c>
      <c r="J44" s="819" t="n">
        <f aca="false">IF($I$7=1,H44+I44,VLOOKUP(A44,NymexData!$AA$12:$AB$128,2))</f>
        <v>3.249</v>
      </c>
      <c r="K44" s="807" t="n">
        <f aca="false">B44*I44</f>
        <v>-0</v>
      </c>
      <c r="L44" s="807" t="n">
        <f aca="false">C44*I44</f>
        <v>0</v>
      </c>
      <c r="M44" s="811" t="n">
        <f aca="false">E44*I44</f>
        <v>0</v>
      </c>
      <c r="N44" s="807" t="n">
        <f aca="false">F44*I44</f>
        <v>0</v>
      </c>
      <c r="O44" s="811" t="n">
        <f aca="false">SUM(K44:N44)</f>
        <v>0</v>
      </c>
      <c r="R44" s="817" t="n">
        <f aca="false">A44</f>
        <v>38200</v>
      </c>
      <c r="S44" s="807" t="n">
        <f aca="false">IF(ISERROR(VLOOKUP(R44,$AA$10:$AH$100,5,FALSE()))+ISERROR(VLOOKUP(R44,$AA$10:$AH$100,6,FALSE()))=0,VLOOKUP(R44,$AA$10:$AH$100,5,FALSE())+VLOOKUP(R44,$AA$10:$AH$100,6,FALSE()),0)</f>
        <v>234769.519448875</v>
      </c>
      <c r="T44" s="807" t="n">
        <f aca="false">IF(ISERROR(VLOOKUP(R44,$AA$10:$AH$100,7,FALSE()))=FALSE(),VLOOKUP(R44,$AA$10:$AH$100,7,FALSE()),0)</f>
        <v>0</v>
      </c>
      <c r="U44" s="807" t="n">
        <f aca="false">IF(ISERROR(VLOOKUP(R44,$AA$10:$AH$100,8,FALSE()))=FALSE(),VLOOKUP(R44,$AA$10:$AH$100,8,FALSE()),0)</f>
        <v>-13691.5246167473</v>
      </c>
      <c r="V44" s="807" t="n">
        <f aca="false">S44+T44+U44</f>
        <v>221077.994832128</v>
      </c>
      <c r="W44" s="814" t="n">
        <f aca="false">[1]Cinergy!$F68</f>
        <v>-0.5</v>
      </c>
      <c r="X44" s="807" t="n">
        <f aca="false">S44*W44</f>
        <v>-117384.759724437</v>
      </c>
      <c r="Y44" s="807" t="n">
        <f aca="false">T44*W44</f>
        <v>-0</v>
      </c>
      <c r="Z44" s="807" t="n">
        <f aca="false">U44*W44</f>
        <v>6845.76230837365</v>
      </c>
      <c r="AA44" s="804" t="n">
        <v>37865</v>
      </c>
      <c r="AB44" s="815" t="n">
        <v>-288052.728263557</v>
      </c>
      <c r="AC44" s="815" t="n">
        <v>-317542.102674424</v>
      </c>
      <c r="AD44" s="815" t="n">
        <v>0</v>
      </c>
      <c r="AE44" s="815" t="n">
        <v>34937.2501613589</v>
      </c>
      <c r="AF44" s="815" t="n">
        <v>38991.4487099367</v>
      </c>
      <c r="AG44" s="815" t="n">
        <v>0</v>
      </c>
      <c r="AH44" s="815" t="n">
        <v>0</v>
      </c>
      <c r="AI44" s="804" t="n">
        <v>37742</v>
      </c>
      <c r="AJ44" s="459" t="n">
        <v>0</v>
      </c>
      <c r="AK44" s="821" t="n">
        <v>0</v>
      </c>
      <c r="AL44" s="815"/>
      <c r="AN44" s="815"/>
      <c r="AO44" s="815"/>
    </row>
    <row r="45" customFormat="false" ht="15" hidden="false" customHeight="false" outlineLevel="0" collapsed="false">
      <c r="A45" s="817" t="n">
        <f aca="false">IF($B$5=1,[1]Cinergy!$D69,[1]Cinergy!$D70)</f>
        <v>38231</v>
      </c>
      <c r="B45" s="807" t="n">
        <f aca="false">IF(ISERROR(VLOOKUP(A45,$AA$10:$AH$100,2,FALSE()))+ISERROR(VLOOKUP(A45,$AA$10:$AH$100,3,FALSE()))=0,VLOOKUP(A45,$AA$10:$AH$100,2,FALSE())+VLOOKUP(A45,$AA$10:$AH$100,3,FALSE()),0)</f>
        <v>-607647.209508351</v>
      </c>
      <c r="C45" s="807" t="n">
        <f aca="false">IF(ISERROR(VLOOKUP(A45,$AA$10:$AH$100,4,FALSE()))=FALSE(),VLOOKUP(A45,$AA$10:$AH$100,4,FALSE()),0)</f>
        <v>0</v>
      </c>
      <c r="D45" s="818" t="n">
        <f aca="false">B45+C45</f>
        <v>-607647.209508351</v>
      </c>
      <c r="E45" s="807" t="n">
        <f aca="false">IF(ISERROR(VLOOKUP(A45,$AI$10:$AL$100,2,FALSE()))+ISERROR(VLOOKUP(A45,$AI$10:$AL$100,3,FALSE()))=0,VLOOKUP(A45,$AI$10:$AL$100,2,FALSE())+VLOOKUP(A45,$AI$10:$AL$100,3,FALSE()),0)</f>
        <v>0</v>
      </c>
      <c r="F45" s="807" t="n">
        <f aca="false">IF(ISERROR(VLOOKUP(A45,$AI$10:$AL$100,4,FALSE()))=FALSE(),VLOOKUP(A45,$AI$10:$AL$100,4,FALSE()),0)</f>
        <v>0</v>
      </c>
      <c r="G45" s="818" t="n">
        <f aca="false">F45+E45</f>
        <v>0</v>
      </c>
      <c r="H45" s="819" t="n">
        <f aca="false">VLOOKUP(A45,NymexData!$S$12:$T$128,2)</f>
        <v>3.262</v>
      </c>
      <c r="I45" s="820" t="n">
        <f aca="false">IF($I$7=1,NymexData!AN47,NymexData!X47)</f>
        <v>0</v>
      </c>
      <c r="J45" s="819" t="n">
        <f aca="false">IF($I$7=1,H45+I45,VLOOKUP(A45,NymexData!$AA$12:$AB$128,2))</f>
        <v>3.262</v>
      </c>
      <c r="K45" s="807" t="n">
        <f aca="false">B45*I45</f>
        <v>-0</v>
      </c>
      <c r="L45" s="807" t="n">
        <f aca="false">C45*I45</f>
        <v>0</v>
      </c>
      <c r="M45" s="811" t="n">
        <f aca="false">E45*I45</f>
        <v>0</v>
      </c>
      <c r="N45" s="807" t="n">
        <f aca="false">F45*I45</f>
        <v>0</v>
      </c>
      <c r="O45" s="811" t="n">
        <f aca="false">SUM(K45:N45)</f>
        <v>0</v>
      </c>
      <c r="R45" s="817" t="n">
        <f aca="false">A45</f>
        <v>38231</v>
      </c>
      <c r="S45" s="807" t="n">
        <f aca="false">IF(ISERROR(VLOOKUP(R45,$AA$10:$AH$100,5,FALSE()))+ISERROR(VLOOKUP(R45,$AA$10:$AH$100,6,FALSE()))=0,VLOOKUP(R45,$AA$10:$AH$100,5,FALSE())+VLOOKUP(R45,$AA$10:$AH$100,6,FALSE()),0)</f>
        <v>66849.4706794249</v>
      </c>
      <c r="T45" s="807" t="n">
        <f aca="false">IF(ISERROR(VLOOKUP(R45,$AA$10:$AH$100,7,FALSE()))=FALSE(),VLOOKUP(R45,$AA$10:$AH$100,7,FALSE()),0)</f>
        <v>0</v>
      </c>
      <c r="U45" s="807" t="n">
        <f aca="false">IF(ISERROR(VLOOKUP(R45,$AA$10:$AH$100,8,FALSE()))=FALSE(),VLOOKUP(R45,$AA$10:$AH$100,8,FALSE()),0)</f>
        <v>0</v>
      </c>
      <c r="V45" s="807" t="n">
        <f aca="false">S45+T45+U45</f>
        <v>66849.4706794249</v>
      </c>
      <c r="W45" s="814" t="n">
        <f aca="false">[1]Cinergy!$F69</f>
        <v>0</v>
      </c>
      <c r="X45" s="807" t="n">
        <f aca="false">S45*W45</f>
        <v>0</v>
      </c>
      <c r="Y45" s="807" t="n">
        <f aca="false">T45*W45</f>
        <v>0</v>
      </c>
      <c r="Z45" s="807" t="n">
        <f aca="false">U45*W45</f>
        <v>0</v>
      </c>
      <c r="AA45" s="804" t="n">
        <v>37895</v>
      </c>
      <c r="AB45" s="815" t="n">
        <v>-47689.1109425164</v>
      </c>
      <c r="AC45" s="815" t="n">
        <v>-42041.4257007507</v>
      </c>
      <c r="AD45" s="815" t="n">
        <v>0</v>
      </c>
      <c r="AE45" s="815" t="n">
        <v>7238.10751773237</v>
      </c>
      <c r="AF45" s="815" t="n">
        <v>6495.20079242296</v>
      </c>
      <c r="AG45" s="815" t="n">
        <v>0</v>
      </c>
      <c r="AH45" s="815" t="n">
        <v>0</v>
      </c>
      <c r="AI45" s="804" t="n">
        <v>37773</v>
      </c>
      <c r="AJ45" s="459" t="n">
        <v>0</v>
      </c>
      <c r="AK45" s="821" t="n">
        <v>0</v>
      </c>
      <c r="AL45" s="815"/>
      <c r="AN45" s="815"/>
      <c r="AO45" s="815"/>
    </row>
    <row r="46" customFormat="false" ht="15" hidden="false" customHeight="false" outlineLevel="0" collapsed="false">
      <c r="A46" s="817" t="n">
        <f aca="false">IF($B$5=1,[1]Cinergy!$D70,[1]Cinergy!$D71)</f>
        <v>38261</v>
      </c>
      <c r="B46" s="807" t="n">
        <f aca="false">IF(ISERROR(VLOOKUP(A46,$AA$10:$AH$100,2,FALSE()))+ISERROR(VLOOKUP(A46,$AA$10:$AH$100,3,FALSE()))=0,VLOOKUP(A46,$AA$10:$AH$100,2,FALSE())+VLOOKUP(A46,$AA$10:$AH$100,3,FALSE()),0)</f>
        <v>-85953.5122644194</v>
      </c>
      <c r="C46" s="807" t="n">
        <f aca="false">IF(ISERROR(VLOOKUP(A46,$AA$10:$AH$100,4,FALSE()))=FALSE(),VLOOKUP(A46,$AA$10:$AH$100,4,FALSE()),0)</f>
        <v>0</v>
      </c>
      <c r="D46" s="818" t="n">
        <f aca="false">B46+C46</f>
        <v>-85953.5122644194</v>
      </c>
      <c r="E46" s="807" t="n">
        <f aca="false">IF(ISERROR(VLOOKUP(A46,$AI$10:$AL$100,2,FALSE()))+ISERROR(VLOOKUP(A46,$AI$10:$AL$100,3,FALSE()))=0,VLOOKUP(A46,$AI$10:$AL$100,2,FALSE())+VLOOKUP(A46,$AI$10:$AL$100,3,FALSE()),0)</f>
        <v>0</v>
      </c>
      <c r="F46" s="807" t="n">
        <f aca="false">IF(ISERROR(VLOOKUP(A46,$AI$10:$AL$100,4,FALSE()))=FALSE(),VLOOKUP(A46,$AI$10:$AL$100,4,FALSE()),0)</f>
        <v>0</v>
      </c>
      <c r="G46" s="818" t="n">
        <f aca="false">F46+E46</f>
        <v>0</v>
      </c>
      <c r="H46" s="819" t="n">
        <f aca="false">VLOOKUP(A46,NymexData!$S$12:$T$128,2)</f>
        <v>3.261</v>
      </c>
      <c r="I46" s="820" t="n">
        <f aca="false">IF($I$7=1,NymexData!AN48,NymexData!X48)</f>
        <v>0</v>
      </c>
      <c r="J46" s="819" t="n">
        <f aca="false">IF($I$7=1,H46+I46,VLOOKUP(A46,NymexData!$AA$12:$AB$128,2))</f>
        <v>3.261</v>
      </c>
      <c r="K46" s="807" t="n">
        <f aca="false">B46*I46</f>
        <v>-0</v>
      </c>
      <c r="L46" s="807" t="n">
        <f aca="false">C46*I46</f>
        <v>0</v>
      </c>
      <c r="M46" s="811" t="n">
        <f aca="false">E46*I46</f>
        <v>0</v>
      </c>
      <c r="N46" s="807" t="n">
        <f aca="false">F46*I46</f>
        <v>0</v>
      </c>
      <c r="O46" s="811" t="n">
        <f aca="false">SUM(K46:N46)</f>
        <v>0</v>
      </c>
      <c r="R46" s="817" t="n">
        <f aca="false">A46</f>
        <v>38261</v>
      </c>
      <c r="S46" s="807" t="n">
        <f aca="false">IF(ISERROR(VLOOKUP(R46,$AA$10:$AH$100,5,FALSE()))+ISERROR(VLOOKUP(R46,$AA$10:$AH$100,6,FALSE()))=0,VLOOKUP(R46,$AA$10:$AH$100,5,FALSE())+VLOOKUP(R46,$AA$10:$AH$100,6,FALSE()),0)</f>
        <v>12997.422265683</v>
      </c>
      <c r="T46" s="807" t="n">
        <f aca="false">IF(ISERROR(VLOOKUP(R46,$AA$10:$AH$100,7,FALSE()))=FALSE(),VLOOKUP(R46,$AA$10:$AH$100,7,FALSE()),0)</f>
        <v>0</v>
      </c>
      <c r="U46" s="807" t="n">
        <f aca="false">IF(ISERROR(VLOOKUP(R46,$AA$10:$AH$100,8,FALSE()))=FALSE(),VLOOKUP(R46,$AA$10:$AH$100,8,FALSE()),0)</f>
        <v>0</v>
      </c>
      <c r="V46" s="807" t="n">
        <f aca="false">S46+T46+U46</f>
        <v>12997.422265683</v>
      </c>
      <c r="W46" s="814" t="n">
        <f aca="false">[1]Cinergy!$F70</f>
        <v>-0.365001320838928</v>
      </c>
      <c r="X46" s="807" t="n">
        <f aca="false">S46*W46</f>
        <v>-4744.07629447561</v>
      </c>
      <c r="Y46" s="807" t="n">
        <f aca="false">T46*W46</f>
        <v>-0</v>
      </c>
      <c r="Z46" s="807" t="n">
        <f aca="false">U46*W46</f>
        <v>-0</v>
      </c>
      <c r="AA46" s="804" t="n">
        <v>37926</v>
      </c>
      <c r="AB46" s="815" t="n">
        <v>-876836.107008098</v>
      </c>
      <c r="AC46" s="815" t="n">
        <v>-1552843.44949825</v>
      </c>
      <c r="AD46" s="815" t="n">
        <v>0</v>
      </c>
      <c r="AE46" s="815" t="n">
        <v>14600.9019096277</v>
      </c>
      <c r="AF46" s="815" t="n">
        <v>23877.3630983841</v>
      </c>
      <c r="AG46" s="815" t="n">
        <v>0</v>
      </c>
      <c r="AH46" s="815" t="n">
        <v>0</v>
      </c>
      <c r="AI46" s="804" t="n">
        <v>37803</v>
      </c>
      <c r="AJ46" s="459" t="n">
        <v>0</v>
      </c>
      <c r="AK46" s="821" t="n">
        <v>0</v>
      </c>
      <c r="AL46" s="815"/>
      <c r="AN46" s="815"/>
      <c r="AO46" s="815"/>
    </row>
    <row r="47" customFormat="false" ht="15" hidden="false" customHeight="false" outlineLevel="0" collapsed="false">
      <c r="A47" s="817" t="n">
        <f aca="false">IF($B$5=1,[1]Cinergy!$D71,[1]Cinergy!$D72)</f>
        <v>38292</v>
      </c>
      <c r="B47" s="807" t="n">
        <f aca="false">IF(ISERROR(VLOOKUP(A47,$AA$10:$AH$100,2,FALSE()))+ISERROR(VLOOKUP(A47,$AA$10:$AH$100,3,FALSE()))=0,VLOOKUP(A47,$AA$10:$AH$100,2,FALSE())+VLOOKUP(A47,$AA$10:$AH$100,3,FALSE()),0)</f>
        <v>-2642605.11428947</v>
      </c>
      <c r="C47" s="807" t="n">
        <f aca="false">IF(ISERROR(VLOOKUP(A47,$AA$10:$AH$100,4,FALSE()))=FALSE(),VLOOKUP(A47,$AA$10:$AH$100,4,FALSE()),0)</f>
        <v>0</v>
      </c>
      <c r="D47" s="818" t="n">
        <f aca="false">B47+C47</f>
        <v>-2642605.11428947</v>
      </c>
      <c r="E47" s="807" t="n">
        <f aca="false">IF(ISERROR(VLOOKUP(A47,$AI$10:$AL$100,2,FALSE()))+ISERROR(VLOOKUP(A47,$AI$10:$AL$100,3,FALSE()))=0,VLOOKUP(A47,$AI$10:$AL$100,2,FALSE())+VLOOKUP(A47,$AI$10:$AL$100,3,FALSE()),0)</f>
        <v>0</v>
      </c>
      <c r="F47" s="807" t="n">
        <f aca="false">IF(ISERROR(VLOOKUP(A47,$AI$10:$AL$100,4,FALSE()))=FALSE(),VLOOKUP(A47,$AI$10:$AL$100,4,FALSE()),0)</f>
        <v>0</v>
      </c>
      <c r="G47" s="818" t="n">
        <f aca="false">F47+E47</f>
        <v>0</v>
      </c>
      <c r="H47" s="819" t="n">
        <f aca="false">VLOOKUP(A47,NymexData!$S$12:$T$128,2)</f>
        <v>3.416</v>
      </c>
      <c r="I47" s="820" t="n">
        <f aca="false">IF($I$7=1,NymexData!AN49,NymexData!X49)</f>
        <v>0</v>
      </c>
      <c r="J47" s="819" t="n">
        <f aca="false">IF($I$7=1,H47+I47,VLOOKUP(A47,NymexData!$AA$12:$AB$128,2))</f>
        <v>3.416</v>
      </c>
      <c r="K47" s="807" t="n">
        <f aca="false">B47*I47</f>
        <v>-0</v>
      </c>
      <c r="L47" s="807" t="n">
        <f aca="false">C47*I47</f>
        <v>0</v>
      </c>
      <c r="M47" s="811" t="n">
        <f aca="false">E47*I47</f>
        <v>0</v>
      </c>
      <c r="N47" s="807" t="n">
        <f aca="false">F47*I47</f>
        <v>0</v>
      </c>
      <c r="O47" s="811" t="n">
        <f aca="false">SUM(K47:N47)</f>
        <v>0</v>
      </c>
      <c r="R47" s="817" t="n">
        <f aca="false">A47</f>
        <v>38292</v>
      </c>
      <c r="S47" s="807" t="n">
        <f aca="false">IF(ISERROR(VLOOKUP(R47,$AA$10:$AH$100,5,FALSE()))+ISERROR(VLOOKUP(R47,$AA$10:$AH$100,6,FALSE()))=0,VLOOKUP(R47,$AA$10:$AH$100,5,FALSE())+VLOOKUP(R47,$AA$10:$AH$100,6,FALSE()),0)</f>
        <v>42150.2037226718</v>
      </c>
      <c r="T47" s="807" t="n">
        <f aca="false">IF(ISERROR(VLOOKUP(R47,$AA$10:$AH$100,7,FALSE()))=FALSE(),VLOOKUP(R47,$AA$10:$AH$100,7,FALSE()),0)</f>
        <v>0</v>
      </c>
      <c r="U47" s="807" t="n">
        <f aca="false">IF(ISERROR(VLOOKUP(R47,$AA$10:$AH$100,8,FALSE()))=FALSE(),VLOOKUP(R47,$AA$10:$AH$100,8,FALSE()),0)</f>
        <v>0</v>
      </c>
      <c r="V47" s="807" t="n">
        <f aca="false">S47+T47+U47</f>
        <v>42150.2037226718</v>
      </c>
      <c r="W47" s="814" t="n">
        <f aca="false">[1]Cinergy!$F71</f>
        <v>-0.365001320838928</v>
      </c>
      <c r="X47" s="807" t="n">
        <f aca="false">S47*W47</f>
        <v>-15384.8800324051</v>
      </c>
      <c r="Y47" s="807" t="n">
        <f aca="false">T47*W47</f>
        <v>-0</v>
      </c>
      <c r="Z47" s="807" t="n">
        <f aca="false">U47*W47</f>
        <v>-0</v>
      </c>
      <c r="AA47" s="804" t="n">
        <v>37956</v>
      </c>
      <c r="AB47" s="815" t="n">
        <v>-556101.918165958</v>
      </c>
      <c r="AC47" s="815" t="n">
        <v>-1051730.00328797</v>
      </c>
      <c r="AD47" s="815" t="n">
        <v>0</v>
      </c>
      <c r="AE47" s="815" t="n">
        <v>12623.376632426</v>
      </c>
      <c r="AF47" s="815" t="n">
        <v>21905.2710028716</v>
      </c>
      <c r="AG47" s="815" t="n">
        <v>0</v>
      </c>
      <c r="AH47" s="815" t="n">
        <v>0</v>
      </c>
      <c r="AI47" s="804" t="n">
        <v>37834</v>
      </c>
      <c r="AJ47" s="459" t="n">
        <v>0</v>
      </c>
      <c r="AK47" s="821" t="n">
        <v>0</v>
      </c>
      <c r="AL47" s="815"/>
      <c r="AN47" s="815"/>
      <c r="AO47" s="815"/>
    </row>
    <row r="48" customFormat="false" ht="15" hidden="false" customHeight="false" outlineLevel="0" collapsed="false">
      <c r="A48" s="817" t="n">
        <f aca="false">IF($B$5=1,[1]Cinergy!$D72,[1]Cinergy!$D73)</f>
        <v>38322</v>
      </c>
      <c r="B48" s="807" t="n">
        <f aca="false">IF(ISERROR(VLOOKUP(A48,$AA$10:$AH$100,2,FALSE()))+ISERROR(VLOOKUP(A48,$AA$10:$AH$100,3,FALSE()))=0,VLOOKUP(A48,$AA$10:$AH$100,2,FALSE())+VLOOKUP(A48,$AA$10:$AH$100,3,FALSE()),0)</f>
        <v>-1696323.82565937</v>
      </c>
      <c r="C48" s="807" t="n">
        <f aca="false">IF(ISERROR(VLOOKUP(A48,$AA$10:$AH$100,4,FALSE()))=FALSE(),VLOOKUP(A48,$AA$10:$AH$100,4,FALSE()),0)</f>
        <v>0</v>
      </c>
      <c r="D48" s="818" t="n">
        <f aca="false">B48+C48</f>
        <v>-1696323.82565937</v>
      </c>
      <c r="E48" s="807" t="n">
        <f aca="false">IF(ISERROR(VLOOKUP(A48,$AI$10:$AL$100,2,FALSE()))+ISERROR(VLOOKUP(A48,$AI$10:$AL$100,3,FALSE()))=0,VLOOKUP(A48,$AI$10:$AL$100,2,FALSE())+VLOOKUP(A48,$AI$10:$AL$100,3,FALSE()),0)</f>
        <v>0</v>
      </c>
      <c r="F48" s="807" t="n">
        <f aca="false">IF(ISERROR(VLOOKUP(A48,$AI$10:$AL$100,4,FALSE()))=FALSE(),VLOOKUP(A48,$AI$10:$AL$100,4,FALSE()),0)</f>
        <v>0</v>
      </c>
      <c r="G48" s="818" t="n">
        <f aca="false">F48+E48</f>
        <v>0</v>
      </c>
      <c r="H48" s="819" t="n">
        <f aca="false">VLOOKUP(A48,NymexData!$S$12:$T$128,2)</f>
        <v>3.581</v>
      </c>
      <c r="I48" s="820" t="n">
        <f aca="false">IF($I$7=1,NymexData!AN50,NymexData!X50)</f>
        <v>0</v>
      </c>
      <c r="J48" s="819" t="n">
        <f aca="false">IF($I$7=1,H48+I48,VLOOKUP(A48,NymexData!$AA$12:$AB$128,2))</f>
        <v>3.581</v>
      </c>
      <c r="K48" s="807" t="n">
        <f aca="false">B48*I48</f>
        <v>-0</v>
      </c>
      <c r="L48" s="807" t="n">
        <f aca="false">C48*I48</f>
        <v>0</v>
      </c>
      <c r="M48" s="811" t="n">
        <f aca="false">E48*I48</f>
        <v>0</v>
      </c>
      <c r="N48" s="807" t="n">
        <f aca="false">F48*I48</f>
        <v>0</v>
      </c>
      <c r="O48" s="811" t="n">
        <f aca="false">SUM(K48:N48)</f>
        <v>0</v>
      </c>
      <c r="R48" s="817" t="n">
        <f aca="false">A48</f>
        <v>38322</v>
      </c>
      <c r="S48" s="807" t="n">
        <f aca="false">IF(ISERROR(VLOOKUP(R48,$AA$10:$AH$100,5,FALSE()))+ISERROR(VLOOKUP(R48,$AA$10:$AH$100,6,FALSE()))=0,VLOOKUP(R48,$AA$10:$AH$100,5,FALSE())+VLOOKUP(R48,$AA$10:$AH$100,6,FALSE()),0)</f>
        <v>36460.1429790893</v>
      </c>
      <c r="T48" s="807" t="n">
        <f aca="false">IF(ISERROR(VLOOKUP(R48,$AA$10:$AH$100,7,FALSE()))=FALSE(),VLOOKUP(R48,$AA$10:$AH$100,7,FALSE()),0)</f>
        <v>0</v>
      </c>
      <c r="U48" s="807" t="n">
        <f aca="false">IF(ISERROR(VLOOKUP(R48,$AA$10:$AH$100,8,FALSE()))=FALSE(),VLOOKUP(R48,$AA$10:$AH$100,8,FALSE()),0)</f>
        <v>0</v>
      </c>
      <c r="V48" s="807" t="n">
        <f aca="false">S48+T48+U48</f>
        <v>36460.1429790893</v>
      </c>
      <c r="W48" s="814" t="n">
        <f aca="false">[1]Cinergy!$F72</f>
        <v>-0.365001320838928</v>
      </c>
      <c r="X48" s="807" t="n">
        <f aca="false">S48*W48</f>
        <v>-13308.0003453438</v>
      </c>
      <c r="Y48" s="807" t="n">
        <f aca="false">T48*W48</f>
        <v>-0</v>
      </c>
      <c r="Z48" s="807" t="n">
        <f aca="false">U48*W48</f>
        <v>-0</v>
      </c>
      <c r="AA48" s="804" t="n">
        <v>37987</v>
      </c>
      <c r="AB48" s="815" t="n">
        <v>-881072.068335304</v>
      </c>
      <c r="AC48" s="815" t="n">
        <v>-1553892.81000794</v>
      </c>
      <c r="AD48" s="815" t="n">
        <v>0</v>
      </c>
      <c r="AE48" s="815" t="n">
        <v>21446.0745951897</v>
      </c>
      <c r="AF48" s="815" t="n">
        <v>34733.74548661</v>
      </c>
      <c r="AG48" s="815" t="n">
        <v>0</v>
      </c>
      <c r="AH48" s="815" t="n">
        <v>0</v>
      </c>
      <c r="AI48" s="804" t="n">
        <v>37865</v>
      </c>
      <c r="AJ48" s="459" t="n">
        <v>0</v>
      </c>
      <c r="AK48" s="821" t="n">
        <v>0</v>
      </c>
      <c r="AL48" s="815"/>
      <c r="AN48" s="815"/>
      <c r="AO48" s="815"/>
    </row>
    <row r="49" customFormat="false" ht="15" hidden="false" customHeight="false" outlineLevel="0" collapsed="false">
      <c r="A49" s="817" t="n">
        <f aca="false">IF($B$5=1,[1]Cinergy!$D73,[1]Cinergy!$D74)</f>
        <v>38353</v>
      </c>
      <c r="B49" s="807" t="n">
        <f aca="false">IF(ISERROR(VLOOKUP(A49,$AA$10:$AH$100,2,FALSE()))+ISERROR(VLOOKUP(A49,$AA$10:$AH$100,3,FALSE()))=0,VLOOKUP(A49,$AA$10:$AH$100,2,FALSE())+VLOOKUP(A49,$AA$10:$AH$100,3,FALSE()),0)</f>
        <v>-2353197.33412371</v>
      </c>
      <c r="C49" s="807" t="n">
        <f aca="false">IF(ISERROR(VLOOKUP(A49,$AA$10:$AH$100,4,FALSE()))=FALSE(),VLOOKUP(A49,$AA$10:$AH$100,4,FALSE()),0)</f>
        <v>0</v>
      </c>
      <c r="D49" s="818" t="n">
        <f aca="false">B49+C49</f>
        <v>-2353197.33412371</v>
      </c>
      <c r="E49" s="807" t="n">
        <f aca="false">IF(ISERROR(VLOOKUP(A49,$AI$10:$AL$100,2,FALSE()))+ISERROR(VLOOKUP(A49,$AI$10:$AL$100,3,FALSE()))=0,VLOOKUP(A49,$AI$10:$AL$100,2,FALSE())+VLOOKUP(A49,$AI$10:$AL$100,3,FALSE()),0)</f>
        <v>0</v>
      </c>
      <c r="F49" s="807" t="n">
        <f aca="false">IF(ISERROR(VLOOKUP(A49,$AI$10:$AL$100,4,FALSE()))=FALSE(),VLOOKUP(A49,$AI$10:$AL$100,4,FALSE()),0)</f>
        <v>0</v>
      </c>
      <c r="G49" s="818" t="n">
        <f aca="false">F49+E49</f>
        <v>0</v>
      </c>
      <c r="H49" s="819" t="n">
        <f aca="false">VLOOKUP(A49,NymexData!$S$12:$T$128,2)</f>
        <v>3.631</v>
      </c>
      <c r="I49" s="820" t="n">
        <f aca="false">IF($I$7=1,NymexData!AN51,NymexData!X51)</f>
        <v>0</v>
      </c>
      <c r="J49" s="819" t="n">
        <f aca="false">IF($I$7=1,H49+I49,VLOOKUP(A49,NymexData!$AA$12:$AB$128,2))</f>
        <v>3.631</v>
      </c>
      <c r="K49" s="807" t="n">
        <f aca="false">B49*I49</f>
        <v>-0</v>
      </c>
      <c r="L49" s="807" t="n">
        <f aca="false">C49*I49</f>
        <v>0</v>
      </c>
      <c r="M49" s="811" t="n">
        <f aca="false">E49*I49</f>
        <v>0</v>
      </c>
      <c r="N49" s="807" t="n">
        <f aca="false">F49*I49</f>
        <v>0</v>
      </c>
      <c r="O49" s="811" t="n">
        <f aca="false">SUM(K49:N49)</f>
        <v>0</v>
      </c>
      <c r="R49" s="817" t="n">
        <f aca="false">A49</f>
        <v>38353</v>
      </c>
      <c r="S49" s="807" t="n">
        <f aca="false">IF(ISERROR(VLOOKUP(R49,$AA$10:$AH$100,5,FALSE()))+ISERROR(VLOOKUP(R49,$AA$10:$AH$100,6,FALSE()))=0,VLOOKUP(R49,$AA$10:$AH$100,5,FALSE())+VLOOKUP(R49,$AA$10:$AH$100,6,FALSE()),0)</f>
        <v>54038.5810745387</v>
      </c>
      <c r="T49" s="807" t="n">
        <f aca="false">IF(ISERROR(VLOOKUP(R49,$AA$10:$AH$100,7,FALSE()))=FALSE(),VLOOKUP(R49,$AA$10:$AH$100,7,FALSE()),0)</f>
        <v>0</v>
      </c>
      <c r="U49" s="807" t="n">
        <f aca="false">IF(ISERROR(VLOOKUP(R49,$AA$10:$AH$100,8,FALSE()))=FALSE(),VLOOKUP(R49,$AA$10:$AH$100,8,FALSE()),0)</f>
        <v>0</v>
      </c>
      <c r="V49" s="807" t="n">
        <f aca="false">S49+T49+U49</f>
        <v>54038.5810745387</v>
      </c>
      <c r="W49" s="814" t="n">
        <f aca="false">[1]Cinergy!$F73</f>
        <v>1.81652250574871E-007</v>
      </c>
      <c r="X49" s="807" t="n">
        <f aca="false">S49*W49</f>
        <v>0.00981622987006257</v>
      </c>
      <c r="Y49" s="807" t="n">
        <f aca="false">T49*W49</f>
        <v>0</v>
      </c>
      <c r="Z49" s="807" t="n">
        <f aca="false">U49*W49</f>
        <v>0</v>
      </c>
      <c r="AA49" s="804" t="n">
        <v>38018</v>
      </c>
      <c r="AB49" s="815" t="n">
        <v>-909203.662175214</v>
      </c>
      <c r="AC49" s="815" t="n">
        <v>-1607621.23561625</v>
      </c>
      <c r="AD49" s="815" t="n">
        <v>0</v>
      </c>
      <c r="AE49" s="815" t="n">
        <v>21645.6936832944</v>
      </c>
      <c r="AF49" s="815" t="n">
        <v>35103.9797236952</v>
      </c>
      <c r="AG49" s="815" t="n">
        <v>0</v>
      </c>
      <c r="AH49" s="815" t="n">
        <v>0</v>
      </c>
      <c r="AI49" s="804" t="n">
        <v>37895</v>
      </c>
      <c r="AJ49" s="459" t="n">
        <v>0</v>
      </c>
      <c r="AK49" s="821" t="n">
        <v>0</v>
      </c>
      <c r="AL49" s="815"/>
      <c r="AN49" s="815"/>
      <c r="AO49" s="815"/>
    </row>
    <row r="50" customFormat="false" ht="15" hidden="false" customHeight="false" outlineLevel="0" collapsed="false">
      <c r="A50" s="817" t="n">
        <f aca="false">IF($B$5=1,[1]Cinergy!$D74,[1]Cinergy!$D75)</f>
        <v>38384</v>
      </c>
      <c r="B50" s="807" t="n">
        <f aca="false">IF(ISERROR(VLOOKUP(A50,$AA$10:$AH$100,2,FALSE()))+ISERROR(VLOOKUP(A50,$AA$10:$AH$100,3,FALSE()))=0,VLOOKUP(A50,$AA$10:$AH$100,2,FALSE())+VLOOKUP(A50,$AA$10:$AH$100,3,FALSE()),0)</f>
        <v>-2431864.89555799</v>
      </c>
      <c r="C50" s="807" t="n">
        <f aca="false">IF(ISERROR(VLOOKUP(A50,$AA$10:$AH$100,4,FALSE()))=FALSE(),VLOOKUP(A50,$AA$10:$AH$100,4,FALSE()),0)</f>
        <v>0</v>
      </c>
      <c r="D50" s="818" t="n">
        <f aca="false">B50+C50</f>
        <v>-2431864.89555799</v>
      </c>
      <c r="E50" s="807" t="n">
        <f aca="false">IF(ISERROR(VLOOKUP(A50,$AI$10:$AL$100,2,FALSE()))+ISERROR(VLOOKUP(A50,$AI$10:$AL$100,3,FALSE()))=0,VLOOKUP(A50,$AI$10:$AL$100,2,FALSE())+VLOOKUP(A50,$AI$10:$AL$100,3,FALSE()),0)</f>
        <v>0</v>
      </c>
      <c r="F50" s="807" t="n">
        <f aca="false">IF(ISERROR(VLOOKUP(A50,$AI$10:$AL$100,4,FALSE()))=FALSE(),VLOOKUP(A50,$AI$10:$AL$100,4,FALSE()),0)</f>
        <v>0</v>
      </c>
      <c r="G50" s="818" t="n">
        <f aca="false">F50+E50</f>
        <v>0</v>
      </c>
      <c r="H50" s="819" t="n">
        <f aca="false">VLOOKUP(A50,NymexData!$S$12:$T$128,2)</f>
        <v>3.517</v>
      </c>
      <c r="I50" s="820" t="n">
        <f aca="false">IF($I$7=1,NymexData!AN52,NymexData!X52)</f>
        <v>0</v>
      </c>
      <c r="J50" s="819" t="n">
        <f aca="false">IF($I$7=1,H50+I50,VLOOKUP(A50,NymexData!$AA$12:$AB$128,2))</f>
        <v>3.517</v>
      </c>
      <c r="K50" s="807" t="n">
        <f aca="false">B50*I50</f>
        <v>-0</v>
      </c>
      <c r="L50" s="807" t="n">
        <f aca="false">C50*I50</f>
        <v>0</v>
      </c>
      <c r="M50" s="811" t="n">
        <f aca="false">E50*I50</f>
        <v>0</v>
      </c>
      <c r="N50" s="807" t="n">
        <f aca="false">F50*I50</f>
        <v>0</v>
      </c>
      <c r="O50" s="811" t="n">
        <f aca="false">SUM(K50:N50)</f>
        <v>0</v>
      </c>
      <c r="R50" s="817" t="n">
        <f aca="false">A50</f>
        <v>38384</v>
      </c>
      <c r="S50" s="807" t="n">
        <f aca="false">IF(ISERROR(VLOOKUP(R50,$AA$10:$AH$100,5,FALSE()))+ISERROR(VLOOKUP(R50,$AA$10:$AH$100,6,FALSE()))=0,VLOOKUP(R50,$AA$10:$AH$100,5,FALSE())+VLOOKUP(R50,$AA$10:$AH$100,6,FALSE()),0)</f>
        <v>54460.6224736393</v>
      </c>
      <c r="T50" s="807" t="n">
        <f aca="false">IF(ISERROR(VLOOKUP(R50,$AA$10:$AH$100,7,FALSE()))=FALSE(),VLOOKUP(R50,$AA$10:$AH$100,7,FALSE()),0)</f>
        <v>0</v>
      </c>
      <c r="U50" s="807" t="n">
        <f aca="false">IF(ISERROR(VLOOKUP(R50,$AA$10:$AH$100,8,FALSE()))=FALSE(),VLOOKUP(R50,$AA$10:$AH$100,8,FALSE()),0)</f>
        <v>0</v>
      </c>
      <c r="V50" s="807" t="n">
        <f aca="false">S50+T50+U50</f>
        <v>54460.6224736393</v>
      </c>
      <c r="W50" s="814" t="n">
        <f aca="false">[1]Cinergy!$F74</f>
        <v>1.81652250574871E-007</v>
      </c>
      <c r="X50" s="807" t="n">
        <f aca="false">S50*W50</f>
        <v>0.00989289464004496</v>
      </c>
      <c r="Y50" s="807" t="n">
        <f aca="false">T50*W50</f>
        <v>0</v>
      </c>
      <c r="Z50" s="807" t="n">
        <f aca="false">U50*W50</f>
        <v>0</v>
      </c>
      <c r="AA50" s="804" t="n">
        <v>38047</v>
      </c>
      <c r="AB50" s="815" t="n">
        <v>-688925.580520684</v>
      </c>
      <c r="AC50" s="815" t="n">
        <v>-1215114.36744909</v>
      </c>
      <c r="AD50" s="815" t="n">
        <v>0</v>
      </c>
      <c r="AE50" s="815" t="n">
        <v>16835.838245226</v>
      </c>
      <c r="AF50" s="815" t="n">
        <v>27358.0738623059</v>
      </c>
      <c r="AG50" s="815" t="n">
        <v>0</v>
      </c>
      <c r="AH50" s="815" t="n">
        <v>0</v>
      </c>
      <c r="AI50" s="804" t="n">
        <v>37926</v>
      </c>
      <c r="AJ50" s="459" t="n">
        <v>0</v>
      </c>
      <c r="AK50" s="821" t="n">
        <v>0</v>
      </c>
      <c r="AL50" s="815"/>
      <c r="AN50" s="815"/>
      <c r="AO50" s="815"/>
    </row>
    <row r="51" customFormat="false" ht="15" hidden="false" customHeight="false" outlineLevel="0" collapsed="false">
      <c r="A51" s="817" t="n">
        <f aca="false">IF($B$5=1,[1]Cinergy!$D75,[1]Cinergy!$D76)</f>
        <v>38412</v>
      </c>
      <c r="B51" s="807" t="n">
        <f aca="false">IF(ISERROR(VLOOKUP(A51,$AA$10:$AH$100,2,FALSE()))+ISERROR(VLOOKUP(A51,$AA$10:$AH$100,3,FALSE()))=0,VLOOKUP(A51,$AA$10:$AH$100,2,FALSE())+VLOOKUP(A51,$AA$10:$AH$100,3,FALSE()),0)</f>
        <v>-2061366.62920692</v>
      </c>
      <c r="C51" s="807" t="n">
        <f aca="false">IF(ISERROR(VLOOKUP(A51,$AA$10:$AH$100,4,FALSE()))=FALSE(),VLOOKUP(A51,$AA$10:$AH$100,4,FALSE()),0)</f>
        <v>0</v>
      </c>
      <c r="D51" s="818" t="n">
        <f aca="false">B51+C51</f>
        <v>-2061366.62920692</v>
      </c>
      <c r="E51" s="807" t="n">
        <f aca="false">IF(ISERROR(VLOOKUP(A51,$AI$10:$AL$100,2,FALSE()))+ISERROR(VLOOKUP(A51,$AI$10:$AL$100,3,FALSE()))=0,VLOOKUP(A51,$AI$10:$AL$100,2,FALSE())+VLOOKUP(A51,$AI$10:$AL$100,3,FALSE()),0)</f>
        <v>0</v>
      </c>
      <c r="F51" s="807" t="n">
        <f aca="false">IF(ISERROR(VLOOKUP(A51,$AI$10:$AL$100,4,FALSE()))=FALSE(),VLOOKUP(A51,$AI$10:$AL$100,4,FALSE()),0)</f>
        <v>0</v>
      </c>
      <c r="G51" s="818" t="n">
        <f aca="false">F51+E51</f>
        <v>0</v>
      </c>
      <c r="H51" s="819" t="n">
        <f aca="false">VLOOKUP(A51,NymexData!$S$12:$T$128,2)</f>
        <v>3.385</v>
      </c>
      <c r="I51" s="820" t="n">
        <f aca="false">IF($I$7=1,NymexData!AN53,NymexData!X53)</f>
        <v>0</v>
      </c>
      <c r="J51" s="819" t="n">
        <f aca="false">IF($I$7=1,H51+I51,VLOOKUP(A51,NymexData!$AA$12:$AB$128,2))</f>
        <v>3.385</v>
      </c>
      <c r="K51" s="807" t="n">
        <f aca="false">B51*I51</f>
        <v>-0</v>
      </c>
      <c r="L51" s="807" t="n">
        <f aca="false">C51*I51</f>
        <v>0</v>
      </c>
      <c r="M51" s="811" t="n">
        <f aca="false">E51*I51</f>
        <v>0</v>
      </c>
      <c r="N51" s="807" t="n">
        <f aca="false">F51*I51</f>
        <v>0</v>
      </c>
      <c r="O51" s="811" t="n">
        <f aca="false">SUM(K51:N51)</f>
        <v>0</v>
      </c>
      <c r="R51" s="817" t="n">
        <f aca="false">A51</f>
        <v>38412</v>
      </c>
      <c r="S51" s="807" t="n">
        <f aca="false">IF(ISERROR(VLOOKUP(R51,$AA$10:$AH$100,5,FALSE()))+ISERROR(VLOOKUP(R51,$AA$10:$AH$100,6,FALSE()))=0,VLOOKUP(R51,$AA$10:$AH$100,5,FALSE())+VLOOKUP(R51,$AA$10:$AH$100,6,FALSE()),0)</f>
        <v>48545.3599954742</v>
      </c>
      <c r="T51" s="807" t="n">
        <f aca="false">IF(ISERROR(VLOOKUP(R51,$AA$10:$AH$100,7,FALSE()))=FALSE(),VLOOKUP(R51,$AA$10:$AH$100,7,FALSE()),0)</f>
        <v>0</v>
      </c>
      <c r="U51" s="807" t="n">
        <f aca="false">IF(ISERROR(VLOOKUP(R51,$AA$10:$AH$100,8,FALSE()))=FALSE(),VLOOKUP(R51,$AA$10:$AH$100,8,FALSE()),0)</f>
        <v>0</v>
      </c>
      <c r="V51" s="807" t="n">
        <f aca="false">S51+T51+U51</f>
        <v>48545.3599954742</v>
      </c>
      <c r="W51" s="814" t="n">
        <f aca="false">[1]Cinergy!$F75</f>
        <v>-0.250000443569448</v>
      </c>
      <c r="X51" s="807" t="n">
        <f aca="false">S51*W51</f>
        <v>-12136.3615321071</v>
      </c>
      <c r="Y51" s="807" t="n">
        <f aca="false">T51*W51</f>
        <v>-0</v>
      </c>
      <c r="Z51" s="807" t="n">
        <f aca="false">U51*W51</f>
        <v>-0</v>
      </c>
      <c r="AA51" s="804" t="n">
        <v>38078</v>
      </c>
      <c r="AB51" s="815" t="n">
        <v>-97295.761077624</v>
      </c>
      <c r="AC51" s="815" t="n">
        <v>-105240.971840621</v>
      </c>
      <c r="AD51" s="815" t="n">
        <v>0</v>
      </c>
      <c r="AE51" s="815" t="n">
        <v>14173.7303801662</v>
      </c>
      <c r="AF51" s="815" t="n">
        <v>15374.3616189576</v>
      </c>
      <c r="AG51" s="815" t="n">
        <v>0</v>
      </c>
      <c r="AH51" s="815" t="n">
        <v>0</v>
      </c>
      <c r="AI51" s="804" t="n">
        <v>37956</v>
      </c>
      <c r="AJ51" s="459" t="n">
        <v>0</v>
      </c>
      <c r="AK51" s="821" t="n">
        <v>0</v>
      </c>
      <c r="AL51" s="815"/>
      <c r="AN51" s="815"/>
      <c r="AO51" s="815"/>
    </row>
    <row r="52" customFormat="false" ht="15" hidden="false" customHeight="false" outlineLevel="0" collapsed="false">
      <c r="A52" s="817" t="n">
        <f aca="false">IF($B$5=1,[1]Cinergy!$D76,[1]Cinergy!$D77)</f>
        <v>38443</v>
      </c>
      <c r="B52" s="807" t="n">
        <f aca="false">IF(ISERROR(VLOOKUP(A52,$AA$10:$AH$100,2,FALSE()))+ISERROR(VLOOKUP(A52,$AA$10:$AH$100,3,FALSE()))=0,VLOOKUP(A52,$AA$10:$AH$100,2,FALSE())+VLOOKUP(A52,$AA$10:$AH$100,3,FALSE()),0)</f>
        <v>-213814.925633638</v>
      </c>
      <c r="C52" s="807" t="n">
        <f aca="false">IF(ISERROR(VLOOKUP(A52,$AA$10:$AH$100,4,FALSE()))=FALSE(),VLOOKUP(A52,$AA$10:$AH$100,4,FALSE()),0)</f>
        <v>0</v>
      </c>
      <c r="D52" s="818" t="n">
        <f aca="false">B52+C52</f>
        <v>-213814.925633638</v>
      </c>
      <c r="E52" s="807" t="n">
        <f aca="false">IF(ISERROR(VLOOKUP(A52,$AI$10:$AL$100,2,FALSE()))+ISERROR(VLOOKUP(A52,$AI$10:$AL$100,3,FALSE()))=0,VLOOKUP(A52,$AI$10:$AL$100,2,FALSE())+VLOOKUP(A52,$AI$10:$AL$100,3,FALSE()),0)</f>
        <v>0</v>
      </c>
      <c r="F52" s="807" t="n">
        <f aca="false">IF(ISERROR(VLOOKUP(A52,$AI$10:$AL$100,4,FALSE()))=FALSE(),VLOOKUP(A52,$AI$10:$AL$100,4,FALSE()),0)</f>
        <v>0</v>
      </c>
      <c r="G52" s="818" t="n">
        <f aca="false">F52+E52</f>
        <v>0</v>
      </c>
      <c r="H52" s="819" t="n">
        <f aca="false">VLOOKUP(A52,NymexData!$S$12:$T$128,2)</f>
        <v>3.187</v>
      </c>
      <c r="I52" s="820" t="n">
        <f aca="false">IF($I$7=1,NymexData!AN54,NymexData!X54)</f>
        <v>0</v>
      </c>
      <c r="J52" s="819" t="n">
        <f aca="false">IF($I$7=1,H52+I52,VLOOKUP(A52,NymexData!$AA$12:$AB$128,2))</f>
        <v>3.187</v>
      </c>
      <c r="K52" s="807" t="n">
        <f aca="false">B52*I52</f>
        <v>-0</v>
      </c>
      <c r="L52" s="807" t="n">
        <f aca="false">C52*I52</f>
        <v>0</v>
      </c>
      <c r="M52" s="811" t="n">
        <f aca="false">E52*I52</f>
        <v>0</v>
      </c>
      <c r="N52" s="807" t="n">
        <f aca="false">F52*I52</f>
        <v>0</v>
      </c>
      <c r="O52" s="811" t="n">
        <f aca="false">SUM(K52:N52)</f>
        <v>0</v>
      </c>
      <c r="R52" s="817" t="n">
        <f aca="false">A52</f>
        <v>38443</v>
      </c>
      <c r="S52" s="807" t="n">
        <f aca="false">IF(ISERROR(VLOOKUP(R52,$AA$10:$AH$100,5,FALSE()))+ISERROR(VLOOKUP(R52,$AA$10:$AH$100,6,FALSE()))=0,VLOOKUP(R52,$AA$10:$AH$100,5,FALSE())+VLOOKUP(R52,$AA$10:$AH$100,6,FALSE()),0)</f>
        <v>32136.5695986558</v>
      </c>
      <c r="T52" s="807" t="n">
        <f aca="false">IF(ISERROR(VLOOKUP(R52,$AA$10:$AH$100,7,FALSE()))=FALSE(),VLOOKUP(R52,$AA$10:$AH$100,7,FALSE()),0)</f>
        <v>0</v>
      </c>
      <c r="U52" s="807" t="n">
        <f aca="false">IF(ISERROR(VLOOKUP(R52,$AA$10:$AH$100,8,FALSE()))=FALSE(),VLOOKUP(R52,$AA$10:$AH$100,8,FALSE()),0)</f>
        <v>0</v>
      </c>
      <c r="V52" s="807" t="n">
        <f aca="false">S52+T52+U52</f>
        <v>32136.5695986558</v>
      </c>
      <c r="W52" s="814" t="n">
        <f aca="false">[1]Cinergy!$F76</f>
        <v>-0.250000443569448</v>
      </c>
      <c r="X52" s="807" t="n">
        <f aca="false">S52*W52</f>
        <v>-8034.15665446438</v>
      </c>
      <c r="Y52" s="807" t="n">
        <f aca="false">T52*W52</f>
        <v>-0</v>
      </c>
      <c r="Z52" s="807" t="n">
        <f aca="false">U52*W52</f>
        <v>-0</v>
      </c>
      <c r="AA52" s="804" t="n">
        <v>38108</v>
      </c>
      <c r="AB52" s="815" t="n">
        <v>-182244.885816841</v>
      </c>
      <c r="AC52" s="815" t="n">
        <v>-179177.001344227</v>
      </c>
      <c r="AD52" s="815" t="n">
        <v>0</v>
      </c>
      <c r="AE52" s="815" t="n">
        <v>23344.7085286573</v>
      </c>
      <c r="AF52" s="815" t="n">
        <v>23936.0898865179</v>
      </c>
      <c r="AG52" s="815" t="n">
        <v>0</v>
      </c>
      <c r="AH52" s="815" t="n">
        <v>0</v>
      </c>
      <c r="AI52" s="804" t="n">
        <v>37987</v>
      </c>
      <c r="AJ52" s="459" t="n">
        <v>0</v>
      </c>
      <c r="AK52" s="821" t="n">
        <v>0</v>
      </c>
      <c r="AL52" s="815"/>
      <c r="AN52" s="815"/>
      <c r="AO52" s="815"/>
    </row>
    <row r="53" customFormat="false" ht="15" hidden="false" customHeight="false" outlineLevel="0" collapsed="false">
      <c r="A53" s="817" t="n">
        <f aca="false">IF($B$5=1,[1]Cinergy!$D77,[1]Cinergy!$D78)</f>
        <v>38473</v>
      </c>
      <c r="B53" s="807" t="n">
        <f aca="false">IF(ISERROR(VLOOKUP(A53,$AA$10:$AH$100,2,FALSE()))+ISERROR(VLOOKUP(A53,$AA$10:$AH$100,3,FALSE()))=0,VLOOKUP(A53,$AA$10:$AH$100,2,FALSE())+VLOOKUP(A53,$AA$10:$AH$100,3,FALSE()),0)</f>
        <v>-364139.833001538</v>
      </c>
      <c r="C53" s="807" t="n">
        <f aca="false">IF(ISERROR(VLOOKUP(A53,$AA$10:$AH$100,4,FALSE()))=FALSE(),VLOOKUP(A53,$AA$10:$AH$100,4,FALSE()),0)</f>
        <v>0</v>
      </c>
      <c r="D53" s="818" t="n">
        <f aca="false">B53+C53</f>
        <v>-364139.833001538</v>
      </c>
      <c r="E53" s="807" t="n">
        <f aca="false">IF(ISERROR(VLOOKUP(A53,$AI$10:$AL$100,2,FALSE()))+ISERROR(VLOOKUP(A53,$AI$10:$AL$100,3,FALSE()))=0,VLOOKUP(A53,$AI$10:$AL$100,2,FALSE())+VLOOKUP(A53,$AI$10:$AL$100,3,FALSE()),0)</f>
        <v>0</v>
      </c>
      <c r="F53" s="807" t="n">
        <f aca="false">IF(ISERROR(VLOOKUP(A53,$AI$10:$AL$100,4,FALSE()))=FALSE(),VLOOKUP(A53,$AI$10:$AL$100,4,FALSE()),0)</f>
        <v>0</v>
      </c>
      <c r="G53" s="818" t="n">
        <f aca="false">F53+E53</f>
        <v>0</v>
      </c>
      <c r="H53" s="819" t="n">
        <f aca="false">VLOOKUP(A53,NymexData!$S$12:$T$128,2)</f>
        <v>3.183</v>
      </c>
      <c r="I53" s="820" t="n">
        <f aca="false">IF($I$7=1,NymexData!AN55,NymexData!X55)</f>
        <v>0</v>
      </c>
      <c r="J53" s="819" t="n">
        <f aca="false">IF($I$7=1,H53+I53,VLOOKUP(A53,NymexData!$AA$12:$AB$128,2))</f>
        <v>3.183</v>
      </c>
      <c r="K53" s="807" t="n">
        <f aca="false">B53*I53</f>
        <v>-0</v>
      </c>
      <c r="L53" s="807" t="n">
        <f aca="false">C53*I53</f>
        <v>0</v>
      </c>
      <c r="M53" s="811" t="n">
        <f aca="false">E53*I53</f>
        <v>0</v>
      </c>
      <c r="N53" s="807" t="n">
        <f aca="false">F53*I53</f>
        <v>0</v>
      </c>
      <c r="O53" s="811" t="n">
        <f aca="false">SUM(K53:N53)</f>
        <v>0</v>
      </c>
      <c r="R53" s="817" t="n">
        <f aca="false">A53</f>
        <v>38473</v>
      </c>
      <c r="S53" s="807" t="n">
        <f aca="false">IF(ISERROR(VLOOKUP(R53,$AA$10:$AH$100,5,FALSE()))+ISERROR(VLOOKUP(R53,$AA$10:$AH$100,6,FALSE()))=0,VLOOKUP(R53,$AA$10:$AH$100,5,FALSE())+VLOOKUP(R53,$AA$10:$AH$100,6,FALSE()),0)</f>
        <v>46848.7226861642</v>
      </c>
      <c r="T53" s="807" t="n">
        <f aca="false">IF(ISERROR(VLOOKUP(R53,$AA$10:$AH$100,7,FALSE()))=FALSE(),VLOOKUP(R53,$AA$10:$AH$100,7,FALSE()),0)</f>
        <v>0</v>
      </c>
      <c r="U53" s="807" t="n">
        <f aca="false">IF(ISERROR(VLOOKUP(R53,$AA$10:$AH$100,8,FALSE()))=FALSE(),VLOOKUP(R53,$AA$10:$AH$100,8,FALSE()),0)</f>
        <v>0</v>
      </c>
      <c r="V53" s="807" t="n">
        <f aca="false">S53+T53+U53</f>
        <v>46848.7226861642</v>
      </c>
      <c r="W53" s="814" t="n">
        <f aca="false">[1]Cinergy!$F77</f>
        <v>0</v>
      </c>
      <c r="X53" s="807" t="n">
        <f aca="false">S53*W53</f>
        <v>0</v>
      </c>
      <c r="Y53" s="807" t="n">
        <f aca="false">T53*W53</f>
        <v>0</v>
      </c>
      <c r="Z53" s="807" t="n">
        <f aca="false">U53*W53</f>
        <v>0</v>
      </c>
      <c r="AA53" s="804" t="n">
        <v>38139</v>
      </c>
      <c r="AB53" s="815" t="n">
        <v>-676121.478447463</v>
      </c>
      <c r="AC53" s="815" t="n">
        <v>-774504.240590388</v>
      </c>
      <c r="AD53" s="815" t="n">
        <v>0</v>
      </c>
      <c r="AE53" s="815" t="n">
        <v>86407.8799673045</v>
      </c>
      <c r="AF53" s="815" t="n">
        <v>101237.448216066</v>
      </c>
      <c r="AG53" s="815" t="n">
        <v>0</v>
      </c>
      <c r="AH53" s="815" t="n">
        <v>-69239.0561156892</v>
      </c>
      <c r="AI53" s="804" t="n">
        <v>38018</v>
      </c>
      <c r="AJ53" s="459" t="n">
        <v>0</v>
      </c>
      <c r="AK53" s="821" t="n">
        <v>0</v>
      </c>
      <c r="AL53" s="815"/>
      <c r="AN53" s="815"/>
      <c r="AO53" s="815"/>
    </row>
    <row r="54" customFormat="false" ht="15" hidden="false" customHeight="false" outlineLevel="0" collapsed="false">
      <c r="A54" s="817" t="n">
        <f aca="false">IF($B$5=1,[1]Cinergy!$D78,[1]Cinergy!$D79)</f>
        <v>38504</v>
      </c>
      <c r="B54" s="807" t="n">
        <f aca="false">IF(ISERROR(VLOOKUP(A54,$AA$10:$AH$100,2,FALSE()))+ISERROR(VLOOKUP(A54,$AA$10:$AH$100,3,FALSE()))=0,VLOOKUP(A54,$AA$10:$AH$100,2,FALSE())+VLOOKUP(A54,$AA$10:$AH$100,3,FALSE()),0)</f>
        <v>-1389964.82101767</v>
      </c>
      <c r="C54" s="807" t="n">
        <f aca="false">IF(ISERROR(VLOOKUP(A54,$AA$10:$AH$100,4,FALSE()))=FALSE(),VLOOKUP(A54,$AA$10:$AH$100,4,FALSE()),0)</f>
        <v>0</v>
      </c>
      <c r="D54" s="818" t="n">
        <f aca="false">B54+C54</f>
        <v>-1389964.82101767</v>
      </c>
      <c r="E54" s="807" t="n">
        <f aca="false">IF(ISERROR(VLOOKUP(A54,$AI$10:$AL$100,2,FALSE()))+ISERROR(VLOOKUP(A54,$AI$10:$AL$100,3,FALSE()))=0,VLOOKUP(A54,$AI$10:$AL$100,2,FALSE())+VLOOKUP(A54,$AI$10:$AL$100,3,FALSE()),0)</f>
        <v>0</v>
      </c>
      <c r="F54" s="807" t="n">
        <f aca="false">IF(ISERROR(VLOOKUP(A54,$AI$10:$AL$100,4,FALSE()))=FALSE(),VLOOKUP(A54,$AI$10:$AL$100,4,FALSE()),0)</f>
        <v>0</v>
      </c>
      <c r="G54" s="818" t="n">
        <f aca="false">F54+E54</f>
        <v>0</v>
      </c>
      <c r="H54" s="819" t="n">
        <f aca="false">VLOOKUP(A54,NymexData!$S$12:$T$128,2)</f>
        <v>3.215</v>
      </c>
      <c r="I54" s="820" t="n">
        <f aca="false">IF($I$7=1,NymexData!AN56,NymexData!X56)</f>
        <v>0</v>
      </c>
      <c r="J54" s="819" t="n">
        <f aca="false">IF($I$7=1,H54+I54,VLOOKUP(A54,NymexData!$AA$12:$AB$128,2))</f>
        <v>3.215</v>
      </c>
      <c r="K54" s="807" t="n">
        <f aca="false">B54*I54</f>
        <v>-0</v>
      </c>
      <c r="L54" s="807" t="n">
        <f aca="false">C54*I54</f>
        <v>0</v>
      </c>
      <c r="M54" s="811" t="n">
        <f aca="false">E54*I54</f>
        <v>0</v>
      </c>
      <c r="N54" s="807" t="n">
        <f aca="false">F54*I54</f>
        <v>0</v>
      </c>
      <c r="O54" s="811" t="n">
        <f aca="false">SUM(K54:N54)</f>
        <v>0</v>
      </c>
      <c r="R54" s="817" t="n">
        <f aca="false">A54</f>
        <v>38504</v>
      </c>
      <c r="S54" s="807" t="n">
        <f aca="false">IF(ISERROR(VLOOKUP(R54,$AA$10:$AH$100,5,FALSE()))+ISERROR(VLOOKUP(R54,$AA$10:$AH$100,6,FALSE()))=0,VLOOKUP(R54,$AA$10:$AH$100,5,FALSE())+VLOOKUP(R54,$AA$10:$AH$100,6,FALSE()),0)</f>
        <v>164642.309838725</v>
      </c>
      <c r="T54" s="807" t="n">
        <f aca="false">IF(ISERROR(VLOOKUP(R54,$AA$10:$AH$100,7,FALSE()))=FALSE(),VLOOKUP(R54,$AA$10:$AH$100,7,FALSE()),0)</f>
        <v>0</v>
      </c>
      <c r="U54" s="807" t="n">
        <f aca="false">IF(ISERROR(VLOOKUP(R54,$AA$10:$AH$100,8,FALSE()))=FALSE(),VLOOKUP(R54,$AA$10:$AH$100,8,FALSE()),0)</f>
        <v>0</v>
      </c>
      <c r="V54" s="807" t="n">
        <f aca="false">S54+T54+U54</f>
        <v>164642.309838725</v>
      </c>
      <c r="W54" s="814" t="n">
        <f aca="false">[1]Cinergy!$F78</f>
        <v>-0.5</v>
      </c>
      <c r="X54" s="807" t="n">
        <f aca="false">S54*W54</f>
        <v>-82321.1549193627</v>
      </c>
      <c r="Y54" s="807" t="n">
        <f aca="false">T54*W54</f>
        <v>-0</v>
      </c>
      <c r="Z54" s="807" t="n">
        <f aca="false">U54*W54</f>
        <v>-0</v>
      </c>
      <c r="AA54" s="804" t="n">
        <v>38169</v>
      </c>
      <c r="AB54" s="815" t="n">
        <v>-799326.249029978</v>
      </c>
      <c r="AC54" s="815" t="n">
        <v>-978367.189582342</v>
      </c>
      <c r="AD54" s="815" t="n">
        <v>0</v>
      </c>
      <c r="AE54" s="815" t="n">
        <v>100609.820391994</v>
      </c>
      <c r="AF54" s="815" t="n">
        <v>124960.243607483</v>
      </c>
      <c r="AG54" s="815" t="n">
        <v>0</v>
      </c>
      <c r="AH54" s="815" t="n">
        <v>-13143.610276031</v>
      </c>
      <c r="AI54" s="804" t="n">
        <v>38047</v>
      </c>
      <c r="AJ54" s="459" t="n">
        <v>0</v>
      </c>
      <c r="AK54" s="821" t="n">
        <v>0</v>
      </c>
      <c r="AL54" s="815"/>
      <c r="AN54" s="815"/>
      <c r="AO54" s="815"/>
    </row>
    <row r="55" customFormat="false" ht="15" hidden="false" customHeight="false" outlineLevel="0" collapsed="false">
      <c r="A55" s="817" t="n">
        <f aca="false">IF($B$5=1,[1]Cinergy!$D79,[1]Cinergy!$D80)</f>
        <v>38534</v>
      </c>
      <c r="B55" s="807" t="n">
        <f aca="false">IF(ISERROR(VLOOKUP(A55,$AA$10:$AH$100,2,FALSE()))+ISERROR(VLOOKUP(A55,$AA$10:$AH$100,3,FALSE()))=0,VLOOKUP(A55,$AA$10:$AH$100,2,FALSE())+VLOOKUP(A55,$AA$10:$AH$100,3,FALSE()),0)</f>
        <v>-1690438.20432528</v>
      </c>
      <c r="C55" s="807" t="n">
        <f aca="false">IF(ISERROR(VLOOKUP(A55,$AA$10:$AH$100,4,FALSE()))=FALSE(),VLOOKUP(A55,$AA$10:$AH$100,4,FALSE()),0)</f>
        <v>0</v>
      </c>
      <c r="D55" s="818" t="n">
        <f aca="false">B55+C55</f>
        <v>-1690438.20432528</v>
      </c>
      <c r="E55" s="807" t="n">
        <f aca="false">IF(ISERROR(VLOOKUP(A55,$AI$10:$AL$100,2,FALSE()))+ISERROR(VLOOKUP(A55,$AI$10:$AL$100,3,FALSE()))=0,VLOOKUP(A55,$AI$10:$AL$100,2,FALSE())+VLOOKUP(A55,$AI$10:$AL$100,3,FALSE()),0)</f>
        <v>0</v>
      </c>
      <c r="F55" s="807" t="n">
        <f aca="false">IF(ISERROR(VLOOKUP(A55,$AI$10:$AL$100,4,FALSE()))=FALSE(),VLOOKUP(A55,$AI$10:$AL$100,4,FALSE()),0)</f>
        <v>0</v>
      </c>
      <c r="G55" s="818" t="n">
        <f aca="false">F55+E55</f>
        <v>0</v>
      </c>
      <c r="H55" s="819" t="n">
        <f aca="false">VLOOKUP(A55,NymexData!$S$12:$T$128,2)</f>
        <v>3.265</v>
      </c>
      <c r="I55" s="820" t="n">
        <f aca="false">IF($I$7=1,NymexData!AN57,NymexData!X57)</f>
        <v>0</v>
      </c>
      <c r="J55" s="819" t="n">
        <f aca="false">IF($I$7=1,H55+I55,VLOOKUP(A55,NymexData!$AA$12:$AB$128,2))</f>
        <v>3.265</v>
      </c>
      <c r="K55" s="807" t="n">
        <f aca="false">B55*I55</f>
        <v>-0</v>
      </c>
      <c r="L55" s="807" t="n">
        <f aca="false">C55*I55</f>
        <v>0</v>
      </c>
      <c r="M55" s="811" t="n">
        <f aca="false">E55*I55</f>
        <v>0</v>
      </c>
      <c r="N55" s="807" t="n">
        <f aca="false">F55*I55</f>
        <v>0</v>
      </c>
      <c r="O55" s="811" t="n">
        <f aca="false">SUM(K55:N55)</f>
        <v>0</v>
      </c>
      <c r="R55" s="817" t="n">
        <f aca="false">A55</f>
        <v>38534</v>
      </c>
      <c r="S55" s="807" t="n">
        <f aca="false">IF(ISERROR(VLOOKUP(R55,$AA$10:$AH$100,5,FALSE()))+ISERROR(VLOOKUP(R55,$AA$10:$AH$100,6,FALSE()))=0,VLOOKUP(R55,$AA$10:$AH$100,5,FALSE())+VLOOKUP(R55,$AA$10:$AH$100,6,FALSE()),0)</f>
        <v>198982.319287231</v>
      </c>
      <c r="T55" s="807" t="n">
        <f aca="false">IF(ISERROR(VLOOKUP(R55,$AA$10:$AH$100,7,FALSE()))=FALSE(),VLOOKUP(R55,$AA$10:$AH$100,7,FALSE()),0)</f>
        <v>0</v>
      </c>
      <c r="U55" s="807" t="n">
        <f aca="false">IF(ISERROR(VLOOKUP(R55,$AA$10:$AH$100,8,FALSE()))=FALSE(),VLOOKUP(R55,$AA$10:$AH$100,8,FALSE()),0)</f>
        <v>-11681.9910445175</v>
      </c>
      <c r="V55" s="807" t="n">
        <f aca="false">S55+T55+U55</f>
        <v>187300.328242713</v>
      </c>
      <c r="W55" s="814" t="n">
        <f aca="false">[1]Cinergy!$F79</f>
        <v>-0.5</v>
      </c>
      <c r="X55" s="807" t="n">
        <f aca="false">S55*W55</f>
        <v>-99491.1596436154</v>
      </c>
      <c r="Y55" s="807" t="n">
        <f aca="false">T55*W55</f>
        <v>-0</v>
      </c>
      <c r="Z55" s="807" t="n">
        <f aca="false">U55*W55</f>
        <v>5840.99552225875</v>
      </c>
      <c r="AA55" s="804" t="n">
        <v>38200</v>
      </c>
      <c r="AB55" s="815" t="n">
        <v>-831560.473277028</v>
      </c>
      <c r="AC55" s="815" t="n">
        <v>-1018725.04528652</v>
      </c>
      <c r="AD55" s="815" t="n">
        <v>0</v>
      </c>
      <c r="AE55" s="815" t="n">
        <v>104702.04534604</v>
      </c>
      <c r="AF55" s="815" t="n">
        <v>130067.474102835</v>
      </c>
      <c r="AG55" s="815" t="n">
        <v>0</v>
      </c>
      <c r="AH55" s="815" t="n">
        <v>-13691.5246167473</v>
      </c>
      <c r="AI55" s="804" t="n">
        <v>38078</v>
      </c>
      <c r="AJ55" s="459" t="n">
        <v>0</v>
      </c>
      <c r="AK55" s="821" t="n">
        <v>0</v>
      </c>
      <c r="AL55" s="815"/>
      <c r="AN55" s="815"/>
      <c r="AO55" s="815"/>
    </row>
    <row r="56" customFormat="false" ht="15" hidden="false" customHeight="false" outlineLevel="0" collapsed="false">
      <c r="A56" s="817" t="n">
        <f aca="false">IF($B$5=1,[1]Cinergy!$D80,[1]Cinergy!$D81)</f>
        <v>38565</v>
      </c>
      <c r="B56" s="807" t="n">
        <f aca="false">IF(ISERROR(VLOOKUP(A56,$AA$10:$AH$100,2,FALSE()))+ISERROR(VLOOKUP(A56,$AA$10:$AH$100,3,FALSE()))=0,VLOOKUP(A56,$AA$10:$AH$100,2,FALSE())+VLOOKUP(A56,$AA$10:$AH$100,3,FALSE()),0)</f>
        <v>-1932508.30848496</v>
      </c>
      <c r="C56" s="807" t="n">
        <f aca="false">IF(ISERROR(VLOOKUP(A56,$AA$10:$AH$100,4,FALSE()))=FALSE(),VLOOKUP(A56,$AA$10:$AH$100,4,FALSE()),0)</f>
        <v>0</v>
      </c>
      <c r="D56" s="818" t="n">
        <f aca="false">B56+C56</f>
        <v>-1932508.30848496</v>
      </c>
      <c r="E56" s="807" t="n">
        <f aca="false">IF(ISERROR(VLOOKUP(A56,$AI$10:$AL$100,2,FALSE()))+ISERROR(VLOOKUP(A56,$AI$10:$AL$100,3,FALSE()))=0,VLOOKUP(A56,$AI$10:$AL$100,2,FALSE())+VLOOKUP(A56,$AI$10:$AL$100,3,FALSE()),0)</f>
        <v>0</v>
      </c>
      <c r="F56" s="807" t="n">
        <f aca="false">IF(ISERROR(VLOOKUP(A56,$AI$10:$AL$100,4,FALSE()))=FALSE(),VLOOKUP(A56,$AI$10:$AL$100,4,FALSE()),0)</f>
        <v>0</v>
      </c>
      <c r="G56" s="818" t="n">
        <f aca="false">F56+E56</f>
        <v>0</v>
      </c>
      <c r="H56" s="819" t="n">
        <f aca="false">VLOOKUP(A56,NymexData!$S$12:$T$128,2)</f>
        <v>3.299</v>
      </c>
      <c r="I56" s="820" t="n">
        <f aca="false">IF($I$7=1,NymexData!AN58,NymexData!X58)</f>
        <v>0</v>
      </c>
      <c r="J56" s="819" t="n">
        <f aca="false">IF($I$7=1,H56+I56,VLOOKUP(A56,NymexData!$AA$12:$AB$128,2))</f>
        <v>3.299</v>
      </c>
      <c r="K56" s="807" t="n">
        <f aca="false">B56*I56</f>
        <v>-0</v>
      </c>
      <c r="L56" s="807" t="n">
        <f aca="false">C56*I56</f>
        <v>0</v>
      </c>
      <c r="M56" s="811" t="n">
        <f aca="false">E56*I56</f>
        <v>0</v>
      </c>
      <c r="N56" s="807" t="n">
        <f aca="false">F56*I56</f>
        <v>0</v>
      </c>
      <c r="O56" s="811" t="n">
        <f aca="false">SUM(K56:N56)</f>
        <v>0</v>
      </c>
      <c r="R56" s="817" t="n">
        <f aca="false">A56</f>
        <v>38565</v>
      </c>
      <c r="S56" s="807" t="n">
        <f aca="false">IF(ISERROR(VLOOKUP(R56,$AA$10:$AH$100,5,FALSE()))+ISERROR(VLOOKUP(R56,$AA$10:$AH$100,6,FALSE()))=0,VLOOKUP(R56,$AA$10:$AH$100,5,FALSE())+VLOOKUP(R56,$AA$10:$AH$100,6,FALSE()),0)</f>
        <v>227258.874905911</v>
      </c>
      <c r="T56" s="807" t="n">
        <f aca="false">IF(ISERROR(VLOOKUP(R56,$AA$10:$AH$100,7,FALSE()))=FALSE(),VLOOKUP(R56,$AA$10:$AH$100,7,FALSE()),0)</f>
        <v>0</v>
      </c>
      <c r="U56" s="807" t="n">
        <f aca="false">IF(ISERROR(VLOOKUP(R56,$AA$10:$AH$100,8,FALSE()))=FALSE(),VLOOKUP(R56,$AA$10:$AH$100,8,FALSE()),0)</f>
        <v>-13353.671535471</v>
      </c>
      <c r="V56" s="807" t="n">
        <f aca="false">S56+T56+U56</f>
        <v>213905.20337044</v>
      </c>
      <c r="W56" s="814" t="n">
        <f aca="false">[1]Cinergy!$F80</f>
        <v>-0.5</v>
      </c>
      <c r="X56" s="807" t="n">
        <f aca="false">S56*W56</f>
        <v>-113629.437452955</v>
      </c>
      <c r="Y56" s="807" t="n">
        <f aca="false">T56*W56</f>
        <v>-0</v>
      </c>
      <c r="Z56" s="807" t="n">
        <f aca="false">U56*W56</f>
        <v>6676.8357677355</v>
      </c>
      <c r="AA56" s="804" t="n">
        <v>38231</v>
      </c>
      <c r="AB56" s="815" t="n">
        <v>-292314.393066695</v>
      </c>
      <c r="AC56" s="815" t="n">
        <v>-315332.816441656</v>
      </c>
      <c r="AD56" s="815" t="n">
        <v>0</v>
      </c>
      <c r="AE56" s="815" t="n">
        <v>32056.5092192375</v>
      </c>
      <c r="AF56" s="815" t="n">
        <v>34792.9614601874</v>
      </c>
      <c r="AG56" s="815" t="n">
        <v>0</v>
      </c>
      <c r="AH56" s="815" t="n">
        <v>0</v>
      </c>
      <c r="AI56" s="804" t="n">
        <v>38108</v>
      </c>
      <c r="AJ56" s="459" t="n">
        <v>0</v>
      </c>
      <c r="AK56" s="821" t="n">
        <v>0</v>
      </c>
      <c r="AL56" s="815"/>
      <c r="AN56" s="815"/>
      <c r="AO56" s="815"/>
    </row>
    <row r="57" customFormat="false" ht="15" hidden="false" customHeight="false" outlineLevel="0" collapsed="false">
      <c r="A57" s="817" t="n">
        <f aca="false">IF($B$5=1,[1]Cinergy!$D81,[1]Cinergy!$D82)</f>
        <v>38596</v>
      </c>
      <c r="B57" s="807" t="n">
        <f aca="false">IF(ISERROR(VLOOKUP(A57,$AA$10:$AH$100,2,FALSE()))+ISERROR(VLOOKUP(A57,$AA$10:$AH$100,3,FALSE()))=0,VLOOKUP(A57,$AA$10:$AH$100,2,FALSE())+VLOOKUP(A57,$AA$10:$AH$100,3,FALSE()),0)</f>
        <v>-584628.560679918</v>
      </c>
      <c r="C57" s="807" t="n">
        <f aca="false">IF(ISERROR(VLOOKUP(A57,$AA$10:$AH$100,4,FALSE()))=FALSE(),VLOOKUP(A57,$AA$10:$AH$100,4,FALSE()),0)</f>
        <v>0</v>
      </c>
      <c r="D57" s="818" t="n">
        <f aca="false">B57+C57</f>
        <v>-584628.560679918</v>
      </c>
      <c r="E57" s="807" t="n">
        <f aca="false">IF(ISERROR(VLOOKUP(A57,$AI$10:$AL$100,2,FALSE()))+ISERROR(VLOOKUP(A57,$AI$10:$AL$100,3,FALSE()))=0,VLOOKUP(A57,$AI$10:$AL$100,2,FALSE())+VLOOKUP(A57,$AI$10:$AL$100,3,FALSE()),0)</f>
        <v>0</v>
      </c>
      <c r="F57" s="807" t="n">
        <f aca="false">IF(ISERROR(VLOOKUP(A57,$AI$10:$AL$100,4,FALSE()))=FALSE(),VLOOKUP(A57,$AI$10:$AL$100,4,FALSE()),0)</f>
        <v>0</v>
      </c>
      <c r="G57" s="818" t="n">
        <f aca="false">F57+E57</f>
        <v>0</v>
      </c>
      <c r="H57" s="819" t="n">
        <f aca="false">VLOOKUP(A57,NymexData!$S$12:$T$128,2)</f>
        <v>3.312</v>
      </c>
      <c r="I57" s="820" t="n">
        <f aca="false">IF($I$7=1,NymexData!AN59,NymexData!X59)</f>
        <v>0</v>
      </c>
      <c r="J57" s="819" t="n">
        <f aca="false">IF($I$7=1,H57+I57,VLOOKUP(A57,NymexData!$AA$12:$AB$128,2))</f>
        <v>3.312</v>
      </c>
      <c r="K57" s="807" t="n">
        <f aca="false">B57*I57</f>
        <v>-0</v>
      </c>
      <c r="L57" s="807" t="n">
        <f aca="false">C57*I57</f>
        <v>0</v>
      </c>
      <c r="M57" s="811" t="n">
        <f aca="false">E57*I57</f>
        <v>0</v>
      </c>
      <c r="N57" s="807" t="n">
        <f aca="false">F57*I57</f>
        <v>0</v>
      </c>
      <c r="O57" s="811" t="n">
        <f aca="false">SUM(K57:N57)</f>
        <v>0</v>
      </c>
      <c r="R57" s="817" t="n">
        <f aca="false">A57</f>
        <v>38596</v>
      </c>
      <c r="S57" s="807" t="n">
        <f aca="false">IF(ISERROR(VLOOKUP(R57,$AA$10:$AH$100,5,FALSE()))+ISERROR(VLOOKUP(R57,$AA$10:$AH$100,6,FALSE()))=0,VLOOKUP(R57,$AA$10:$AH$100,5,FALSE())+VLOOKUP(R57,$AA$10:$AH$100,6,FALSE()),0)</f>
        <v>62987.3881152155</v>
      </c>
      <c r="T57" s="807" t="n">
        <f aca="false">IF(ISERROR(VLOOKUP(R57,$AA$10:$AH$100,7,FALSE()))=FALSE(),VLOOKUP(R57,$AA$10:$AH$100,7,FALSE()),0)</f>
        <v>0</v>
      </c>
      <c r="U57" s="807" t="n">
        <f aca="false">IF(ISERROR(VLOOKUP(R57,$AA$10:$AH$100,8,FALSE()))=FALSE(),VLOOKUP(R57,$AA$10:$AH$100,8,FALSE()),0)</f>
        <v>0</v>
      </c>
      <c r="V57" s="807" t="n">
        <f aca="false">S57+T57+U57</f>
        <v>62987.3881152155</v>
      </c>
      <c r="W57" s="814" t="n">
        <f aca="false">[1]Cinergy!$F81</f>
        <v>0</v>
      </c>
      <c r="X57" s="807" t="n">
        <f aca="false">S57*W57</f>
        <v>0</v>
      </c>
      <c r="Y57" s="807" t="n">
        <f aca="false">T57*W57</f>
        <v>0</v>
      </c>
      <c r="Z57" s="807" t="n">
        <f aca="false">U57*W57</f>
        <v>0</v>
      </c>
      <c r="AA57" s="804" t="n">
        <v>38261</v>
      </c>
      <c r="AB57" s="815" t="n">
        <v>-45575.9000378663</v>
      </c>
      <c r="AC57" s="815" t="n">
        <v>-40377.6122265531</v>
      </c>
      <c r="AD57" s="815" t="n">
        <v>0</v>
      </c>
      <c r="AE57" s="815" t="n">
        <v>6829.36479225117</v>
      </c>
      <c r="AF57" s="815" t="n">
        <v>6168.05747343187</v>
      </c>
      <c r="AG57" s="815" t="n">
        <v>0</v>
      </c>
      <c r="AH57" s="815" t="n">
        <v>0</v>
      </c>
      <c r="AI57" s="804" t="n">
        <v>38139</v>
      </c>
      <c r="AJ57" s="459" t="n">
        <v>0</v>
      </c>
      <c r="AK57" s="821" t="n">
        <v>0</v>
      </c>
      <c r="AL57" s="815"/>
      <c r="AN57" s="815"/>
      <c r="AO57" s="815"/>
    </row>
    <row r="58" customFormat="false" ht="15" hidden="false" customHeight="false" outlineLevel="0" collapsed="false">
      <c r="A58" s="817" t="n">
        <f aca="false">IF($B$5=1,[1]Cinergy!$D82,[1]Cinergy!$D83)</f>
        <v>38626</v>
      </c>
      <c r="B58" s="807" t="n">
        <f aca="false">IF(ISERROR(VLOOKUP(A58,$AA$10:$AH$100,2,FALSE()))+ISERROR(VLOOKUP(A58,$AA$10:$AH$100,3,FALSE()))=0,VLOOKUP(A58,$AA$10:$AH$100,2,FALSE())+VLOOKUP(A58,$AA$10:$AH$100,3,FALSE()),0)</f>
        <v>-120499.480535904</v>
      </c>
      <c r="C58" s="807" t="n">
        <f aca="false">IF(ISERROR(VLOOKUP(A58,$AA$10:$AH$100,4,FALSE()))=FALSE(),VLOOKUP(A58,$AA$10:$AH$100,4,FALSE()),0)</f>
        <v>0</v>
      </c>
      <c r="D58" s="818" t="n">
        <f aca="false">B58+C58</f>
        <v>-120499.480535904</v>
      </c>
      <c r="E58" s="807" t="n">
        <f aca="false">IF(ISERROR(VLOOKUP(A58,$AI$10:$AL$100,2,FALSE()))+ISERROR(VLOOKUP(A58,$AI$10:$AL$100,3,FALSE()))=0,VLOOKUP(A58,$AI$10:$AL$100,2,FALSE())+VLOOKUP(A58,$AI$10:$AL$100,3,FALSE()),0)</f>
        <v>0</v>
      </c>
      <c r="F58" s="807" t="n">
        <f aca="false">IF(ISERROR(VLOOKUP(A58,$AI$10:$AL$100,4,FALSE()))=FALSE(),VLOOKUP(A58,$AI$10:$AL$100,4,FALSE()),0)</f>
        <v>0</v>
      </c>
      <c r="G58" s="818" t="n">
        <f aca="false">F58+E58</f>
        <v>0</v>
      </c>
      <c r="H58" s="819" t="n">
        <f aca="false">VLOOKUP(A58,NymexData!$S$12:$T$128,2)</f>
        <v>3.311</v>
      </c>
      <c r="I58" s="820" t="n">
        <f aca="false">IF($I$7=1,NymexData!AN60,NymexData!X60)</f>
        <v>0</v>
      </c>
      <c r="J58" s="819" t="n">
        <f aca="false">IF($I$7=1,H58+I58,VLOOKUP(A58,NymexData!$AA$12:$AB$128,2))</f>
        <v>3.311</v>
      </c>
      <c r="K58" s="807" t="n">
        <f aca="false">B58*I58</f>
        <v>-0</v>
      </c>
      <c r="L58" s="807" t="n">
        <f aca="false">C58*I58</f>
        <v>0</v>
      </c>
      <c r="M58" s="811" t="n">
        <f aca="false">E58*I58</f>
        <v>0</v>
      </c>
      <c r="N58" s="807" t="n">
        <f aca="false">F58*I58</f>
        <v>0</v>
      </c>
      <c r="O58" s="811" t="n">
        <f aca="false">SUM(K58:N58)</f>
        <v>0</v>
      </c>
      <c r="R58" s="817" t="n">
        <f aca="false">A58</f>
        <v>38626</v>
      </c>
      <c r="S58" s="807" t="n">
        <f aca="false">IF(ISERROR(VLOOKUP(R58,$AA$10:$AH$100,5,FALSE()))+ISERROR(VLOOKUP(R58,$AA$10:$AH$100,6,FALSE()))=0,VLOOKUP(R58,$AA$10:$AH$100,5,FALSE())+VLOOKUP(R58,$AA$10:$AH$100,6,FALSE()),0)</f>
        <v>18738.9648689734</v>
      </c>
      <c r="T58" s="807" t="n">
        <f aca="false">IF(ISERROR(VLOOKUP(R58,$AA$10:$AH$100,7,FALSE()))=FALSE(),VLOOKUP(R58,$AA$10:$AH$100,7,FALSE()),0)</f>
        <v>0</v>
      </c>
      <c r="U58" s="807" t="n">
        <f aca="false">IF(ISERROR(VLOOKUP(R58,$AA$10:$AH$100,8,FALSE()))=FALSE(),VLOOKUP(R58,$AA$10:$AH$100,8,FALSE()),0)</f>
        <v>0</v>
      </c>
      <c r="V58" s="807" t="n">
        <f aca="false">S58+T58+U58</f>
        <v>18738.9648689734</v>
      </c>
      <c r="W58" s="814" t="n">
        <f aca="false">[1]Cinergy!$F82</f>
        <v>-0.365001320838928</v>
      </c>
      <c r="X58" s="807" t="n">
        <f aca="false">S58*W58</f>
        <v>-6839.74692832958</v>
      </c>
      <c r="Y58" s="807" t="n">
        <f aca="false">T58*W58</f>
        <v>-0</v>
      </c>
      <c r="Z58" s="807" t="n">
        <f aca="false">U58*W58</f>
        <v>-0</v>
      </c>
      <c r="AA58" s="804" t="n">
        <v>38292</v>
      </c>
      <c r="AB58" s="815" t="n">
        <v>-956244.781624465</v>
      </c>
      <c r="AC58" s="815" t="n">
        <v>-1686360.332665</v>
      </c>
      <c r="AD58" s="815" t="n">
        <v>0</v>
      </c>
      <c r="AE58" s="815" t="n">
        <v>16014.0586719938</v>
      </c>
      <c r="AF58" s="815" t="n">
        <v>26136.145050678</v>
      </c>
      <c r="AG58" s="815" t="n">
        <v>0</v>
      </c>
      <c r="AH58" s="815" t="n">
        <v>0</v>
      </c>
      <c r="AI58" s="804" t="n">
        <v>38169</v>
      </c>
      <c r="AJ58" s="459" t="n">
        <v>0</v>
      </c>
      <c r="AK58" s="821" t="n">
        <v>0</v>
      </c>
      <c r="AL58" s="815"/>
      <c r="AN58" s="815"/>
      <c r="AO58" s="815"/>
    </row>
    <row r="59" customFormat="false" ht="15" hidden="false" customHeight="false" outlineLevel="0" collapsed="false">
      <c r="A59" s="817" t="n">
        <f aca="false">IF($B$5=1,[1]Cinergy!$D83,[1]Cinergy!$D84)</f>
        <v>38657</v>
      </c>
      <c r="B59" s="807" t="n">
        <f aca="false">IF(ISERROR(VLOOKUP(A59,$AA$10:$AH$100,2,FALSE()))+ISERROR(VLOOKUP(A59,$AA$10:$AH$100,3,FALSE()))=0,VLOOKUP(A59,$AA$10:$AH$100,2,FALSE())+VLOOKUP(A59,$AA$10:$AH$100,3,FALSE()),0)</f>
        <v>-1048547.39406276</v>
      </c>
      <c r="C59" s="807" t="n">
        <f aca="false">IF(ISERROR(VLOOKUP(A59,$AA$10:$AH$100,4,FALSE()))=FALSE(),VLOOKUP(A59,$AA$10:$AH$100,4,FALSE()),0)</f>
        <v>0</v>
      </c>
      <c r="D59" s="818" t="n">
        <f aca="false">B59+C59</f>
        <v>-1048547.39406276</v>
      </c>
      <c r="E59" s="807" t="n">
        <f aca="false">IF(ISERROR(VLOOKUP(A59,$AI$10:$AL$100,2,FALSE()))+ISERROR(VLOOKUP(A59,$AI$10:$AL$100,3,FALSE()))=0,VLOOKUP(A59,$AI$10:$AL$100,2,FALSE())+VLOOKUP(A59,$AI$10:$AL$100,3,FALSE()),0)</f>
        <v>0</v>
      </c>
      <c r="F59" s="807" t="n">
        <f aca="false">IF(ISERROR(VLOOKUP(A59,$AI$10:$AL$100,4,FALSE()))=FALSE(),VLOOKUP(A59,$AI$10:$AL$100,4,FALSE()),0)</f>
        <v>0</v>
      </c>
      <c r="G59" s="818" t="n">
        <f aca="false">F59+E59</f>
        <v>0</v>
      </c>
      <c r="H59" s="819" t="n">
        <f aca="false">VLOOKUP(A59,NymexData!$S$12:$T$128,2)</f>
        <v>3.466</v>
      </c>
      <c r="I59" s="820" t="n">
        <f aca="false">IF($I$7=1,NymexData!AN61,NymexData!X61)</f>
        <v>0</v>
      </c>
      <c r="J59" s="819" t="n">
        <f aca="false">IF($I$7=1,H59+I59,VLOOKUP(A59,NymexData!$AA$12:$AB$128,2))</f>
        <v>3.466</v>
      </c>
      <c r="K59" s="807" t="n">
        <f aca="false">B59*I59</f>
        <v>-0</v>
      </c>
      <c r="L59" s="807" t="n">
        <f aca="false">C59*I59</f>
        <v>0</v>
      </c>
      <c r="M59" s="811" t="n">
        <f aca="false">E59*I59</f>
        <v>0</v>
      </c>
      <c r="N59" s="807" t="n">
        <f aca="false">F59*I59</f>
        <v>0</v>
      </c>
      <c r="O59" s="811" t="n">
        <f aca="false">SUM(K59:N59)</f>
        <v>0</v>
      </c>
      <c r="R59" s="817" t="n">
        <f aca="false">A59</f>
        <v>38657</v>
      </c>
      <c r="S59" s="807" t="n">
        <f aca="false">IF(ISERROR(VLOOKUP(R59,$AA$10:$AH$100,5,FALSE()))+ISERROR(VLOOKUP(R59,$AA$10:$AH$100,6,FALSE()))=0,VLOOKUP(R59,$AA$10:$AH$100,5,FALSE())+VLOOKUP(R59,$AA$10:$AH$100,6,FALSE()),0)</f>
        <v>30483.6888041648</v>
      </c>
      <c r="T59" s="807" t="n">
        <f aca="false">IF(ISERROR(VLOOKUP(R59,$AA$10:$AH$100,7,FALSE()))=FALSE(),VLOOKUP(R59,$AA$10:$AH$100,7,FALSE()),0)</f>
        <v>0</v>
      </c>
      <c r="U59" s="807" t="n">
        <f aca="false">IF(ISERROR(VLOOKUP(R59,$AA$10:$AH$100,8,FALSE()))=FALSE(),VLOOKUP(R59,$AA$10:$AH$100,8,FALSE()),0)</f>
        <v>0</v>
      </c>
      <c r="V59" s="807" t="n">
        <f aca="false">S59+T59+U59</f>
        <v>30483.6888041648</v>
      </c>
      <c r="W59" s="814" t="n">
        <f aca="false">[1]Cinergy!$F83</f>
        <v>-0.365001320838928</v>
      </c>
      <c r="X59" s="807" t="n">
        <f aca="false">S59*W59</f>
        <v>-11126.586677563</v>
      </c>
      <c r="Y59" s="807" t="n">
        <f aca="false">T59*W59</f>
        <v>-0</v>
      </c>
      <c r="Z59" s="807" t="n">
        <f aca="false">U59*W59</f>
        <v>-0</v>
      </c>
      <c r="AA59" s="804" t="n">
        <v>38322</v>
      </c>
      <c r="AB59" s="815" t="n">
        <v>-586098.415444285</v>
      </c>
      <c r="AC59" s="815" t="n">
        <v>-1110225.41021508</v>
      </c>
      <c r="AD59" s="815" t="n">
        <v>0</v>
      </c>
      <c r="AE59" s="815" t="n">
        <v>13318.5866503078</v>
      </c>
      <c r="AF59" s="815" t="n">
        <v>23141.5563287815</v>
      </c>
      <c r="AG59" s="815" t="n">
        <v>0</v>
      </c>
      <c r="AH59" s="815" t="n">
        <v>0</v>
      </c>
      <c r="AI59" s="804" t="n">
        <v>38200</v>
      </c>
      <c r="AJ59" s="459" t="n">
        <v>0</v>
      </c>
      <c r="AK59" s="821" t="n">
        <v>0</v>
      </c>
      <c r="AL59" s="815"/>
      <c r="AN59" s="815"/>
      <c r="AO59" s="815"/>
    </row>
    <row r="60" customFormat="false" ht="15" hidden="false" customHeight="false" outlineLevel="0" collapsed="false">
      <c r="A60" s="817" t="n">
        <f aca="false">IF($B$5=1,[1]Cinergy!$D84,[1]Cinergy!$D85)</f>
        <v>38687</v>
      </c>
      <c r="B60" s="807" t="n">
        <f aca="false">IF(ISERROR(VLOOKUP(A60,$AA$10:$AH$100,2,FALSE()))+ISERROR(VLOOKUP(A60,$AA$10:$AH$100,3,FALSE()))=0,VLOOKUP(A60,$AA$10:$AH$100,2,FALSE())+VLOOKUP(A60,$AA$10:$AH$100,3,FALSE()),0)</f>
        <v>-667075.958473765</v>
      </c>
      <c r="C60" s="807" t="n">
        <f aca="false">IF(ISERROR(VLOOKUP(A60,$AA$10:$AH$100,4,FALSE()))=FALSE(),VLOOKUP(A60,$AA$10:$AH$100,4,FALSE()),0)</f>
        <v>0</v>
      </c>
      <c r="D60" s="818" t="n">
        <f aca="false">B60+C60</f>
        <v>-667075.958473765</v>
      </c>
      <c r="E60" s="807" t="n">
        <f aca="false">IF(ISERROR(VLOOKUP(A60,$AI$10:$AL$100,2,FALSE()))+ISERROR(VLOOKUP(A60,$AI$10:$AL$100,3,FALSE()))=0,VLOOKUP(A60,$AI$10:$AL$100,2,FALSE())+VLOOKUP(A60,$AI$10:$AL$100,3,FALSE()),0)</f>
        <v>0</v>
      </c>
      <c r="F60" s="807" t="n">
        <f aca="false">IF(ISERROR(VLOOKUP(A60,$AI$10:$AL$100,4,FALSE()))=FALSE(),VLOOKUP(A60,$AI$10:$AL$100,4,FALSE()),0)</f>
        <v>0</v>
      </c>
      <c r="G60" s="818" t="n">
        <f aca="false">F60+E60</f>
        <v>0</v>
      </c>
      <c r="H60" s="819" t="n">
        <f aca="false">VLOOKUP(A60,NymexData!$S$12:$T$128,2)</f>
        <v>3.631</v>
      </c>
      <c r="I60" s="820" t="n">
        <f aca="false">IF($I$7=1,NymexData!AN62,NymexData!X62)</f>
        <v>0</v>
      </c>
      <c r="J60" s="819" t="n">
        <f aca="false">IF($I$7=1,H60+I60,VLOOKUP(A60,NymexData!$AA$12:$AB$128,2))</f>
        <v>3.631</v>
      </c>
      <c r="K60" s="807" t="n">
        <f aca="false">B60*I60</f>
        <v>-0</v>
      </c>
      <c r="L60" s="807" t="n">
        <f aca="false">C60*I60</f>
        <v>0</v>
      </c>
      <c r="M60" s="811" t="n">
        <f aca="false">E60*I60</f>
        <v>0</v>
      </c>
      <c r="N60" s="807" t="n">
        <f aca="false">F60*I60</f>
        <v>0</v>
      </c>
      <c r="O60" s="811" t="n">
        <f aca="false">SUM(K60:N60)</f>
        <v>0</v>
      </c>
      <c r="R60" s="817" t="n">
        <f aca="false">A60</f>
        <v>38687</v>
      </c>
      <c r="S60" s="807" t="n">
        <f aca="false">IF(ISERROR(VLOOKUP(R60,$AA$10:$AH$100,5,FALSE()))+ISERROR(VLOOKUP(R60,$AA$10:$AH$100,6,FALSE()))=0,VLOOKUP(R60,$AA$10:$AH$100,5,FALSE())+VLOOKUP(R60,$AA$10:$AH$100,6,FALSE()),0)</f>
        <v>24689.7466957838</v>
      </c>
      <c r="T60" s="807" t="n">
        <f aca="false">IF(ISERROR(VLOOKUP(R60,$AA$10:$AH$100,7,FALSE()))=FALSE(),VLOOKUP(R60,$AA$10:$AH$100,7,FALSE()),0)</f>
        <v>0</v>
      </c>
      <c r="U60" s="807" t="n">
        <f aca="false">IF(ISERROR(VLOOKUP(R60,$AA$10:$AH$100,8,FALSE()))=FALSE(),VLOOKUP(R60,$AA$10:$AH$100,8,FALSE()),0)</f>
        <v>0</v>
      </c>
      <c r="V60" s="807" t="n">
        <f aca="false">S60+T60+U60</f>
        <v>24689.7466957838</v>
      </c>
      <c r="W60" s="814" t="n">
        <f aca="false">[1]Cinergy!$F84</f>
        <v>-0.365001320838928</v>
      </c>
      <c r="X60" s="807" t="n">
        <f aca="false">S60*W60</f>
        <v>-9011.79015513965</v>
      </c>
      <c r="Y60" s="807" t="n">
        <f aca="false">T60*W60</f>
        <v>-0</v>
      </c>
      <c r="Z60" s="807" t="n">
        <f aca="false">U60*W60</f>
        <v>-0</v>
      </c>
      <c r="AA60" s="804" t="n">
        <v>38353</v>
      </c>
      <c r="AB60" s="815" t="n">
        <v>-850024.724443712</v>
      </c>
      <c r="AC60" s="815" t="n">
        <v>-1503172.60968</v>
      </c>
      <c r="AD60" s="815" t="n">
        <v>0</v>
      </c>
      <c r="AE60" s="815" t="n">
        <v>20597.8785632826</v>
      </c>
      <c r="AF60" s="815" t="n">
        <v>33440.7025112561</v>
      </c>
      <c r="AG60" s="815" t="n">
        <v>0</v>
      </c>
      <c r="AH60" s="815" t="n">
        <v>0</v>
      </c>
      <c r="AI60" s="804"/>
      <c r="AJ60" s="459" t="n">
        <v>0</v>
      </c>
      <c r="AK60" s="821" t="n">
        <v>0</v>
      </c>
      <c r="AL60" s="815" t="n">
        <v>-0.0001</v>
      </c>
      <c r="AN60" s="815"/>
      <c r="AO60" s="815"/>
    </row>
    <row r="61" customFormat="false" ht="12.75" hidden="false" customHeight="false" outlineLevel="0" collapsed="false">
      <c r="A61" s="817" t="n">
        <f aca="false">IF($B$5=1,[1]Cinergy!$D85,[1]Cinergy!$D86)</f>
        <v>38718</v>
      </c>
      <c r="B61" s="807" t="n">
        <f aca="false">IF(ISERROR(VLOOKUP(A61,$AA$10:$AH$100,2,FALSE()))+ISERROR(VLOOKUP(A61,$AA$10:$AH$100,3,FALSE()))=0,VLOOKUP(A61,$AA$10:$AH$100,2,FALSE())+VLOOKUP(A61,$AA$10:$AH$100,3,FALSE()),0)</f>
        <v>-925609.980040235</v>
      </c>
      <c r="C61" s="807" t="n">
        <f aca="false">IF(ISERROR(VLOOKUP(A61,$AA$10:$AH$100,4,FALSE()))=FALSE(),VLOOKUP(A61,$AA$10:$AH$100,4,FALSE()),0)</f>
        <v>0</v>
      </c>
      <c r="D61" s="818" t="n">
        <f aca="false">B61+C61</f>
        <v>-925609.980040235</v>
      </c>
      <c r="E61" s="807" t="n">
        <f aca="false">IF(ISERROR(VLOOKUP(A61,$AI$10:$AL$100,2,FALSE()))+ISERROR(VLOOKUP(A61,$AI$10:$AL$100,3,FALSE()))=0,VLOOKUP(A61,$AI$10:$AL$100,2,FALSE())+VLOOKUP(A61,$AI$10:$AL$100,3,FALSE()),0)</f>
        <v>0</v>
      </c>
      <c r="F61" s="807" t="n">
        <f aca="false">IF(ISERROR(VLOOKUP(A61,$AI$10:$AL$100,4,FALSE()))=FALSE(),VLOOKUP(A61,$AI$10:$AL$100,4,FALSE()),0)</f>
        <v>0</v>
      </c>
      <c r="G61" s="818" t="n">
        <f aca="false">F61+E61</f>
        <v>0</v>
      </c>
      <c r="H61" s="819" t="n">
        <f aca="false">VLOOKUP(A61,NymexData!$S$12:$T$128,2)</f>
        <v>3.691</v>
      </c>
      <c r="I61" s="820" t="n">
        <f aca="false">IF($I$7=1,NymexData!AN63,NymexData!X63)</f>
        <v>0</v>
      </c>
      <c r="J61" s="819" t="n">
        <f aca="false">IF($I$7=1,H61+I61,VLOOKUP(A61,NymexData!$AA$12:$AB$128,2))</f>
        <v>3.691</v>
      </c>
      <c r="K61" s="807" t="n">
        <f aca="false">B61*I61</f>
        <v>-0</v>
      </c>
      <c r="L61" s="807" t="n">
        <f aca="false">C61*I61</f>
        <v>0</v>
      </c>
      <c r="M61" s="811" t="n">
        <f aca="false">E61*I61</f>
        <v>0</v>
      </c>
      <c r="N61" s="807" t="n">
        <f aca="false">F61*I61</f>
        <v>0</v>
      </c>
      <c r="O61" s="811" t="n">
        <f aca="false">SUM(K61:N61)</f>
        <v>0</v>
      </c>
      <c r="R61" s="817" t="n">
        <f aca="false">A61</f>
        <v>38718</v>
      </c>
      <c r="S61" s="807" t="n">
        <f aca="false">IF(ISERROR(VLOOKUP(R61,$AA$10:$AH$100,5,FALSE()))+ISERROR(VLOOKUP(R61,$AA$10:$AH$100,6,FALSE()))=0,VLOOKUP(R61,$AA$10:$AH$100,5,FALSE())+VLOOKUP(R61,$AA$10:$AH$100,6,FALSE()),0)</f>
        <v>36283.5605967676</v>
      </c>
      <c r="T61" s="807" t="n">
        <f aca="false">IF(ISERROR(VLOOKUP(R61,$AA$10:$AH$100,7,FALSE()))=FALSE(),VLOOKUP(R61,$AA$10:$AH$100,7,FALSE()),0)</f>
        <v>0</v>
      </c>
      <c r="U61" s="807" t="n">
        <f aca="false">IF(ISERROR(VLOOKUP(R61,$AA$10:$AH$100,8,FALSE()))=FALSE(),VLOOKUP(R61,$AA$10:$AH$100,8,FALSE()),0)</f>
        <v>0</v>
      </c>
      <c r="V61" s="807" t="n">
        <f aca="false">S61+T61+U61</f>
        <v>36283.5605967676</v>
      </c>
      <c r="W61" s="814" t="n">
        <f aca="false">[1]Cinergy!$F85</f>
        <v>1.81652250574871E-007</v>
      </c>
      <c r="X61" s="807" t="n">
        <f aca="false">S61*W61</f>
        <v>0.00659099044127254</v>
      </c>
      <c r="Y61" s="807" t="n">
        <f aca="false">T61*W61</f>
        <v>0</v>
      </c>
      <c r="Z61" s="807" t="n">
        <f aca="false">U61*W61</f>
        <v>0</v>
      </c>
      <c r="AA61" s="804" t="n">
        <v>38384</v>
      </c>
      <c r="AB61" s="815" t="n">
        <v>-876383.029801125</v>
      </c>
      <c r="AC61" s="815" t="n">
        <v>-1555481.86575686</v>
      </c>
      <c r="AD61" s="815" t="n">
        <v>0</v>
      </c>
      <c r="AE61" s="815" t="n">
        <v>20736.3340354683</v>
      </c>
      <c r="AF61" s="815" t="n">
        <v>33724.288438171</v>
      </c>
      <c r="AG61" s="815" t="n">
        <v>0</v>
      </c>
      <c r="AH61" s="815" t="n">
        <v>0</v>
      </c>
      <c r="AI61" s="804"/>
      <c r="AJ61" s="815"/>
      <c r="AK61" s="815"/>
      <c r="AL61" s="815"/>
      <c r="AN61" s="815"/>
      <c r="AO61" s="815"/>
    </row>
    <row r="62" customFormat="false" ht="12.75" hidden="false" customHeight="false" outlineLevel="0" collapsed="false">
      <c r="A62" s="817" t="n">
        <f aca="false">IF($B$5=1,[1]Cinergy!$D86,[1]Cinergy!$D87)</f>
        <v>38749</v>
      </c>
      <c r="B62" s="807" t="n">
        <f aca="false">IF(ISERROR(VLOOKUP(A62,$AA$10:$AH$100,2,FALSE()))+ISERROR(VLOOKUP(A62,$AA$10:$AH$100,3,FALSE()))=0,VLOOKUP(A62,$AA$10:$AH$100,2,FALSE())+VLOOKUP(A62,$AA$10:$AH$100,3,FALSE()),0)</f>
        <v>-949137.652036611</v>
      </c>
      <c r="C62" s="807" t="n">
        <f aca="false">IF(ISERROR(VLOOKUP(A62,$AA$10:$AH$100,4,FALSE()))=FALSE(),VLOOKUP(A62,$AA$10:$AH$100,4,FALSE()),0)</f>
        <v>0</v>
      </c>
      <c r="D62" s="818" t="n">
        <f aca="false">B62+C62</f>
        <v>-949137.652036611</v>
      </c>
      <c r="E62" s="807" t="n">
        <f aca="false">IF(ISERROR(VLOOKUP(A62,$AI$10:$AL$100,2,FALSE()))+ISERROR(VLOOKUP(A62,$AI$10:$AL$100,3,FALSE()))=0,VLOOKUP(A62,$AI$10:$AL$100,2,FALSE())+VLOOKUP(A62,$AI$10:$AL$100,3,FALSE()),0)</f>
        <v>0</v>
      </c>
      <c r="F62" s="807" t="n">
        <f aca="false">IF(ISERROR(VLOOKUP(A62,$AI$10:$AL$100,4,FALSE()))=FALSE(),VLOOKUP(A62,$AI$10:$AL$100,4,FALSE()),0)</f>
        <v>0</v>
      </c>
      <c r="G62" s="818" t="n">
        <f aca="false">F62+E62</f>
        <v>0</v>
      </c>
      <c r="H62" s="819" t="n">
        <f aca="false">VLOOKUP(A62,NymexData!$S$12:$T$128,2)</f>
        <v>3.577</v>
      </c>
      <c r="I62" s="820" t="n">
        <f aca="false">IF($I$7=1,NymexData!AN64,NymexData!X64)</f>
        <v>0</v>
      </c>
      <c r="J62" s="819" t="n">
        <f aca="false">IF($I$7=1,H62+I62,VLOOKUP(A62,NymexData!$AA$12:$AB$128,2))</f>
        <v>3.577</v>
      </c>
      <c r="K62" s="807" t="n">
        <f aca="false">B62*I62</f>
        <v>-0</v>
      </c>
      <c r="L62" s="807" t="n">
        <f aca="false">C62*I62</f>
        <v>0</v>
      </c>
      <c r="M62" s="811" t="n">
        <f aca="false">E62*I62</f>
        <v>0</v>
      </c>
      <c r="N62" s="807" t="n">
        <f aca="false">F62*I62</f>
        <v>0</v>
      </c>
      <c r="O62" s="811" t="n">
        <f aca="false">SUM(K62:N62)</f>
        <v>0</v>
      </c>
      <c r="R62" s="817" t="n">
        <f aca="false">A62</f>
        <v>38749</v>
      </c>
      <c r="S62" s="807" t="n">
        <f aca="false">IF(ISERROR(VLOOKUP(R62,$AA$10:$AH$100,5,FALSE()))+ISERROR(VLOOKUP(R62,$AA$10:$AH$100,6,FALSE()))=0,VLOOKUP(R62,$AA$10:$AH$100,5,FALSE())+VLOOKUP(R62,$AA$10:$AH$100,6,FALSE()),0)</f>
        <v>36689.1967195538</v>
      </c>
      <c r="T62" s="807" t="n">
        <f aca="false">IF(ISERROR(VLOOKUP(R62,$AA$10:$AH$100,7,FALSE()))=FALSE(),VLOOKUP(R62,$AA$10:$AH$100,7,FALSE()),0)</f>
        <v>0</v>
      </c>
      <c r="U62" s="807" t="n">
        <f aca="false">IF(ISERROR(VLOOKUP(R62,$AA$10:$AH$100,8,FALSE()))=FALSE(),VLOOKUP(R62,$AA$10:$AH$100,8,FALSE()),0)</f>
        <v>0</v>
      </c>
      <c r="V62" s="807" t="n">
        <f aca="false">S62+T62+U62</f>
        <v>36689.1967195538</v>
      </c>
      <c r="W62" s="814" t="n">
        <f aca="false">[1]Cinergy!$F86</f>
        <v>1.81652250574871E-007</v>
      </c>
      <c r="X62" s="807" t="n">
        <f aca="false">S62*W62</f>
        <v>0.00666467515589111</v>
      </c>
      <c r="Y62" s="807" t="n">
        <f aca="false">T62*W62</f>
        <v>0</v>
      </c>
      <c r="Z62" s="807" t="n">
        <f aca="false">U62*W62</f>
        <v>0</v>
      </c>
      <c r="AA62" s="804" t="n">
        <v>38412</v>
      </c>
      <c r="AB62" s="815" t="n">
        <v>-756253.564830486</v>
      </c>
      <c r="AC62" s="815" t="n">
        <v>-1305113.06437643</v>
      </c>
      <c r="AD62" s="815" t="n">
        <v>0</v>
      </c>
      <c r="AE62" s="815" t="n">
        <v>18704.2676106438</v>
      </c>
      <c r="AF62" s="815" t="n">
        <v>29841.0923848304</v>
      </c>
      <c r="AG62" s="815" t="n">
        <v>0</v>
      </c>
      <c r="AH62" s="815" t="n">
        <v>0</v>
      </c>
      <c r="AI62" s="804"/>
      <c r="AJ62" s="815"/>
      <c r="AK62" s="815"/>
      <c r="AL62" s="815"/>
      <c r="AN62" s="815"/>
      <c r="AO62" s="815"/>
    </row>
    <row r="63" customFormat="false" ht="12.75" hidden="false" customHeight="false" outlineLevel="0" collapsed="false">
      <c r="A63" s="817" t="n">
        <f aca="false">IF($B$5=1,[1]Cinergy!$D87,[1]Cinergy!$D88)</f>
        <v>38777</v>
      </c>
      <c r="B63" s="807" t="n">
        <f aca="false">IF(ISERROR(VLOOKUP(A63,$AA$10:$AH$100,2,FALSE()))+ISERROR(VLOOKUP(A63,$AA$10:$AH$100,3,FALSE()))=0,VLOOKUP(A63,$AA$10:$AH$100,2,FALSE())+VLOOKUP(A63,$AA$10:$AH$100,3,FALSE()),0)</f>
        <v>-847040.377228555</v>
      </c>
      <c r="C63" s="807" t="n">
        <f aca="false">IF(ISERROR(VLOOKUP(A63,$AA$10:$AH$100,4,FALSE()))=FALSE(),VLOOKUP(A63,$AA$10:$AH$100,4,FALSE()),0)</f>
        <v>0</v>
      </c>
      <c r="D63" s="818" t="n">
        <f aca="false">B63+C63</f>
        <v>-847040.377228555</v>
      </c>
      <c r="E63" s="807" t="n">
        <f aca="false">IF(ISERROR(VLOOKUP(A63,$AI$10:$AL$100,2,FALSE()))+ISERROR(VLOOKUP(A63,$AI$10:$AL$100,3,FALSE()))=0,VLOOKUP(A63,$AI$10:$AL$100,2,FALSE())+VLOOKUP(A63,$AI$10:$AL$100,3,FALSE()),0)</f>
        <v>0</v>
      </c>
      <c r="F63" s="807" t="n">
        <f aca="false">IF(ISERROR(VLOOKUP(A63,$AI$10:$AL$100,4,FALSE()))=FALSE(),VLOOKUP(A63,$AI$10:$AL$100,4,FALSE()),0)</f>
        <v>0</v>
      </c>
      <c r="G63" s="818" t="n">
        <f aca="false">F63+E63</f>
        <v>0</v>
      </c>
      <c r="H63" s="819" t="n">
        <f aca="false">VLOOKUP(A63,NymexData!$S$12:$T$128,2)</f>
        <v>3.445</v>
      </c>
      <c r="I63" s="820" t="n">
        <f aca="false">IF($I$7=1,NymexData!AN65,NymexData!X65)</f>
        <v>0</v>
      </c>
      <c r="J63" s="819" t="n">
        <f aca="false">IF($I$7=1,H63+I63,VLOOKUP(A63,NymexData!$AA$12:$AB$128,2))</f>
        <v>3.445</v>
      </c>
      <c r="K63" s="807" t="n">
        <f aca="false">B63*I63</f>
        <v>-0</v>
      </c>
      <c r="L63" s="807" t="n">
        <f aca="false">C63*I63</f>
        <v>0</v>
      </c>
      <c r="M63" s="811" t="n">
        <f aca="false">E63*I63</f>
        <v>0</v>
      </c>
      <c r="N63" s="807" t="n">
        <f aca="false">F63*I63</f>
        <v>0</v>
      </c>
      <c r="O63" s="811" t="n">
        <f aca="false">SUM(K63:N63)</f>
        <v>0</v>
      </c>
      <c r="R63" s="817" t="n">
        <f aca="false">A63</f>
        <v>38777</v>
      </c>
      <c r="S63" s="807" t="n">
        <f aca="false">IF(ISERROR(VLOOKUP(R63,$AA$10:$AH$100,5,FALSE()))+ISERROR(VLOOKUP(R63,$AA$10:$AH$100,6,FALSE()))=0,VLOOKUP(R63,$AA$10:$AH$100,5,FALSE())+VLOOKUP(R63,$AA$10:$AH$100,6,FALSE()),0)</f>
        <v>34383.5538812615</v>
      </c>
      <c r="T63" s="807" t="n">
        <f aca="false">IF(ISERROR(VLOOKUP(R63,$AA$10:$AH$100,7,FALSE()))=FALSE(),VLOOKUP(R63,$AA$10:$AH$100,7,FALSE()),0)</f>
        <v>0</v>
      </c>
      <c r="U63" s="807" t="n">
        <f aca="false">IF(ISERROR(VLOOKUP(R63,$AA$10:$AH$100,8,FALSE()))=FALSE(),VLOOKUP(R63,$AA$10:$AH$100,8,FALSE()),0)</f>
        <v>0</v>
      </c>
      <c r="V63" s="807" t="n">
        <f aca="false">S63+T63+U63</f>
        <v>34383.5538812615</v>
      </c>
      <c r="W63" s="814" t="n">
        <f aca="false">[1]Cinergy!$F87</f>
        <v>-0.250000443569448</v>
      </c>
      <c r="X63" s="807" t="n">
        <f aca="false">S63*W63</f>
        <v>-8595.90372180939</v>
      </c>
      <c r="Y63" s="807" t="n">
        <f aca="false">T63*W63</f>
        <v>-0</v>
      </c>
      <c r="Z63" s="807" t="n">
        <f aca="false">U63*W63</f>
        <v>-0</v>
      </c>
      <c r="AA63" s="804" t="n">
        <v>38443</v>
      </c>
      <c r="AB63" s="815" t="n">
        <v>-100508.569553026</v>
      </c>
      <c r="AC63" s="815" t="n">
        <v>-113306.356080612</v>
      </c>
      <c r="AD63" s="815" t="n">
        <v>0</v>
      </c>
      <c r="AE63" s="815" t="n">
        <v>15103.411883716</v>
      </c>
      <c r="AF63" s="815" t="n">
        <v>17033.1577149398</v>
      </c>
      <c r="AG63" s="815" t="n">
        <v>0</v>
      </c>
      <c r="AH63" s="815" t="n">
        <v>0</v>
      </c>
      <c r="AI63" s="804"/>
      <c r="AJ63" s="459"/>
      <c r="AK63" s="459"/>
      <c r="AL63" s="815"/>
      <c r="AN63" s="815"/>
      <c r="AO63" s="815"/>
    </row>
    <row r="64" customFormat="false" ht="12.75" hidden="false" customHeight="false" outlineLevel="0" collapsed="false">
      <c r="A64" s="817" t="n">
        <f aca="false">IF($B$5=1,[1]Cinergy!$D88,[1]Cinergy!$D89)</f>
        <v>38808</v>
      </c>
      <c r="B64" s="807" t="n">
        <f aca="false">IF(ISERROR(VLOOKUP(A64,$AA$10:$AH$100,2,FALSE()))+ISERROR(VLOOKUP(A64,$AA$10:$AH$100,3,FALSE()))=0,VLOOKUP(A64,$AA$10:$AH$100,2,FALSE())+VLOOKUP(A64,$AA$10:$AH$100,3,FALSE()),0)</f>
        <v>-200214.794481986</v>
      </c>
      <c r="C64" s="807" t="n">
        <f aca="false">IF(ISERROR(VLOOKUP(A64,$AA$10:$AH$100,4,FALSE()))=FALSE(),VLOOKUP(A64,$AA$10:$AH$100,4,FALSE()),0)</f>
        <v>0</v>
      </c>
      <c r="D64" s="818" t="n">
        <f aca="false">B64+C64</f>
        <v>-200214.794481986</v>
      </c>
      <c r="E64" s="807" t="n">
        <f aca="false">IF(ISERROR(VLOOKUP(A64,$AI$10:$AL$100,2,FALSE()))+ISERROR(VLOOKUP(A64,$AI$10:$AL$100,3,FALSE()))=0,VLOOKUP(A64,$AI$10:$AL$100,2,FALSE())+VLOOKUP(A64,$AI$10:$AL$100,3,FALSE()),0)</f>
        <v>0</v>
      </c>
      <c r="F64" s="807" t="n">
        <f aca="false">IF(ISERROR(VLOOKUP(A64,$AI$10:$AL$100,4,FALSE()))=FALSE(),VLOOKUP(A64,$AI$10:$AL$100,4,FALSE()),0)</f>
        <v>0</v>
      </c>
      <c r="G64" s="818" t="n">
        <f aca="false">F64+E64</f>
        <v>0</v>
      </c>
      <c r="H64" s="819" t="n">
        <f aca="false">VLOOKUP(A64,NymexData!$S$12:$T$128,2)</f>
        <v>3.247</v>
      </c>
      <c r="I64" s="820" t="n">
        <f aca="false">IF($I$7=1,NymexData!AN66,NymexData!X66)</f>
        <v>0</v>
      </c>
      <c r="J64" s="819" t="n">
        <f aca="false">IF($I$7=1,H64+I64,VLOOKUP(A64,NymexData!$AA$12:$AB$128,2))</f>
        <v>3.247</v>
      </c>
      <c r="K64" s="807" t="n">
        <f aca="false">B64*I64</f>
        <v>-0</v>
      </c>
      <c r="L64" s="807" t="n">
        <f aca="false">C64*I64</f>
        <v>0</v>
      </c>
      <c r="M64" s="811" t="n">
        <f aca="false">E64*I64</f>
        <v>0</v>
      </c>
      <c r="N64" s="807" t="n">
        <f aca="false">F64*I64</f>
        <v>0</v>
      </c>
      <c r="O64" s="811" t="n">
        <f aca="false">SUM(K64:N64)</f>
        <v>0</v>
      </c>
      <c r="R64" s="817" t="n">
        <f aca="false">A64</f>
        <v>38808</v>
      </c>
      <c r="S64" s="807" t="n">
        <f aca="false">IF(ISERROR(VLOOKUP(R64,$AA$10:$AH$100,5,FALSE()))+ISERROR(VLOOKUP(R64,$AA$10:$AH$100,6,FALSE()))=0,VLOOKUP(R64,$AA$10:$AH$100,5,FALSE())+VLOOKUP(R64,$AA$10:$AH$100,6,FALSE()),0)</f>
        <v>30368.0173201957</v>
      </c>
      <c r="T64" s="807" t="n">
        <f aca="false">IF(ISERROR(VLOOKUP(R64,$AA$10:$AH$100,7,FALSE()))=FALSE(),VLOOKUP(R64,$AA$10:$AH$100,7,FALSE()),0)</f>
        <v>0</v>
      </c>
      <c r="U64" s="807" t="n">
        <f aca="false">IF(ISERROR(VLOOKUP(R64,$AA$10:$AH$100,8,FALSE()))=FALSE(),VLOOKUP(R64,$AA$10:$AH$100,8,FALSE()),0)</f>
        <v>0</v>
      </c>
      <c r="V64" s="807" t="n">
        <f aca="false">S64+T64+U64</f>
        <v>30368.0173201957</v>
      </c>
      <c r="W64" s="814" t="n">
        <f aca="false">[1]Cinergy!$F88</f>
        <v>-0.250000443569448</v>
      </c>
      <c r="X64" s="807" t="n">
        <f aca="false">S64*W64</f>
        <v>-7592.0178003736</v>
      </c>
      <c r="Y64" s="807" t="n">
        <f aca="false">T64*W64</f>
        <v>-0</v>
      </c>
      <c r="Z64" s="807" t="n">
        <f aca="false">U64*W64</f>
        <v>-0</v>
      </c>
      <c r="AA64" s="804" t="n">
        <v>38473</v>
      </c>
      <c r="AB64" s="815" t="n">
        <v>-183591.541551293</v>
      </c>
      <c r="AC64" s="815" t="n">
        <v>-180548.291450245</v>
      </c>
      <c r="AD64" s="815" t="n">
        <v>0</v>
      </c>
      <c r="AE64" s="815" t="n">
        <v>23142.182053546</v>
      </c>
      <c r="AF64" s="815" t="n">
        <v>23706.5406326182</v>
      </c>
      <c r="AG64" s="815" t="n">
        <v>0</v>
      </c>
      <c r="AH64" s="815" t="n">
        <v>0</v>
      </c>
      <c r="AI64" s="804"/>
      <c r="AJ64" s="459"/>
      <c r="AK64" s="459"/>
      <c r="AL64" s="815"/>
      <c r="AN64" s="815"/>
      <c r="AO64" s="815"/>
    </row>
    <row r="65" customFormat="false" ht="12.75" hidden="false" customHeight="false" outlineLevel="0" collapsed="false">
      <c r="A65" s="817" t="n">
        <f aca="false">IF($B$5=1,[1]Cinergy!$D89,[1]Cinergy!$D90)</f>
        <v>38838</v>
      </c>
      <c r="B65" s="807" t="n">
        <f aca="false">IF(ISERROR(VLOOKUP(A65,$AA$10:$AH$100,2,FALSE()))+ISERROR(VLOOKUP(A65,$AA$10:$AH$100,3,FALSE()))=0,VLOOKUP(A65,$AA$10:$AH$100,2,FALSE())+VLOOKUP(A65,$AA$10:$AH$100,3,FALSE()),0)</f>
        <v>-360908.667684718</v>
      </c>
      <c r="C65" s="807" t="n">
        <f aca="false">IF(ISERROR(VLOOKUP(A65,$AA$10:$AH$100,4,FALSE()))=FALSE(),VLOOKUP(A65,$AA$10:$AH$100,4,FALSE()),0)</f>
        <v>0</v>
      </c>
      <c r="D65" s="818" t="n">
        <f aca="false">B65+C65</f>
        <v>-360908.667684718</v>
      </c>
      <c r="E65" s="807" t="n">
        <f aca="false">IF(ISERROR(VLOOKUP(A65,$AI$10:$AL$100,2,FALSE()))+ISERROR(VLOOKUP(A65,$AI$10:$AL$100,3,FALSE()))=0,VLOOKUP(A65,$AI$10:$AL$100,2,FALSE())+VLOOKUP(A65,$AI$10:$AL$100,3,FALSE()),0)</f>
        <v>0</v>
      </c>
      <c r="F65" s="807" t="n">
        <f aca="false">IF(ISERROR(VLOOKUP(A65,$AI$10:$AL$100,4,FALSE()))=FALSE(),VLOOKUP(A65,$AI$10:$AL$100,4,FALSE()),0)</f>
        <v>0</v>
      </c>
      <c r="G65" s="818" t="n">
        <f aca="false">F65+E65</f>
        <v>0</v>
      </c>
      <c r="H65" s="819" t="n">
        <f aca="false">VLOOKUP(A65,NymexData!$S$12:$T$128,2)</f>
        <v>3.243</v>
      </c>
      <c r="I65" s="820" t="n">
        <f aca="false">IF($I$7=1,NymexData!AN67,NymexData!X67)</f>
        <v>0</v>
      </c>
      <c r="J65" s="819" t="n">
        <f aca="false">IF($I$7=1,H65+I65,VLOOKUP(A65,NymexData!$AA$12:$AB$128,2))</f>
        <v>3.243</v>
      </c>
      <c r="K65" s="807" t="n">
        <f aca="false">B65*I65</f>
        <v>-0</v>
      </c>
      <c r="L65" s="807" t="n">
        <f aca="false">C65*I65</f>
        <v>0</v>
      </c>
      <c r="M65" s="811" t="n">
        <f aca="false">E65*I65</f>
        <v>0</v>
      </c>
      <c r="N65" s="807" t="n">
        <f aca="false">F65*I65</f>
        <v>0</v>
      </c>
      <c r="O65" s="811" t="n">
        <f aca="false">SUM(K65:N65)</f>
        <v>0</v>
      </c>
      <c r="R65" s="817" t="n">
        <f aca="false">A65</f>
        <v>38838</v>
      </c>
      <c r="S65" s="807" t="n">
        <f aca="false">IF(ISERROR(VLOOKUP(R65,$AA$10:$AH$100,5,FALSE()))+ISERROR(VLOOKUP(R65,$AA$10:$AH$100,6,FALSE()))=0,VLOOKUP(R65,$AA$10:$AH$100,5,FALSE())+VLOOKUP(R65,$AA$10:$AH$100,6,FALSE()),0)</f>
        <v>45367.5806390257</v>
      </c>
      <c r="T65" s="807" t="n">
        <f aca="false">IF(ISERROR(VLOOKUP(R65,$AA$10:$AH$100,7,FALSE()))=FALSE(),VLOOKUP(R65,$AA$10:$AH$100,7,FALSE()),0)</f>
        <v>0</v>
      </c>
      <c r="U65" s="807" t="n">
        <f aca="false">IF(ISERROR(VLOOKUP(R65,$AA$10:$AH$100,8,FALSE()))=FALSE(),VLOOKUP(R65,$AA$10:$AH$100,8,FALSE()),0)</f>
        <v>0</v>
      </c>
      <c r="V65" s="807" t="n">
        <f aca="false">S65+T65+U65</f>
        <v>45367.5806390257</v>
      </c>
      <c r="W65" s="814" t="n">
        <f aca="false">[1]Cinergy!$F89</f>
        <v>0</v>
      </c>
      <c r="X65" s="807" t="n">
        <f aca="false">S65*W65</f>
        <v>0</v>
      </c>
      <c r="Y65" s="807" t="n">
        <f aca="false">T65*W65</f>
        <v>0</v>
      </c>
      <c r="Z65" s="807" t="n">
        <f aca="false">U65*W65</f>
        <v>0</v>
      </c>
      <c r="AA65" s="804" t="n">
        <v>38504</v>
      </c>
      <c r="AB65" s="815" t="n">
        <v>-657963.988796332</v>
      </c>
      <c r="AC65" s="815" t="n">
        <v>-732000.832221341</v>
      </c>
      <c r="AD65" s="815" t="n">
        <v>0</v>
      </c>
      <c r="AE65" s="815" t="n">
        <v>77116.8716949243</v>
      </c>
      <c r="AF65" s="815" t="n">
        <v>87525.438143801</v>
      </c>
      <c r="AG65" s="815" t="n">
        <v>0</v>
      </c>
      <c r="AH65" s="815" t="n">
        <v>0</v>
      </c>
      <c r="AI65" s="804"/>
      <c r="AJ65" s="459"/>
      <c r="AK65" s="459"/>
      <c r="AL65" s="815"/>
      <c r="AN65" s="815"/>
      <c r="AO65" s="815"/>
    </row>
    <row r="66" customFormat="false" ht="12.75" hidden="false" customHeight="false" outlineLevel="0" collapsed="false">
      <c r="A66" s="817" t="n">
        <f aca="false">IF($B$5=1,[1]Cinergy!$D90,[1]Cinergy!$D91)</f>
        <v>38869</v>
      </c>
      <c r="B66" s="807" t="n">
        <f aca="false">IF(ISERROR(VLOOKUP(A66,$AA$10:$AH$100,2,FALSE()))+ISERROR(VLOOKUP(A66,$AA$10:$AH$100,3,FALSE()))=0,VLOOKUP(A66,$AA$10:$AH$100,2,FALSE())+VLOOKUP(A66,$AA$10:$AH$100,3,FALSE()),0)</f>
        <v>-1306790.37701062</v>
      </c>
      <c r="C66" s="807" t="n">
        <f aca="false">IF(ISERROR(VLOOKUP(A66,$AA$10:$AH$100,4,FALSE()))=FALSE(),VLOOKUP(A66,$AA$10:$AH$100,4,FALSE()),0)</f>
        <v>0</v>
      </c>
      <c r="D66" s="818" t="n">
        <f aca="false">B66+C66</f>
        <v>-1306790.37701062</v>
      </c>
      <c r="E66" s="807" t="n">
        <f aca="false">IF(ISERROR(VLOOKUP(A66,$AI$10:$AL$100,2,FALSE()))+ISERROR(VLOOKUP(A66,$AI$10:$AL$100,3,FALSE()))=0,VLOOKUP(A66,$AI$10:$AL$100,2,FALSE())+VLOOKUP(A66,$AI$10:$AL$100,3,FALSE()),0)</f>
        <v>0</v>
      </c>
      <c r="F66" s="807" t="n">
        <f aca="false">IF(ISERROR(VLOOKUP(A66,$AI$10:$AL$100,4,FALSE()))=FALSE(),VLOOKUP(A66,$AI$10:$AL$100,4,FALSE()),0)</f>
        <v>0</v>
      </c>
      <c r="G66" s="818" t="n">
        <f aca="false">F66+E66</f>
        <v>0</v>
      </c>
      <c r="H66" s="819" t="n">
        <f aca="false">VLOOKUP(A66,NymexData!$S$12:$T$128,2)</f>
        <v>3.275</v>
      </c>
      <c r="I66" s="820" t="n">
        <f aca="false">IF($I$7=1,NymexData!AN68,NymexData!X68)</f>
        <v>0</v>
      </c>
      <c r="J66" s="819" t="n">
        <f aca="false">IF($I$7=1,H66+I66,VLOOKUP(A66,NymexData!$AA$12:$AB$128,2))</f>
        <v>3.275</v>
      </c>
      <c r="K66" s="807" t="n">
        <f aca="false">B66*I66</f>
        <v>-0</v>
      </c>
      <c r="L66" s="807" t="n">
        <f aca="false">C66*I66</f>
        <v>0</v>
      </c>
      <c r="M66" s="811" t="n">
        <f aca="false">E66*I66</f>
        <v>0</v>
      </c>
      <c r="N66" s="807" t="n">
        <f aca="false">F66*I66</f>
        <v>0</v>
      </c>
      <c r="O66" s="811" t="n">
        <f aca="false">SUM(K66:N66)</f>
        <v>0</v>
      </c>
      <c r="R66" s="817" t="n">
        <f aca="false">A66</f>
        <v>38869</v>
      </c>
      <c r="S66" s="807" t="n">
        <f aca="false">IF(ISERROR(VLOOKUP(R66,$AA$10:$AH$100,5,FALSE()))+ISERROR(VLOOKUP(R66,$AA$10:$AH$100,6,FALSE()))=0,VLOOKUP(R66,$AA$10:$AH$100,5,FALSE())+VLOOKUP(R66,$AA$10:$AH$100,6,FALSE()),0)</f>
        <v>147242.243097435</v>
      </c>
      <c r="T66" s="807" t="n">
        <f aca="false">IF(ISERROR(VLOOKUP(R66,$AA$10:$AH$100,7,FALSE()))=FALSE(),VLOOKUP(R66,$AA$10:$AH$100,7,FALSE()),0)</f>
        <v>0</v>
      </c>
      <c r="U66" s="807" t="n">
        <f aca="false">IF(ISERROR(VLOOKUP(R66,$AA$10:$AH$100,8,FALSE()))=FALSE(),VLOOKUP(R66,$AA$10:$AH$100,8,FALSE()),0)</f>
        <v>0</v>
      </c>
      <c r="V66" s="807" t="n">
        <f aca="false">S66+T66+U66</f>
        <v>147242.243097435</v>
      </c>
      <c r="W66" s="814" t="n">
        <f aca="false">[1]Cinergy!$F90</f>
        <v>-0.5</v>
      </c>
      <c r="X66" s="807" t="n">
        <f aca="false">S66*W66</f>
        <v>-73621.1215487175</v>
      </c>
      <c r="Y66" s="807" t="n">
        <f aca="false">T66*W66</f>
        <v>-0</v>
      </c>
      <c r="Z66" s="807" t="n">
        <f aca="false">U66*W66</f>
        <v>-0</v>
      </c>
      <c r="AA66" s="804" t="n">
        <v>38534</v>
      </c>
      <c r="AB66" s="815" t="n">
        <v>-763555.546847177</v>
      </c>
      <c r="AC66" s="815" t="n">
        <v>-926882.657478099</v>
      </c>
      <c r="AD66" s="815" t="n">
        <v>0</v>
      </c>
      <c r="AE66" s="815" t="n">
        <v>89157.9021090448</v>
      </c>
      <c r="AF66" s="815" t="n">
        <v>109824.417178186</v>
      </c>
      <c r="AG66" s="815" t="n">
        <v>0</v>
      </c>
      <c r="AH66" s="815" t="n">
        <v>-11681.9910445175</v>
      </c>
      <c r="AI66" s="804"/>
      <c r="AJ66" s="459"/>
      <c r="AK66" s="459"/>
      <c r="AL66" s="459"/>
      <c r="AN66" s="815"/>
      <c r="AO66" s="815"/>
    </row>
    <row r="67" customFormat="false" ht="12.75" hidden="false" customHeight="false" outlineLevel="0" collapsed="false">
      <c r="A67" s="817" t="n">
        <f aca="false">IF($B$5=1,[1]Cinergy!$D91,[1]Cinergy!$D92)</f>
        <v>38899</v>
      </c>
      <c r="B67" s="807" t="n">
        <f aca="false">IF(ISERROR(VLOOKUP(A67,$AA$10:$AH$100,2,FALSE()))+ISERROR(VLOOKUP(A67,$AA$10:$AH$100,3,FALSE()))=0,VLOOKUP(A67,$AA$10:$AH$100,2,FALSE())+VLOOKUP(A67,$AA$10:$AH$100,3,FALSE()),0)</f>
        <v>-1646993.5479238</v>
      </c>
      <c r="C67" s="807" t="n">
        <f aca="false">IF(ISERROR(VLOOKUP(A67,$AA$10:$AH$100,4,FALSE()))=FALSE(),VLOOKUP(A67,$AA$10:$AH$100,4,FALSE()),0)</f>
        <v>0</v>
      </c>
      <c r="D67" s="818" t="n">
        <f aca="false">B67+C67</f>
        <v>-1646993.5479238</v>
      </c>
      <c r="E67" s="807" t="n">
        <f aca="false">IF(ISERROR(VLOOKUP(A67,$AI$10:$AL$100,2,FALSE()))+ISERROR(VLOOKUP(A67,$AI$10:$AL$100,3,FALSE()))=0,VLOOKUP(A67,$AI$10:$AL$100,2,FALSE())+VLOOKUP(A67,$AI$10:$AL$100,3,FALSE()),0)</f>
        <v>0</v>
      </c>
      <c r="F67" s="807" t="n">
        <f aca="false">IF(ISERROR(VLOOKUP(A67,$AI$10:$AL$100,4,FALSE()))=FALSE(),VLOOKUP(A67,$AI$10:$AL$100,4,FALSE()),0)</f>
        <v>0</v>
      </c>
      <c r="G67" s="818" t="n">
        <f aca="false">F67+E67</f>
        <v>0</v>
      </c>
      <c r="H67" s="819" t="n">
        <f aca="false">VLOOKUP(A67,NymexData!$S$12:$T$128,2)</f>
        <v>3.325</v>
      </c>
      <c r="I67" s="820" t="n">
        <f aca="false">IF($I$7=1,NymexData!AN69,NymexData!X69)</f>
        <v>0</v>
      </c>
      <c r="J67" s="819" t="n">
        <f aca="false">IF($I$7=1,H67+I67,VLOOKUP(A67,NymexData!$AA$12:$AB$128,2))</f>
        <v>3.325</v>
      </c>
      <c r="K67" s="807" t="n">
        <f aca="false">B67*I67</f>
        <v>-0</v>
      </c>
      <c r="L67" s="807" t="n">
        <f aca="false">C67*I67</f>
        <v>0</v>
      </c>
      <c r="M67" s="811" t="n">
        <f aca="false">E67*I67</f>
        <v>0</v>
      </c>
      <c r="N67" s="807" t="n">
        <f aca="false">F67*I67</f>
        <v>0</v>
      </c>
      <c r="O67" s="811" t="n">
        <f aca="false">SUM(K67:N67)</f>
        <v>0</v>
      </c>
      <c r="R67" s="817" t="n">
        <f aca="false">A67</f>
        <v>38899</v>
      </c>
      <c r="S67" s="807" t="n">
        <f aca="false">IF(ISERROR(VLOOKUP(R67,$AA$10:$AH$100,5,FALSE()))+ISERROR(VLOOKUP(R67,$AA$10:$AH$100,6,FALSE()))=0,VLOOKUP(R67,$AA$10:$AH$100,5,FALSE())+VLOOKUP(R67,$AA$10:$AH$100,6,FALSE()),0)</f>
        <v>183847.93397819</v>
      </c>
      <c r="T67" s="807" t="n">
        <f aca="false">IF(ISERROR(VLOOKUP(R67,$AA$10:$AH$100,7,FALSE()))=FALSE(),VLOOKUP(R67,$AA$10:$AH$100,7,FALSE()),0)</f>
        <v>0</v>
      </c>
      <c r="U67" s="807" t="n">
        <f aca="false">IF(ISERROR(VLOOKUP(R67,$AA$10:$AH$100,8,FALSE()))=FALSE(),VLOOKUP(R67,$AA$10:$AH$100,8,FALSE()),0)</f>
        <v>0</v>
      </c>
      <c r="V67" s="807" t="n">
        <f aca="false">S67+T67+U67</f>
        <v>183847.93397819</v>
      </c>
      <c r="W67" s="814" t="n">
        <f aca="false">[1]Cinergy!$F91</f>
        <v>-0.5</v>
      </c>
      <c r="X67" s="807" t="n">
        <f aca="false">S67*W67</f>
        <v>-91923.9669890949</v>
      </c>
      <c r="Y67" s="807" t="n">
        <f aca="false">T67*W67</f>
        <v>-0</v>
      </c>
      <c r="Z67" s="807" t="n">
        <f aca="false">U67*W67</f>
        <v>-0</v>
      </c>
      <c r="AA67" s="804" t="n">
        <v>38565</v>
      </c>
      <c r="AB67" s="815" t="n">
        <v>-872493.120673741</v>
      </c>
      <c r="AC67" s="815" t="n">
        <v>-1060015.18781122</v>
      </c>
      <c r="AD67" s="815" t="n">
        <v>0</v>
      </c>
      <c r="AE67" s="815" t="n">
        <v>101819.640040609</v>
      </c>
      <c r="AF67" s="815" t="n">
        <v>125439.234865302</v>
      </c>
      <c r="AG67" s="815" t="n">
        <v>0</v>
      </c>
      <c r="AH67" s="815" t="n">
        <v>-13353.671535471</v>
      </c>
      <c r="AI67" s="804"/>
      <c r="AJ67" s="459"/>
      <c r="AK67" s="459"/>
      <c r="AL67" s="459"/>
      <c r="AN67" s="815"/>
      <c r="AO67" s="815"/>
    </row>
    <row r="68" customFormat="false" ht="12.75" hidden="false" customHeight="false" outlineLevel="0" collapsed="false">
      <c r="A68" s="817" t="n">
        <f aca="false">IF($B$5=1,[1]Cinergy!$D92,[1]Cinergy!$D93)</f>
        <v>38930</v>
      </c>
      <c r="B68" s="807" t="n">
        <f aca="false">IF(ISERROR(VLOOKUP(A68,$AA$10:$AH$100,2,FALSE()))+ISERROR(VLOOKUP(A68,$AA$10:$AH$100,3,FALSE()))=0,VLOOKUP(A68,$AA$10:$AH$100,2,FALSE())+VLOOKUP(A68,$AA$10:$AH$100,3,FALSE()),0)</f>
        <v>-1880283.02109094</v>
      </c>
      <c r="C68" s="807" t="n">
        <f aca="false">IF(ISERROR(VLOOKUP(A68,$AA$10:$AH$100,4,FALSE()))=FALSE(),VLOOKUP(A68,$AA$10:$AH$100,4,FALSE()),0)</f>
        <v>0</v>
      </c>
      <c r="D68" s="818" t="n">
        <f aca="false">B68+C68</f>
        <v>-1880283.02109094</v>
      </c>
      <c r="E68" s="807" t="n">
        <f aca="false">IF(ISERROR(VLOOKUP(A68,$AI$10:$AL$100,2,FALSE()))+ISERROR(VLOOKUP(A68,$AI$10:$AL$100,3,FALSE()))=0,VLOOKUP(A68,$AI$10:$AL$100,2,FALSE())+VLOOKUP(A68,$AI$10:$AL$100,3,FALSE()),0)</f>
        <v>0</v>
      </c>
      <c r="F68" s="807" t="n">
        <f aca="false">IF(ISERROR(VLOOKUP(A68,$AI$10:$AL$100,4,FALSE()))=FALSE(),VLOOKUP(A68,$AI$10:$AL$100,4,FALSE()),0)</f>
        <v>0</v>
      </c>
      <c r="G68" s="818" t="n">
        <f aca="false">F68+E68</f>
        <v>0</v>
      </c>
      <c r="H68" s="819" t="n">
        <f aca="false">VLOOKUP(A68,NymexData!$S$12:$T$128,2)</f>
        <v>3.359</v>
      </c>
      <c r="I68" s="820" t="n">
        <f aca="false">IF($I$7=1,NymexData!AN70,NymexData!X70)</f>
        <v>0</v>
      </c>
      <c r="J68" s="819" t="n">
        <f aca="false">IF($I$7=1,H68+I68,VLOOKUP(A68,NymexData!$AA$12:$AB$128,2))</f>
        <v>3.359</v>
      </c>
      <c r="K68" s="807" t="n">
        <f aca="false">B68*I68</f>
        <v>-0</v>
      </c>
      <c r="L68" s="807" t="n">
        <f aca="false">C68*I68</f>
        <v>0</v>
      </c>
      <c r="M68" s="811" t="n">
        <f aca="false">E68*I68</f>
        <v>0</v>
      </c>
      <c r="N68" s="807" t="n">
        <f aca="false">F68*I68</f>
        <v>0</v>
      </c>
      <c r="O68" s="811" t="n">
        <f aca="false">SUM(K68:N68)</f>
        <v>0</v>
      </c>
      <c r="R68" s="817" t="n">
        <f aca="false">A68</f>
        <v>38930</v>
      </c>
      <c r="S68" s="807" t="n">
        <f aca="false">IF(ISERROR(VLOOKUP(R68,$AA$10:$AH$100,5,FALSE()))+ISERROR(VLOOKUP(R68,$AA$10:$AH$100,6,FALSE()))=0,VLOOKUP(R68,$AA$10:$AH$100,5,FALSE())+VLOOKUP(R68,$AA$10:$AH$100,6,FALSE()),0)</f>
        <v>209889.181493552</v>
      </c>
      <c r="T68" s="807" t="n">
        <f aca="false">IF(ISERROR(VLOOKUP(R68,$AA$10:$AH$100,7,FALSE()))=FALSE(),VLOOKUP(R68,$AA$10:$AH$100,7,FALSE()),0)</f>
        <v>0</v>
      </c>
      <c r="U68" s="807" t="n">
        <f aca="false">IF(ISERROR(VLOOKUP(R68,$AA$10:$AH$100,8,FALSE()))=FALSE(),VLOOKUP(R68,$AA$10:$AH$100,8,FALSE()),0)</f>
        <v>0</v>
      </c>
      <c r="V68" s="807" t="n">
        <f aca="false">S68+T68+U68</f>
        <v>209889.181493552</v>
      </c>
      <c r="W68" s="814" t="n">
        <f aca="false">[1]Cinergy!$F92</f>
        <v>-0.5</v>
      </c>
      <c r="X68" s="807" t="n">
        <f aca="false">S68*W68</f>
        <v>-104944.590746776</v>
      </c>
      <c r="Y68" s="807" t="n">
        <f aca="false">T68*W68</f>
        <v>-0</v>
      </c>
      <c r="Z68" s="807" t="n">
        <f aca="false">U68*W68</f>
        <v>-0</v>
      </c>
      <c r="AA68" s="804" t="n">
        <v>38596</v>
      </c>
      <c r="AB68" s="815" t="n">
        <v>-280826.454504649</v>
      </c>
      <c r="AC68" s="815" t="n">
        <v>-303802.106175269</v>
      </c>
      <c r="AD68" s="815" t="n">
        <v>0</v>
      </c>
      <c r="AE68" s="815" t="n">
        <v>30196.1876121313</v>
      </c>
      <c r="AF68" s="815" t="n">
        <v>32791.2005030842</v>
      </c>
      <c r="AG68" s="815" t="n">
        <v>0</v>
      </c>
      <c r="AH68" s="815" t="n">
        <v>0</v>
      </c>
      <c r="AI68" s="804"/>
      <c r="AJ68" s="459"/>
      <c r="AK68" s="459"/>
      <c r="AL68" s="459"/>
      <c r="AN68" s="815"/>
      <c r="AO68" s="815"/>
    </row>
    <row r="69" customFormat="false" ht="12.75" hidden="false" customHeight="false" outlineLevel="0" collapsed="false">
      <c r="A69" s="817" t="n">
        <f aca="false">IF($B$5=1,[1]Cinergy!$D93,[1]Cinergy!$D94)</f>
        <v>38961</v>
      </c>
      <c r="B69" s="807" t="n">
        <f aca="false">IF(ISERROR(VLOOKUP(A69,$AA$10:$AH$100,2,FALSE()))+ISERROR(VLOOKUP(A69,$AA$10:$AH$100,3,FALSE()))=0,VLOOKUP(A69,$AA$10:$AH$100,2,FALSE())+VLOOKUP(A69,$AA$10:$AH$100,3,FALSE()),0)</f>
        <v>-527489.341143777</v>
      </c>
      <c r="C69" s="807" t="n">
        <f aca="false">IF(ISERROR(VLOOKUP(A69,$AA$10:$AH$100,4,FALSE()))=FALSE(),VLOOKUP(A69,$AA$10:$AH$100,4,FALSE()),0)</f>
        <v>0</v>
      </c>
      <c r="D69" s="818" t="n">
        <f aca="false">B69+C69</f>
        <v>-527489.341143777</v>
      </c>
      <c r="E69" s="807" t="n">
        <f aca="false">IF(ISERROR(VLOOKUP(A69,$AI$10:$AL$100,2,FALSE()))+ISERROR(VLOOKUP(A69,$AI$10:$AL$100,3,FALSE()))=0,VLOOKUP(A69,$AI$10:$AL$100,2,FALSE())+VLOOKUP(A69,$AI$10:$AL$100,3,FALSE()),0)</f>
        <v>0</v>
      </c>
      <c r="F69" s="807" t="n">
        <f aca="false">IF(ISERROR(VLOOKUP(A69,$AI$10:$AL$100,4,FALSE()))=FALSE(),VLOOKUP(A69,$AI$10:$AL$100,4,FALSE()),0)</f>
        <v>0</v>
      </c>
      <c r="G69" s="818" t="n">
        <f aca="false">F69+E69</f>
        <v>0</v>
      </c>
      <c r="H69" s="819" t="n">
        <f aca="false">VLOOKUP(A69,NymexData!$S$12:$T$128,2)</f>
        <v>3.372</v>
      </c>
      <c r="I69" s="820" t="n">
        <f aca="false">IF($I$7=1,NymexData!AN71,NymexData!X71)</f>
        <v>0</v>
      </c>
      <c r="J69" s="819" t="n">
        <f aca="false">IF($I$7=1,H69+I69,VLOOKUP(A69,NymexData!$AA$12:$AB$128,2))</f>
        <v>3.372</v>
      </c>
      <c r="K69" s="807" t="n">
        <f aca="false">B69*I69</f>
        <v>-0</v>
      </c>
      <c r="L69" s="807" t="n">
        <f aca="false">C69*I69</f>
        <v>0</v>
      </c>
      <c r="M69" s="811" t="n">
        <f aca="false">E69*I69</f>
        <v>0</v>
      </c>
      <c r="N69" s="807" t="n">
        <f aca="false">F69*I69</f>
        <v>0</v>
      </c>
      <c r="O69" s="811" t="n">
        <f aca="false">SUM(K69:N69)</f>
        <v>0</v>
      </c>
      <c r="R69" s="817" t="n">
        <f aca="false">A69</f>
        <v>38961</v>
      </c>
      <c r="S69" s="807" t="n">
        <f aca="false">IF(ISERROR(VLOOKUP(R69,$AA$10:$AH$100,5,FALSE()))+ISERROR(VLOOKUP(R69,$AA$10:$AH$100,6,FALSE()))=0,VLOOKUP(R69,$AA$10:$AH$100,5,FALSE())+VLOOKUP(R69,$AA$10:$AH$100,6,FALSE()),0)</f>
        <v>56509.0309190806</v>
      </c>
      <c r="T69" s="807" t="n">
        <f aca="false">IF(ISERROR(VLOOKUP(R69,$AA$10:$AH$100,7,FALSE()))=FALSE(),VLOOKUP(R69,$AA$10:$AH$100,7,FALSE()),0)</f>
        <v>0</v>
      </c>
      <c r="U69" s="807" t="n">
        <f aca="false">IF(ISERROR(VLOOKUP(R69,$AA$10:$AH$100,8,FALSE()))=FALSE(),VLOOKUP(R69,$AA$10:$AH$100,8,FALSE()),0)</f>
        <v>0</v>
      </c>
      <c r="V69" s="807" t="n">
        <f aca="false">S69+T69+U69</f>
        <v>56509.0309190806</v>
      </c>
      <c r="W69" s="814" t="n">
        <f aca="false">[1]Cinergy!$F93</f>
        <v>0</v>
      </c>
      <c r="X69" s="807" t="n">
        <f aca="false">S69*W69</f>
        <v>0</v>
      </c>
      <c r="Y69" s="807" t="n">
        <f aca="false">T69*W69</f>
        <v>0</v>
      </c>
      <c r="Z69" s="807" t="n">
        <f aca="false">U69*W69</f>
        <v>0</v>
      </c>
      <c r="AA69" s="804" t="n">
        <v>38626</v>
      </c>
      <c r="AB69" s="815" t="n">
        <v>-60949.2631605281</v>
      </c>
      <c r="AC69" s="815" t="n">
        <v>-59550.2173753755</v>
      </c>
      <c r="AD69" s="815" t="n">
        <v>0</v>
      </c>
      <c r="AE69" s="815" t="n">
        <v>9400.61665357461</v>
      </c>
      <c r="AF69" s="815" t="n">
        <v>9338.34821539882</v>
      </c>
      <c r="AG69" s="815" t="n">
        <v>0</v>
      </c>
      <c r="AH69" s="815" t="n">
        <v>0</v>
      </c>
      <c r="AI69" s="804"/>
      <c r="AJ69" s="459"/>
      <c r="AK69" s="459"/>
      <c r="AL69" s="459"/>
      <c r="AN69" s="815"/>
      <c r="AO69" s="815"/>
    </row>
    <row r="70" customFormat="false" ht="12.75" hidden="false" customHeight="false" outlineLevel="0" collapsed="false">
      <c r="A70" s="817" t="n">
        <f aca="false">IF($B$5=1,[1]Cinergy!$D94,[1]Cinergy!$D95)</f>
        <v>38991</v>
      </c>
      <c r="B70" s="807" t="n">
        <f aca="false">IF(ISERROR(VLOOKUP(A70,$AA$10:$AH$100,2,FALSE()))+ISERROR(VLOOKUP(A70,$AA$10:$AH$100,3,FALSE()))=0,VLOOKUP(A70,$AA$10:$AH$100,2,FALSE())+VLOOKUP(A70,$AA$10:$AH$100,3,FALSE()),0)</f>
        <v>-140727.20742916</v>
      </c>
      <c r="C70" s="807" t="n">
        <f aca="false">IF(ISERROR(VLOOKUP(A70,$AA$10:$AH$100,4,FALSE()))=FALSE(),VLOOKUP(A70,$AA$10:$AH$100,4,FALSE()),0)</f>
        <v>0</v>
      </c>
      <c r="D70" s="818" t="n">
        <f aca="false">B70+C70</f>
        <v>-140727.20742916</v>
      </c>
      <c r="E70" s="807" t="n">
        <f aca="false">IF(ISERROR(VLOOKUP(A70,$AI$10:$AL$100,2,FALSE()))+ISERROR(VLOOKUP(A70,$AI$10:$AL$100,3,FALSE()))=0,VLOOKUP(A70,$AI$10:$AL$100,2,FALSE())+VLOOKUP(A70,$AI$10:$AL$100,3,FALSE()),0)</f>
        <v>0</v>
      </c>
      <c r="F70" s="807" t="n">
        <f aca="false">IF(ISERROR(VLOOKUP(A70,$AI$10:$AL$100,4,FALSE()))=FALSE(),VLOOKUP(A70,$AI$10:$AL$100,4,FALSE()),0)</f>
        <v>0</v>
      </c>
      <c r="G70" s="818" t="n">
        <f aca="false">F70+E70</f>
        <v>0</v>
      </c>
      <c r="H70" s="819" t="n">
        <f aca="false">VLOOKUP(A70,NymexData!$S$12:$T$128,2)</f>
        <v>3.371</v>
      </c>
      <c r="I70" s="820" t="n">
        <f aca="false">IF($I$7=1,NymexData!AN72,NymexData!X72)</f>
        <v>0</v>
      </c>
      <c r="J70" s="819" t="n">
        <f aca="false">IF($I$7=1,H70+I70,VLOOKUP(A70,NymexData!$AA$12:$AB$128,2))</f>
        <v>3.371</v>
      </c>
      <c r="K70" s="807" t="n">
        <f aca="false">B70*I70</f>
        <v>-0</v>
      </c>
      <c r="L70" s="807" t="n">
        <f aca="false">C70*I70</f>
        <v>0</v>
      </c>
      <c r="M70" s="811" t="n">
        <f aca="false">E70*I70</f>
        <v>0</v>
      </c>
      <c r="N70" s="807" t="n">
        <f aca="false">F70*I70</f>
        <v>0</v>
      </c>
      <c r="O70" s="811" t="n">
        <f aca="false">SUM(K70:N70)</f>
        <v>0</v>
      </c>
      <c r="R70" s="817" t="n">
        <f aca="false">A70</f>
        <v>38991</v>
      </c>
      <c r="S70" s="807" t="n">
        <f aca="false">IF(ISERROR(VLOOKUP(R70,$AA$10:$AH$100,5,FALSE()))+ISERROR(VLOOKUP(R70,$AA$10:$AH$100,6,FALSE()))=0,VLOOKUP(R70,$AA$10:$AH$100,5,FALSE())+VLOOKUP(R70,$AA$10:$AH$100,6,FALSE()),0)</f>
        <v>21793.6030581089</v>
      </c>
      <c r="T70" s="807" t="n">
        <f aca="false">IF(ISERROR(VLOOKUP(R70,$AA$10:$AH$100,7,FALSE()))=FALSE(),VLOOKUP(R70,$AA$10:$AH$100,7,FALSE()),0)</f>
        <v>0</v>
      </c>
      <c r="U70" s="807" t="n">
        <f aca="false">IF(ISERROR(VLOOKUP(R70,$AA$10:$AH$100,8,FALSE()))=FALSE(),VLOOKUP(R70,$AA$10:$AH$100,8,FALSE()),0)</f>
        <v>0</v>
      </c>
      <c r="V70" s="807" t="n">
        <f aca="false">S70+T70+U70</f>
        <v>21793.6030581089</v>
      </c>
      <c r="W70" s="814" t="n">
        <f aca="false">[1]Cinergy!$F94</f>
        <v>-0.365001320838928</v>
      </c>
      <c r="X70" s="807" t="n">
        <f aca="false">S70*W70</f>
        <v>-7954.69390204906</v>
      </c>
      <c r="Y70" s="807" t="n">
        <f aca="false">T70*W70</f>
        <v>-0</v>
      </c>
      <c r="Z70" s="807" t="n">
        <f aca="false">U70*W70</f>
        <v>-0</v>
      </c>
      <c r="AA70" s="804" t="n">
        <v>38657</v>
      </c>
      <c r="AB70" s="815" t="n">
        <v>-972188.915348007</v>
      </c>
      <c r="AC70" s="815" t="n">
        <v>-76358.4787147506</v>
      </c>
      <c r="AD70" s="815" t="n">
        <v>0</v>
      </c>
      <c r="AE70" s="815" t="n">
        <v>17691.5609989964</v>
      </c>
      <c r="AF70" s="815" t="n">
        <v>12792.1278051684</v>
      </c>
      <c r="AG70" s="815" t="n">
        <v>0</v>
      </c>
      <c r="AH70" s="815" t="n">
        <v>0</v>
      </c>
      <c r="AI70" s="804"/>
      <c r="AJ70" s="459"/>
      <c r="AK70" s="459"/>
      <c r="AL70" s="459"/>
      <c r="AN70" s="815"/>
      <c r="AO70" s="815"/>
    </row>
    <row r="71" customFormat="false" ht="12.75" hidden="false" customHeight="false" outlineLevel="0" collapsed="false">
      <c r="A71" s="817" t="n">
        <f aca="false">IF($B$5=1,[1]Cinergy!$D95,[1]Cinergy!$D96)</f>
        <v>39022</v>
      </c>
      <c r="B71" s="807" t="n">
        <f aca="false">IF(ISERROR(VLOOKUP(A71,$AA$10:$AH$100,2,FALSE()))+ISERROR(VLOOKUP(A71,$AA$10:$AH$100,3,FALSE()))=0,VLOOKUP(A71,$AA$10:$AH$100,2,FALSE())+VLOOKUP(A71,$AA$10:$AH$100,3,FALSE()),0)</f>
        <v>-2553380.35521588</v>
      </c>
      <c r="C71" s="807" t="n">
        <f aca="false">IF(ISERROR(VLOOKUP(A71,$AA$10:$AH$100,4,FALSE()))=FALSE(),VLOOKUP(A71,$AA$10:$AH$100,4,FALSE()),0)</f>
        <v>0</v>
      </c>
      <c r="D71" s="818" t="n">
        <f aca="false">B71+C71</f>
        <v>-2553380.35521588</v>
      </c>
      <c r="E71" s="807" t="n">
        <f aca="false">IF(ISERROR(VLOOKUP(A71,$AI$10:$AL$100,2,FALSE()))+ISERROR(VLOOKUP(A71,$AI$10:$AL$100,3,FALSE()))=0,VLOOKUP(A71,$AI$10:$AL$100,2,FALSE())+VLOOKUP(A71,$AI$10:$AL$100,3,FALSE()),0)</f>
        <v>0</v>
      </c>
      <c r="F71" s="807" t="n">
        <f aca="false">IF(ISERROR(VLOOKUP(A71,$AI$10:$AL$100,4,FALSE()))=FALSE(),VLOOKUP(A71,$AI$10:$AL$100,4,FALSE()),0)</f>
        <v>0</v>
      </c>
      <c r="G71" s="818" t="n">
        <f aca="false">F71+E71</f>
        <v>0</v>
      </c>
      <c r="H71" s="819" t="n">
        <f aca="false">VLOOKUP(A71,NymexData!$S$12:$T$128,2)</f>
        <v>3.526</v>
      </c>
      <c r="I71" s="820" t="n">
        <f aca="false">IF($I$7=1,NymexData!AN73,NymexData!X73)</f>
        <v>0</v>
      </c>
      <c r="J71" s="819" t="n">
        <f aca="false">IF($I$7=1,H71+I71,VLOOKUP(A71,NymexData!$AA$12:$AB$128,2))</f>
        <v>3.526</v>
      </c>
      <c r="K71" s="807" t="n">
        <f aca="false">B71*I71</f>
        <v>-0</v>
      </c>
      <c r="L71" s="807" t="n">
        <f aca="false">C71*I71</f>
        <v>0</v>
      </c>
      <c r="M71" s="811" t="n">
        <f aca="false">E71*I71</f>
        <v>0</v>
      </c>
      <c r="N71" s="807" t="n">
        <f aca="false">F71*I71</f>
        <v>0</v>
      </c>
      <c r="O71" s="811" t="n">
        <f aca="false">SUM(K71:N71)</f>
        <v>0</v>
      </c>
      <c r="R71" s="817" t="n">
        <f aca="false">A71</f>
        <v>39022</v>
      </c>
      <c r="S71" s="807" t="n">
        <f aca="false">IF(ISERROR(VLOOKUP(R71,$AA$10:$AH$100,5,FALSE()))+ISERROR(VLOOKUP(R71,$AA$10:$AH$100,6,FALSE()))=0,VLOOKUP(R71,$AA$10:$AH$100,5,FALSE())+VLOOKUP(R71,$AA$10:$AH$100,6,FALSE()),0)</f>
        <v>45072.0402421373</v>
      </c>
      <c r="T71" s="807" t="n">
        <f aca="false">IF(ISERROR(VLOOKUP(R71,$AA$10:$AH$100,7,FALSE()))=FALSE(),VLOOKUP(R71,$AA$10:$AH$100,7,FALSE()),0)</f>
        <v>0</v>
      </c>
      <c r="U71" s="807" t="n">
        <f aca="false">IF(ISERROR(VLOOKUP(R71,$AA$10:$AH$100,8,FALSE()))=FALSE(),VLOOKUP(R71,$AA$10:$AH$100,8,FALSE()),0)</f>
        <v>0</v>
      </c>
      <c r="V71" s="807" t="n">
        <f aca="false">S71+T71+U71</f>
        <v>45072.0402421373</v>
      </c>
      <c r="W71" s="814" t="n">
        <f aca="false">[1]Cinergy!$F95</f>
        <v>-0.365001320838928</v>
      </c>
      <c r="X71" s="807" t="n">
        <f aca="false">S71*W71</f>
        <v>-16451.3542212854</v>
      </c>
      <c r="Y71" s="807" t="n">
        <f aca="false">T71*W71</f>
        <v>-0</v>
      </c>
      <c r="Z71" s="807" t="n">
        <f aca="false">U71*W71</f>
        <v>-0</v>
      </c>
      <c r="AA71" s="804" t="n">
        <v>38687</v>
      </c>
      <c r="AB71" s="815" t="n">
        <v>-607125.093066278</v>
      </c>
      <c r="AC71" s="815" t="n">
        <v>-59950.8654074872</v>
      </c>
      <c r="AD71" s="815" t="n">
        <v>0</v>
      </c>
      <c r="AE71" s="815" t="n">
        <v>14239.2270590483</v>
      </c>
      <c r="AF71" s="815" t="n">
        <v>10450.5196367355</v>
      </c>
      <c r="AG71" s="815" t="n">
        <v>0</v>
      </c>
      <c r="AH71" s="815" t="n">
        <v>0</v>
      </c>
      <c r="AI71" s="804"/>
      <c r="AJ71" s="459"/>
      <c r="AK71" s="459"/>
      <c r="AL71" s="459"/>
      <c r="AN71" s="815"/>
      <c r="AO71" s="815"/>
    </row>
    <row r="72" customFormat="false" ht="12.75" hidden="false" customHeight="false" outlineLevel="0" collapsed="false">
      <c r="A72" s="817" t="n">
        <f aca="false">IF($B$5=1,[1]Cinergy!$D96,[1]Cinergy!$D97)</f>
        <v>39052</v>
      </c>
      <c r="B72" s="807" t="n">
        <f aca="false">IF(ISERROR(VLOOKUP(A72,$AA$10:$AH$100,2,FALSE()))+ISERROR(VLOOKUP(A72,$AA$10:$AH$100,3,FALSE()))=0,VLOOKUP(A72,$AA$10:$AH$100,2,FALSE())+VLOOKUP(A72,$AA$10:$AH$100,3,FALSE()),0)</f>
        <v>-1596418.85997264</v>
      </c>
      <c r="C72" s="807" t="n">
        <f aca="false">IF(ISERROR(VLOOKUP(A72,$AA$10:$AH$100,4,FALSE()))=FALSE(),VLOOKUP(A72,$AA$10:$AH$100,4,FALSE()),0)</f>
        <v>0</v>
      </c>
      <c r="D72" s="818" t="n">
        <f aca="false">B72+C72</f>
        <v>-1596418.85997264</v>
      </c>
      <c r="E72" s="807" t="n">
        <f aca="false">IF(ISERROR(VLOOKUP(A72,$AI$10:$AL$100,2,FALSE()))+ISERROR(VLOOKUP(A72,$AI$10:$AL$100,3,FALSE()))=0,VLOOKUP(A72,$AI$10:$AL$100,2,FALSE())+VLOOKUP(A72,$AI$10:$AL$100,3,FALSE()),0)</f>
        <v>0</v>
      </c>
      <c r="F72" s="807" t="n">
        <f aca="false">IF(ISERROR(VLOOKUP(A72,$AI$10:$AL$100,4,FALSE()))=FALSE(),VLOOKUP(A72,$AI$10:$AL$100,4,FALSE()),0)</f>
        <v>0</v>
      </c>
      <c r="G72" s="818" t="n">
        <f aca="false">F72+E72</f>
        <v>0</v>
      </c>
      <c r="H72" s="819" t="n">
        <f aca="false">VLOOKUP(A72,NymexData!$S$12:$T$128,2)</f>
        <v>3.691</v>
      </c>
      <c r="I72" s="820" t="n">
        <f aca="false">IF($I$7=1,NymexData!AN74,NymexData!X74)</f>
        <v>0</v>
      </c>
      <c r="J72" s="819" t="n">
        <f aca="false">IF($I$7=1,H72+I72,VLOOKUP(A72,NymexData!$AA$12:$AB$128,2))</f>
        <v>3.691</v>
      </c>
      <c r="K72" s="807" t="n">
        <f aca="false">B72*I72</f>
        <v>-0</v>
      </c>
      <c r="L72" s="807" t="n">
        <f aca="false">C72*I72</f>
        <v>0</v>
      </c>
      <c r="M72" s="811" t="n">
        <f aca="false">E72*I72</f>
        <v>0</v>
      </c>
      <c r="N72" s="807" t="n">
        <f aca="false">F72*I72</f>
        <v>0</v>
      </c>
      <c r="O72" s="811" t="n">
        <f aca="false">SUM(K72:N72)</f>
        <v>0</v>
      </c>
      <c r="R72" s="817" t="n">
        <f aca="false">A72</f>
        <v>39052</v>
      </c>
      <c r="S72" s="807" t="n">
        <f aca="false">IF(ISERROR(VLOOKUP(R72,$AA$10:$AH$100,5,FALSE()))+ISERROR(VLOOKUP(R72,$AA$10:$AH$100,6,FALSE()))=0,VLOOKUP(R72,$AA$10:$AH$100,5,FALSE())+VLOOKUP(R72,$AA$10:$AH$100,6,FALSE()),0)</f>
        <v>36006.4556289864</v>
      </c>
      <c r="T72" s="807" t="n">
        <f aca="false">IF(ISERROR(VLOOKUP(R72,$AA$10:$AH$100,7,FALSE()))=FALSE(),VLOOKUP(R72,$AA$10:$AH$100,7,FALSE()),0)</f>
        <v>0</v>
      </c>
      <c r="U72" s="807" t="n">
        <f aca="false">IF(ISERROR(VLOOKUP(R72,$AA$10:$AH$100,8,FALSE()))=FALSE(),VLOOKUP(R72,$AA$10:$AH$100,8,FALSE()),0)</f>
        <v>0</v>
      </c>
      <c r="V72" s="807" t="n">
        <f aca="false">S72+T72+U72</f>
        <v>36006.4556289864</v>
      </c>
      <c r="W72" s="814" t="n">
        <f aca="false">[1]Cinergy!$F96</f>
        <v>-0.365001320838928</v>
      </c>
      <c r="X72" s="807" t="n">
        <f aca="false">S72*W72</f>
        <v>-13142.4038633083</v>
      </c>
      <c r="Y72" s="807" t="n">
        <f aca="false">T72*W72</f>
        <v>-0</v>
      </c>
      <c r="Z72" s="807" t="n">
        <f aca="false">U72*W72</f>
        <v>-0</v>
      </c>
      <c r="AA72" s="804" t="n">
        <v>38718</v>
      </c>
      <c r="AB72" s="815" t="n">
        <v>-827645.524070083</v>
      </c>
      <c r="AC72" s="815" t="n">
        <v>-97964.4559701523</v>
      </c>
      <c r="AD72" s="815" t="n">
        <v>0</v>
      </c>
      <c r="AE72" s="815" t="n">
        <v>20133.4382306987</v>
      </c>
      <c r="AF72" s="815" t="n">
        <v>16150.1223660689</v>
      </c>
      <c r="AG72" s="815" t="n">
        <v>0</v>
      </c>
      <c r="AH72" s="815" t="n">
        <v>0</v>
      </c>
      <c r="AI72" s="804"/>
      <c r="AJ72" s="459"/>
      <c r="AK72" s="459"/>
      <c r="AL72" s="459"/>
      <c r="AN72" s="815"/>
      <c r="AO72" s="815"/>
    </row>
    <row r="73" customFormat="false" ht="12.75" hidden="false" customHeight="false" outlineLevel="0" collapsed="false">
      <c r="A73" s="817" t="n">
        <f aca="false">IF($B$5=1,[1]Cinergy!$D97,[1]Cinergy!$D98)</f>
        <v>39083</v>
      </c>
      <c r="B73" s="807" t="n">
        <f aca="false">IF(ISERROR(VLOOKUP(A73,$AA$10:$AH$100,2,FALSE()))+ISERROR(VLOOKUP(A73,$AA$10:$AH$100,3,FALSE()))=0,VLOOKUP(A73,$AA$10:$AH$100,2,FALSE())+VLOOKUP(A73,$AA$10:$AH$100,3,FALSE()),0)</f>
        <v>0</v>
      </c>
      <c r="C73" s="807" t="n">
        <f aca="false">IF(ISERROR(VLOOKUP(A73,$AA$10:$AH$100,4,FALSE()))=FALSE(),VLOOKUP(A73,$AA$10:$AH$100,4,FALSE()),0)</f>
        <v>0</v>
      </c>
      <c r="D73" s="818" t="n">
        <f aca="false">B73+C73</f>
        <v>0</v>
      </c>
      <c r="E73" s="807" t="n">
        <f aca="false">IF(ISERROR(VLOOKUP(A73,$AI$10:$AL$100,2,FALSE()))+ISERROR(VLOOKUP(A73,$AI$10:$AL$100,3,FALSE()))=0,VLOOKUP(A73,$AI$10:$AL$100,2,FALSE())+VLOOKUP(A73,$AI$10:$AL$100,3,FALSE()),0)</f>
        <v>0</v>
      </c>
      <c r="F73" s="807" t="n">
        <f aca="false">IF(ISERROR(VLOOKUP(A73,$AI$10:$AL$100,4,FALSE()))=FALSE(),VLOOKUP(A73,$AI$10:$AL$100,4,FALSE()),0)</f>
        <v>0</v>
      </c>
      <c r="G73" s="818" t="n">
        <f aca="false">F73+E73</f>
        <v>0</v>
      </c>
      <c r="H73" s="819" t="n">
        <f aca="false">VLOOKUP(A73,NymexData!$S$12:$T$128,2)</f>
        <v>3.756</v>
      </c>
      <c r="I73" s="820" t="n">
        <f aca="false">IF($I$7=1,NymexData!AN75,NymexData!X75)</f>
        <v>0</v>
      </c>
      <c r="J73" s="819" t="n">
        <f aca="false">IF($I$7=1,H73+I73,VLOOKUP(A73,NymexData!$AA$12:$AB$128,2))</f>
        <v>3.756</v>
      </c>
      <c r="K73" s="807" t="n">
        <f aca="false">B73*I73</f>
        <v>0</v>
      </c>
      <c r="L73" s="807" t="n">
        <f aca="false">C73*I73</f>
        <v>0</v>
      </c>
      <c r="M73" s="811" t="n">
        <f aca="false">E73*I73</f>
        <v>0</v>
      </c>
      <c r="N73" s="807" t="n">
        <f aca="false">F73*I73</f>
        <v>0</v>
      </c>
      <c r="O73" s="811" t="n">
        <f aca="false">SUM(K73:N73)</f>
        <v>0</v>
      </c>
      <c r="R73" s="817" t="n">
        <f aca="false">A73</f>
        <v>39083</v>
      </c>
      <c r="S73" s="807" t="n">
        <f aca="false">IF(ISERROR(VLOOKUP(R73,$AA$10:$AH$100,5,FALSE()))+ISERROR(VLOOKUP(R73,$AA$10:$AH$100,6,FALSE()))=0,VLOOKUP(R73,$AA$10:$AH$100,5,FALSE())+VLOOKUP(R73,$AA$10:$AH$100,6,FALSE()),0)</f>
        <v>0</v>
      </c>
      <c r="T73" s="807" t="n">
        <f aca="false">IF(ISERROR(VLOOKUP(R73,$AA$10:$AH$100,7,FALSE()))=FALSE(),VLOOKUP(R73,$AA$10:$AH$100,7,FALSE()),0)</f>
        <v>0</v>
      </c>
      <c r="U73" s="807" t="n">
        <f aca="false">IF(ISERROR(VLOOKUP(R73,$AA$10:$AH$100,8,FALSE()))=FALSE(),VLOOKUP(R73,$AA$10:$AH$100,8,FALSE()),0)</f>
        <v>0</v>
      </c>
      <c r="V73" s="807" t="n">
        <f aca="false">S73+T73+U73</f>
        <v>0</v>
      </c>
      <c r="W73" s="814" t="n">
        <f aca="false">[1]Cinergy!$F97</f>
        <v>1.81652250574871E-007</v>
      </c>
      <c r="X73" s="807" t="n">
        <f aca="false">S73*W73</f>
        <v>0</v>
      </c>
      <c r="Y73" s="807" t="n">
        <f aca="false">T73*W73</f>
        <v>0</v>
      </c>
      <c r="Z73" s="807" t="n">
        <f aca="false">U73*W73</f>
        <v>0</v>
      </c>
      <c r="AA73" s="804" t="n">
        <v>38749</v>
      </c>
      <c r="AB73" s="815" t="n">
        <v>-846335.385075141</v>
      </c>
      <c r="AC73" s="815" t="n">
        <v>-102802.26696147</v>
      </c>
      <c r="AD73" s="815" t="n">
        <v>0</v>
      </c>
      <c r="AE73" s="815" t="n">
        <v>20149.5341752662</v>
      </c>
      <c r="AF73" s="815" t="n">
        <v>16539.6625442876</v>
      </c>
      <c r="AG73" s="815" t="n">
        <v>0</v>
      </c>
      <c r="AH73" s="815" t="n">
        <v>0</v>
      </c>
      <c r="AI73" s="804"/>
      <c r="AJ73" s="459"/>
      <c r="AK73" s="459"/>
      <c r="AL73" s="459"/>
      <c r="AN73" s="815"/>
      <c r="AO73" s="815"/>
    </row>
    <row r="74" customFormat="false" ht="12.75" hidden="false" customHeight="false" outlineLevel="0" collapsed="false">
      <c r="A74" s="817" t="n">
        <f aca="false">IF($B$5=1,[1]Cinergy!$D98,[1]Cinergy!$D99)</f>
        <v>39114</v>
      </c>
      <c r="B74" s="807" t="n">
        <f aca="false">IF(ISERROR(VLOOKUP(A74,$AA$10:$AH$100,2,FALSE()))+ISERROR(VLOOKUP(A74,$AA$10:$AH$100,3,FALSE()))=0,VLOOKUP(A74,$AA$10:$AH$100,2,FALSE())+VLOOKUP(A74,$AA$10:$AH$100,3,FALSE()),0)</f>
        <v>0</v>
      </c>
      <c r="C74" s="807" t="n">
        <f aca="false">IF(ISERROR(VLOOKUP(A74,$AA$10:$AH$100,4,FALSE()))=FALSE(),VLOOKUP(A74,$AA$10:$AH$100,4,FALSE()),0)</f>
        <v>0</v>
      </c>
      <c r="D74" s="818" t="n">
        <f aca="false">B74+C74</f>
        <v>0</v>
      </c>
      <c r="E74" s="807" t="n">
        <f aca="false">IF(ISERROR(VLOOKUP(A74,$AI$10:$AL$100,2,FALSE()))+ISERROR(VLOOKUP(A74,$AI$10:$AL$100,3,FALSE()))=0,VLOOKUP(A74,$AI$10:$AL$100,2,FALSE())+VLOOKUP(A74,$AI$10:$AL$100,3,FALSE()),0)</f>
        <v>0</v>
      </c>
      <c r="F74" s="807" t="n">
        <f aca="false">IF(ISERROR(VLOOKUP(A74,$AI$10:$AL$100,4,FALSE()))=FALSE(),VLOOKUP(A74,$AI$10:$AL$100,4,FALSE()),0)</f>
        <v>0</v>
      </c>
      <c r="G74" s="818" t="n">
        <f aca="false">F74+E74</f>
        <v>0</v>
      </c>
      <c r="H74" s="819" t="n">
        <f aca="false">VLOOKUP(A74,NymexData!$S$12:$T$128,2)</f>
        <v>3.642</v>
      </c>
      <c r="I74" s="820" t="n">
        <f aca="false">IF($I$7=1,NymexData!AN76,NymexData!X76)</f>
        <v>0</v>
      </c>
      <c r="J74" s="819" t="n">
        <f aca="false">IF($I$7=1,H74+I74,VLOOKUP(A74,NymexData!$AA$12:$AB$128,2))</f>
        <v>3.642</v>
      </c>
      <c r="K74" s="807" t="n">
        <f aca="false">B74*I74</f>
        <v>0</v>
      </c>
      <c r="L74" s="807" t="n">
        <f aca="false">C74*I74</f>
        <v>0</v>
      </c>
      <c r="M74" s="811" t="n">
        <f aca="false">E74*I74</f>
        <v>0</v>
      </c>
      <c r="N74" s="807" t="n">
        <f aca="false">F74*I74</f>
        <v>0</v>
      </c>
      <c r="O74" s="811" t="n">
        <f aca="false">SUM(K74:N74)</f>
        <v>0</v>
      </c>
      <c r="R74" s="817" t="n">
        <f aca="false">A74</f>
        <v>39114</v>
      </c>
      <c r="S74" s="807" t="n">
        <f aca="false">IF(ISERROR(VLOOKUP(R74,$AA$10:$AH$100,5,FALSE()))+ISERROR(VLOOKUP(R74,$AA$10:$AH$100,6,FALSE()))=0,VLOOKUP(R74,$AA$10:$AH$100,5,FALSE())+VLOOKUP(R74,$AA$10:$AH$100,6,FALSE()),0)</f>
        <v>0</v>
      </c>
      <c r="T74" s="807" t="n">
        <f aca="false">IF(ISERROR(VLOOKUP(R74,$AA$10:$AH$100,7,FALSE()))=FALSE(),VLOOKUP(R74,$AA$10:$AH$100,7,FALSE()),0)</f>
        <v>0</v>
      </c>
      <c r="U74" s="807" t="n">
        <f aca="false">IF(ISERROR(VLOOKUP(R74,$AA$10:$AH$100,8,FALSE()))=FALSE(),VLOOKUP(R74,$AA$10:$AH$100,8,FALSE()),0)</f>
        <v>0</v>
      </c>
      <c r="V74" s="807" t="n">
        <f aca="false">S74+T74+U74</f>
        <v>0</v>
      </c>
      <c r="W74" s="814" t="n">
        <f aca="false">[1]Cinergy!$F98</f>
        <v>1.81652250574871E-007</v>
      </c>
      <c r="X74" s="807" t="n">
        <f aca="false">S74*W74</f>
        <v>0</v>
      </c>
      <c r="Y74" s="807" t="n">
        <f aca="false">T74*W74</f>
        <v>0</v>
      </c>
      <c r="Z74" s="807" t="n">
        <f aca="false">U74*W74</f>
        <v>0</v>
      </c>
      <c r="AA74" s="804" t="n">
        <v>38777</v>
      </c>
      <c r="AB74" s="815" t="n">
        <v>-748867.466686296</v>
      </c>
      <c r="AC74" s="815" t="n">
        <v>-98172.9105422589</v>
      </c>
      <c r="AD74" s="815" t="n">
        <v>0</v>
      </c>
      <c r="AE74" s="815" t="n">
        <v>18577.577297896</v>
      </c>
      <c r="AF74" s="815" t="n">
        <v>15805.9765833655</v>
      </c>
      <c r="AG74" s="815" t="n">
        <v>0</v>
      </c>
      <c r="AH74" s="815" t="n">
        <v>0</v>
      </c>
      <c r="AI74" s="804"/>
      <c r="AJ74" s="459"/>
      <c r="AK74" s="459"/>
      <c r="AL74" s="459"/>
      <c r="AN74" s="815"/>
      <c r="AO74" s="815"/>
    </row>
    <row r="75" customFormat="false" ht="12.75" hidden="false" customHeight="false" outlineLevel="0" collapsed="false">
      <c r="A75" s="817" t="n">
        <f aca="false">IF($B$5=1,[1]Cinergy!$D99,[1]Cinergy!$D100)</f>
        <v>39142</v>
      </c>
      <c r="B75" s="807" t="n">
        <f aca="false">IF(ISERROR(VLOOKUP(A75,$AA$10:$AH$100,2,FALSE()))+ISERROR(VLOOKUP(A75,$AA$10:$AH$100,3,FALSE()))=0,VLOOKUP(A75,$AA$10:$AH$100,2,FALSE())+VLOOKUP(A75,$AA$10:$AH$100,3,FALSE()),0)</f>
        <v>0</v>
      </c>
      <c r="C75" s="807" t="n">
        <f aca="false">IF(ISERROR(VLOOKUP(A75,$AA$10:$AH$100,4,FALSE()))=FALSE(),VLOOKUP(A75,$AA$10:$AH$100,4,FALSE()),0)</f>
        <v>0</v>
      </c>
      <c r="D75" s="818" t="n">
        <f aca="false">B75+C75</f>
        <v>0</v>
      </c>
      <c r="E75" s="807" t="n">
        <f aca="false">IF(ISERROR(VLOOKUP(A75,$AI$10:$AL$100,2,FALSE()))+ISERROR(VLOOKUP(A75,$AI$10:$AL$100,3,FALSE()))=0,VLOOKUP(A75,$AI$10:$AL$100,2,FALSE())+VLOOKUP(A75,$AI$10:$AL$100,3,FALSE()),0)</f>
        <v>0</v>
      </c>
      <c r="F75" s="807" t="n">
        <f aca="false">IF(ISERROR(VLOOKUP(A75,$AI$10:$AL$100,4,FALSE()))=FALSE(),VLOOKUP(A75,$AI$10:$AL$100,4,FALSE()),0)</f>
        <v>0</v>
      </c>
      <c r="G75" s="818" t="n">
        <f aca="false">F75+E75</f>
        <v>0</v>
      </c>
      <c r="H75" s="819" t="n">
        <f aca="false">VLOOKUP(A75,NymexData!$S$12:$T$128,2)</f>
        <v>3.51</v>
      </c>
      <c r="I75" s="820" t="n">
        <f aca="false">IF($I$7=1,NymexData!AN77,NymexData!X77)</f>
        <v>0</v>
      </c>
      <c r="J75" s="819" t="n">
        <f aca="false">IF($I$7=1,H75+I75,VLOOKUP(A75,NymexData!$AA$12:$AB$128,2))</f>
        <v>3.51</v>
      </c>
      <c r="K75" s="807" t="n">
        <f aca="false">B75*I75</f>
        <v>0</v>
      </c>
      <c r="L75" s="807" t="n">
        <f aca="false">C75*I75</f>
        <v>0</v>
      </c>
      <c r="M75" s="811" t="n">
        <f aca="false">E75*I75</f>
        <v>0</v>
      </c>
      <c r="N75" s="807" t="n">
        <f aca="false">F75*I75</f>
        <v>0</v>
      </c>
      <c r="O75" s="811" t="n">
        <f aca="false">SUM(K75:N75)</f>
        <v>0</v>
      </c>
      <c r="R75" s="817" t="n">
        <f aca="false">A75</f>
        <v>39142</v>
      </c>
      <c r="S75" s="807" t="n">
        <f aca="false">IF(ISERROR(VLOOKUP(R75,$AA$10:$AH$100,5,FALSE()))+ISERROR(VLOOKUP(R75,$AA$10:$AH$100,6,FALSE()))=0,VLOOKUP(R75,$AA$10:$AH$100,5,FALSE())+VLOOKUP(R75,$AA$10:$AH$100,6,FALSE()),0)</f>
        <v>0</v>
      </c>
      <c r="T75" s="807" t="n">
        <f aca="false">IF(ISERROR(VLOOKUP(R75,$AA$10:$AH$100,7,FALSE()))=FALSE(),VLOOKUP(R75,$AA$10:$AH$100,7,FALSE()),0)</f>
        <v>0</v>
      </c>
      <c r="U75" s="807" t="n">
        <f aca="false">IF(ISERROR(VLOOKUP(R75,$AA$10:$AH$100,8,FALSE()))=FALSE(),VLOOKUP(R75,$AA$10:$AH$100,8,FALSE()),0)</f>
        <v>0</v>
      </c>
      <c r="V75" s="807" t="n">
        <f aca="false">S75+T75+U75</f>
        <v>0</v>
      </c>
      <c r="W75" s="814" t="n">
        <f aca="false">[1]Cinergy!$F99</f>
        <v>-0.250000443569448</v>
      </c>
      <c r="X75" s="807" t="n">
        <f aca="false">S75*W75</f>
        <v>-0</v>
      </c>
      <c r="Y75" s="807" t="n">
        <f aca="false">T75*W75</f>
        <v>-0</v>
      </c>
      <c r="Z75" s="807" t="n">
        <f aca="false">U75*W75</f>
        <v>-0</v>
      </c>
      <c r="AA75" s="804" t="n">
        <v>38808</v>
      </c>
      <c r="AB75" s="815" t="n">
        <v>-93892.5631742688</v>
      </c>
      <c r="AC75" s="815" t="n">
        <v>-106322.231307717</v>
      </c>
      <c r="AD75" s="815" t="n">
        <v>0</v>
      </c>
      <c r="AE75" s="815" t="n">
        <v>14228.3356930823</v>
      </c>
      <c r="AF75" s="815" t="n">
        <v>16139.6816271134</v>
      </c>
      <c r="AG75" s="815" t="n">
        <v>0</v>
      </c>
      <c r="AH75" s="815" t="n">
        <v>0</v>
      </c>
      <c r="AI75" s="804"/>
      <c r="AJ75" s="459"/>
      <c r="AK75" s="459"/>
      <c r="AL75" s="459"/>
      <c r="AN75" s="815"/>
      <c r="AO75" s="815"/>
    </row>
    <row r="76" customFormat="false" ht="12.75" hidden="false" customHeight="false" outlineLevel="0" collapsed="false">
      <c r="A76" s="817" t="n">
        <f aca="false">IF($B$5=1,[1]Cinergy!$D100,[1]Cinergy!$D101)</f>
        <v>39173</v>
      </c>
      <c r="B76" s="807" t="n">
        <f aca="false">IF(ISERROR(VLOOKUP(A76,$AA$10:$AH$100,2,FALSE()))+ISERROR(VLOOKUP(A76,$AA$10:$AH$100,3,FALSE()))=0,VLOOKUP(A76,$AA$10:$AH$100,2,FALSE())+VLOOKUP(A76,$AA$10:$AH$100,3,FALSE()),0)</f>
        <v>0</v>
      </c>
      <c r="C76" s="807" t="n">
        <f aca="false">IF(ISERROR(VLOOKUP(A76,$AA$10:$AH$100,4,FALSE()))=FALSE(),VLOOKUP(A76,$AA$10:$AH$100,4,FALSE()),0)</f>
        <v>0</v>
      </c>
      <c r="D76" s="818" t="n">
        <f aca="false">B76+C76</f>
        <v>0</v>
      </c>
      <c r="E76" s="807" t="n">
        <f aca="false">IF(ISERROR(VLOOKUP(A76,$AI$10:$AL$100,2,FALSE()))+ISERROR(VLOOKUP(A76,$AI$10:$AL$100,3,FALSE()))=0,VLOOKUP(A76,$AI$10:$AL$100,2,FALSE())+VLOOKUP(A76,$AI$10:$AL$100,3,FALSE()),0)</f>
        <v>0</v>
      </c>
      <c r="F76" s="807" t="n">
        <f aca="false">IF(ISERROR(VLOOKUP(A76,$AI$10:$AL$100,4,FALSE()))=FALSE(),VLOOKUP(A76,$AI$10:$AL$100,4,FALSE()),0)</f>
        <v>0</v>
      </c>
      <c r="G76" s="818" t="n">
        <f aca="false">F76+E76</f>
        <v>0</v>
      </c>
      <c r="H76" s="819" t="n">
        <f aca="false">VLOOKUP(A76,NymexData!$S$12:$T$128,2)</f>
        <v>3.312</v>
      </c>
      <c r="I76" s="820" t="n">
        <f aca="false">IF($I$7=1,NymexData!AN78,NymexData!X78)</f>
        <v>0</v>
      </c>
      <c r="J76" s="819" t="n">
        <f aca="false">IF($I$7=1,H76+I76,VLOOKUP(A76,NymexData!$AA$12:$AB$128,2))</f>
        <v>3.312</v>
      </c>
      <c r="K76" s="807" t="n">
        <f aca="false">B76*I76</f>
        <v>0</v>
      </c>
      <c r="L76" s="807" t="n">
        <f aca="false">C76*I76</f>
        <v>0</v>
      </c>
      <c r="M76" s="811" t="n">
        <f aca="false">E76*I76</f>
        <v>0</v>
      </c>
      <c r="N76" s="807" t="n">
        <f aca="false">F76*I76</f>
        <v>0</v>
      </c>
      <c r="O76" s="811" t="n">
        <f aca="false">SUM(K76:N76)</f>
        <v>0</v>
      </c>
      <c r="R76" s="817" t="n">
        <f aca="false">A76</f>
        <v>39173</v>
      </c>
      <c r="S76" s="807" t="n">
        <f aca="false">IF(ISERROR(VLOOKUP(R76,$AA$10:$AH$100,5,FALSE()))+ISERROR(VLOOKUP(R76,$AA$10:$AH$100,6,FALSE()))=0,VLOOKUP(R76,$AA$10:$AH$100,5,FALSE())+VLOOKUP(R76,$AA$10:$AH$100,6,FALSE()),0)</f>
        <v>0</v>
      </c>
      <c r="T76" s="807" t="n">
        <f aca="false">IF(ISERROR(VLOOKUP(R76,$AA$10:$AH$100,7,FALSE()))=FALSE(),VLOOKUP(R76,$AA$10:$AH$100,7,FALSE()),0)</f>
        <v>0</v>
      </c>
      <c r="U76" s="807" t="n">
        <f aca="false">IF(ISERROR(VLOOKUP(R76,$AA$10:$AH$100,8,FALSE()))=FALSE(),VLOOKUP(R76,$AA$10:$AH$100,8,FALSE()),0)</f>
        <v>0</v>
      </c>
      <c r="V76" s="807" t="n">
        <f aca="false">S76+T76+U76</f>
        <v>0</v>
      </c>
      <c r="W76" s="814" t="n">
        <f aca="false">[1]Cinergy!$F100</f>
        <v>-0.250000443569448</v>
      </c>
      <c r="X76" s="807" t="n">
        <f aca="false">S76*W76</f>
        <v>-0</v>
      </c>
      <c r="Y76" s="807" t="n">
        <f aca="false">T76*W76</f>
        <v>-0</v>
      </c>
      <c r="Z76" s="807" t="n">
        <f aca="false">U76*W76</f>
        <v>-0</v>
      </c>
      <c r="AA76" s="804" t="n">
        <v>38838</v>
      </c>
      <c r="AB76" s="815" t="n">
        <v>-183266.88336942</v>
      </c>
      <c r="AC76" s="815" t="n">
        <v>-177641.784315298</v>
      </c>
      <c r="AD76" s="815" t="n">
        <v>0</v>
      </c>
      <c r="AE76" s="815" t="n">
        <v>22570.3913606921</v>
      </c>
      <c r="AF76" s="815" t="n">
        <v>22797.1892783336</v>
      </c>
      <c r="AG76" s="815" t="n">
        <v>0</v>
      </c>
      <c r="AH76" s="815" t="n">
        <v>0</v>
      </c>
      <c r="AI76" s="804"/>
      <c r="AJ76" s="459"/>
      <c r="AK76" s="459"/>
      <c r="AL76" s="459"/>
      <c r="AN76" s="815"/>
      <c r="AO76" s="815"/>
    </row>
    <row r="77" customFormat="false" ht="12.75" hidden="false" customHeight="false" outlineLevel="0" collapsed="false">
      <c r="A77" s="817" t="n">
        <f aca="false">IF($B$5=1,[1]Cinergy!$D101,[1]Cinergy!$D102)</f>
        <v>39203</v>
      </c>
      <c r="B77" s="807" t="n">
        <f aca="false">IF(ISERROR(VLOOKUP(A77,$AA$10:$AH$100,2,FALSE()))+ISERROR(VLOOKUP(A77,$AA$10:$AH$100,3,FALSE()))=0,VLOOKUP(A77,$AA$10:$AH$100,2,FALSE())+VLOOKUP(A77,$AA$10:$AH$100,3,FALSE()),0)</f>
        <v>0</v>
      </c>
      <c r="C77" s="807" t="n">
        <f aca="false">IF(ISERROR(VLOOKUP(A77,$AA$10:$AH$100,4,FALSE()))=FALSE(),VLOOKUP(A77,$AA$10:$AH$100,4,FALSE()),0)</f>
        <v>0</v>
      </c>
      <c r="D77" s="818" t="n">
        <f aca="false">B77+C77</f>
        <v>0</v>
      </c>
      <c r="E77" s="807" t="n">
        <f aca="false">IF(ISERROR(VLOOKUP(A77,$AI$10:$AL$100,2,FALSE()))+ISERROR(VLOOKUP(A77,$AI$10:$AL$100,3,FALSE()))=0,VLOOKUP(A77,$AI$10:$AL$100,2,FALSE())+VLOOKUP(A77,$AI$10:$AL$100,3,FALSE()),0)</f>
        <v>0</v>
      </c>
      <c r="F77" s="807" t="n">
        <f aca="false">IF(ISERROR(VLOOKUP(A77,$AI$10:$AL$100,4,FALSE()))=FALSE(),VLOOKUP(A77,$AI$10:$AL$100,4,FALSE()),0)</f>
        <v>0</v>
      </c>
      <c r="G77" s="818" t="n">
        <f aca="false">F77+E77</f>
        <v>0</v>
      </c>
      <c r="H77" s="819" t="n">
        <f aca="false">VLOOKUP(A77,NymexData!$S$12:$T$128,2)</f>
        <v>3.308</v>
      </c>
      <c r="I77" s="820" t="n">
        <f aca="false">IF($I$7=1,NymexData!AN79,NymexData!X79)</f>
        <v>0</v>
      </c>
      <c r="J77" s="819" t="n">
        <f aca="false">IF($I$7=1,H77+I77,VLOOKUP(A77,NymexData!$AA$12:$AB$128,2))</f>
        <v>3.308</v>
      </c>
      <c r="K77" s="807" t="n">
        <f aca="false">B77*I77</f>
        <v>0</v>
      </c>
      <c r="L77" s="807" t="n">
        <f aca="false">C77*I77</f>
        <v>0</v>
      </c>
      <c r="M77" s="811" t="n">
        <f aca="false">E77*I77</f>
        <v>0</v>
      </c>
      <c r="N77" s="807" t="n">
        <f aca="false">F77*I77</f>
        <v>0</v>
      </c>
      <c r="O77" s="811" t="n">
        <f aca="false">SUM(K77:N77)</f>
        <v>0</v>
      </c>
      <c r="R77" s="817" t="n">
        <f aca="false">A77</f>
        <v>39203</v>
      </c>
      <c r="S77" s="807" t="n">
        <f aca="false">IF(ISERROR(VLOOKUP(R77,$AA$10:$AH$100,5,FALSE()))+ISERROR(VLOOKUP(R77,$AA$10:$AH$100,6,FALSE()))=0,VLOOKUP(R77,$AA$10:$AH$100,5,FALSE())+VLOOKUP(R77,$AA$10:$AH$100,6,FALSE()),0)</f>
        <v>0</v>
      </c>
      <c r="T77" s="807" t="n">
        <f aca="false">IF(ISERROR(VLOOKUP(R77,$AA$10:$AH$100,7,FALSE()))=FALSE(),VLOOKUP(R77,$AA$10:$AH$100,7,FALSE()),0)</f>
        <v>0</v>
      </c>
      <c r="U77" s="807" t="n">
        <f aca="false">IF(ISERROR(VLOOKUP(R77,$AA$10:$AH$100,8,FALSE()))=FALSE(),VLOOKUP(R77,$AA$10:$AH$100,8,FALSE()),0)</f>
        <v>0</v>
      </c>
      <c r="V77" s="807" t="n">
        <f aca="false">S77+T77+U77</f>
        <v>0</v>
      </c>
      <c r="W77" s="814" t="n">
        <f aca="false">[1]Cinergy!$F101</f>
        <v>0</v>
      </c>
      <c r="X77" s="807" t="n">
        <f aca="false">S77*W77</f>
        <v>0</v>
      </c>
      <c r="Y77" s="807" t="n">
        <f aca="false">T77*W77</f>
        <v>0</v>
      </c>
      <c r="Z77" s="807" t="n">
        <f aca="false">U77*W77</f>
        <v>0</v>
      </c>
      <c r="AA77" s="804" t="n">
        <v>38869</v>
      </c>
      <c r="AB77" s="815" t="n">
        <v>-624270.058317261</v>
      </c>
      <c r="AC77" s="815" t="n">
        <v>-682520.31869336</v>
      </c>
      <c r="AD77" s="815" t="n">
        <v>0</v>
      </c>
      <c r="AE77" s="815" t="n">
        <v>69732.1344777554</v>
      </c>
      <c r="AF77" s="815" t="n">
        <v>77510.1086196796</v>
      </c>
      <c r="AG77" s="815" t="n">
        <v>0</v>
      </c>
      <c r="AH77" s="815" t="n">
        <v>0</v>
      </c>
      <c r="AI77" s="804"/>
      <c r="AJ77" s="459"/>
      <c r="AK77" s="459"/>
      <c r="AL77" s="459"/>
      <c r="AN77" s="815"/>
      <c r="AO77" s="815"/>
    </row>
    <row r="78" customFormat="false" ht="12.75" hidden="false" customHeight="false" outlineLevel="0" collapsed="false">
      <c r="A78" s="817" t="n">
        <f aca="false">IF($B$5=1,[1]Cinergy!$D102,[1]Cinergy!$D103)</f>
        <v>39234</v>
      </c>
      <c r="B78" s="807" t="n">
        <f aca="false">IF(ISERROR(VLOOKUP(A78,$AA$10:$AH$100,2,FALSE()))+ISERROR(VLOOKUP(A78,$AA$10:$AH$100,3,FALSE()))=0,VLOOKUP(A78,$AA$10:$AH$100,2,FALSE())+VLOOKUP(A78,$AA$10:$AH$100,3,FALSE()),0)</f>
        <v>0</v>
      </c>
      <c r="C78" s="807" t="n">
        <f aca="false">IF(ISERROR(VLOOKUP(A78,$AA$10:$AH$100,4,FALSE()))=FALSE(),VLOOKUP(A78,$AA$10:$AH$100,4,FALSE()),0)</f>
        <v>0</v>
      </c>
      <c r="D78" s="818" t="n">
        <f aca="false">B78+C78</f>
        <v>0</v>
      </c>
      <c r="E78" s="807" t="n">
        <f aca="false">IF(ISERROR(VLOOKUP(A78,$AI$10:$AL$100,2,FALSE()))+ISERROR(VLOOKUP(A78,$AI$10:$AL$100,3,FALSE()))=0,VLOOKUP(A78,$AI$10:$AL$100,2,FALSE())+VLOOKUP(A78,$AI$10:$AL$100,3,FALSE()),0)</f>
        <v>0</v>
      </c>
      <c r="F78" s="807" t="n">
        <f aca="false">IF(ISERROR(VLOOKUP(A78,$AI$10:$AL$100,4,FALSE()))=FALSE(),VLOOKUP(A78,$AI$10:$AL$100,4,FALSE()),0)</f>
        <v>0</v>
      </c>
      <c r="G78" s="818" t="n">
        <f aca="false">F78+E78</f>
        <v>0</v>
      </c>
      <c r="H78" s="819" t="n">
        <f aca="false">VLOOKUP(A78,NymexData!$S$12:$T$128,2)</f>
        <v>3.34</v>
      </c>
      <c r="I78" s="820" t="n">
        <f aca="false">IF($I$7=1,NymexData!AN80,NymexData!X80)</f>
        <v>0</v>
      </c>
      <c r="J78" s="819" t="n">
        <f aca="false">IF($I$7=1,H78+I78,VLOOKUP(A78,NymexData!$AA$12:$AB$128,2))</f>
        <v>3.34</v>
      </c>
      <c r="K78" s="807" t="n">
        <f aca="false">B78*I78</f>
        <v>0</v>
      </c>
      <c r="L78" s="807" t="n">
        <f aca="false">C78*I78</f>
        <v>0</v>
      </c>
      <c r="M78" s="811" t="n">
        <f aca="false">E78*I78</f>
        <v>0</v>
      </c>
      <c r="N78" s="807" t="n">
        <f aca="false">F78*I78</f>
        <v>0</v>
      </c>
      <c r="O78" s="811" t="n">
        <f aca="false">SUM(K78:N78)</f>
        <v>0</v>
      </c>
      <c r="R78" s="817" t="n">
        <f aca="false">A78</f>
        <v>39234</v>
      </c>
      <c r="S78" s="807" t="n">
        <f aca="false">IF(ISERROR(VLOOKUP(R78,$AA$10:$AH$100,5,FALSE()))+ISERROR(VLOOKUP(R78,$AA$10:$AH$100,6,FALSE()))=0,VLOOKUP(R78,$AA$10:$AH$100,5,FALSE())+VLOOKUP(R78,$AA$10:$AH$100,6,FALSE()),0)</f>
        <v>0</v>
      </c>
      <c r="T78" s="807" t="n">
        <f aca="false">IF(ISERROR(VLOOKUP(R78,$AA$10:$AH$100,7,FALSE()))=FALSE(),VLOOKUP(R78,$AA$10:$AH$100,7,FALSE()),0)</f>
        <v>0</v>
      </c>
      <c r="U78" s="807" t="n">
        <f aca="false">IF(ISERROR(VLOOKUP(R78,$AA$10:$AH$100,8,FALSE()))=FALSE(),VLOOKUP(R78,$AA$10:$AH$100,8,FALSE()),0)</f>
        <v>0</v>
      </c>
      <c r="V78" s="807" t="n">
        <f aca="false">S78+T78+U78</f>
        <v>0</v>
      </c>
      <c r="W78" s="814" t="n">
        <f aca="false">[1]Cinergy!$F102</f>
        <v>-0.5</v>
      </c>
      <c r="X78" s="807" t="n">
        <f aca="false">S78*W78</f>
        <v>-0</v>
      </c>
      <c r="Y78" s="807" t="n">
        <f aca="false">T78*W78</f>
        <v>-0</v>
      </c>
      <c r="Z78" s="807" t="n">
        <f aca="false">U78*W78</f>
        <v>-0</v>
      </c>
      <c r="AA78" s="804" t="n">
        <v>38899</v>
      </c>
      <c r="AB78" s="815" t="n">
        <v>-748222.692369776</v>
      </c>
      <c r="AC78" s="815" t="n">
        <v>-898770.85555402</v>
      </c>
      <c r="AD78" s="815" t="n">
        <v>0</v>
      </c>
      <c r="AE78" s="815" t="n">
        <v>82822.9236161779</v>
      </c>
      <c r="AF78" s="815" t="n">
        <v>101025.010362012</v>
      </c>
      <c r="AG78" s="815" t="n">
        <v>0</v>
      </c>
      <c r="AH78" s="815" t="n">
        <v>0</v>
      </c>
      <c r="AI78" s="804"/>
      <c r="AJ78" s="459"/>
      <c r="AK78" s="459"/>
      <c r="AL78" s="459"/>
      <c r="AN78" s="815"/>
      <c r="AO78" s="815"/>
    </row>
    <row r="79" customFormat="false" ht="12.75" hidden="false" customHeight="false" outlineLevel="0" collapsed="false">
      <c r="A79" s="817" t="n">
        <f aca="false">IF($B$5=1,[1]Cinergy!$D103,[1]Cinergy!$D104)</f>
        <v>39264</v>
      </c>
      <c r="B79" s="807" t="n">
        <f aca="false">IF(ISERROR(VLOOKUP(A79,$AA$10:$AH$100,2,FALSE()))+ISERROR(VLOOKUP(A79,$AA$10:$AH$100,3,FALSE()))=0,VLOOKUP(A79,$AA$10:$AH$100,2,FALSE())+VLOOKUP(A79,$AA$10:$AH$100,3,FALSE()),0)</f>
        <v>0</v>
      </c>
      <c r="C79" s="807" t="n">
        <f aca="false">IF(ISERROR(VLOOKUP(A79,$AA$10:$AH$100,4,FALSE()))=FALSE(),VLOOKUP(A79,$AA$10:$AH$100,4,FALSE()),0)</f>
        <v>0</v>
      </c>
      <c r="D79" s="818" t="n">
        <f aca="false">B79+C79</f>
        <v>0</v>
      </c>
      <c r="E79" s="807" t="n">
        <f aca="false">IF(ISERROR(VLOOKUP(A79,$AI$10:$AL$100,2,FALSE()))+ISERROR(VLOOKUP(A79,$AI$10:$AL$100,3,FALSE()))=0,VLOOKUP(A79,$AI$10:$AL$100,2,FALSE())+VLOOKUP(A79,$AI$10:$AL$100,3,FALSE()),0)</f>
        <v>0</v>
      </c>
      <c r="F79" s="807" t="n">
        <f aca="false">IF(ISERROR(VLOOKUP(A79,$AI$10:$AL$100,4,FALSE()))=FALSE(),VLOOKUP(A79,$AI$10:$AL$100,4,FALSE()),0)</f>
        <v>0</v>
      </c>
      <c r="G79" s="818" t="n">
        <f aca="false">F79+E79</f>
        <v>0</v>
      </c>
      <c r="H79" s="819" t="n">
        <f aca="false">VLOOKUP(A79,NymexData!$S$12:$T$128,2)</f>
        <v>3.39</v>
      </c>
      <c r="I79" s="820" t="n">
        <f aca="false">IF($I$7=1,NymexData!AN81,NymexData!X81)</f>
        <v>0</v>
      </c>
      <c r="J79" s="819" t="n">
        <f aca="false">IF($I$7=1,H79+I79,VLOOKUP(A79,NymexData!$AA$12:$AB$128,2))</f>
        <v>3.39</v>
      </c>
      <c r="K79" s="807" t="n">
        <f aca="false">B79*I79</f>
        <v>0</v>
      </c>
      <c r="L79" s="807" t="n">
        <f aca="false">C79*I79</f>
        <v>0</v>
      </c>
      <c r="M79" s="811" t="n">
        <f aca="false">E79*I79</f>
        <v>0</v>
      </c>
      <c r="N79" s="807" t="n">
        <f aca="false">F79*I79</f>
        <v>0</v>
      </c>
      <c r="O79" s="811" t="n">
        <f aca="false">SUM(K79:N79)</f>
        <v>0</v>
      </c>
      <c r="R79" s="817" t="n">
        <f aca="false">A79</f>
        <v>39264</v>
      </c>
      <c r="S79" s="807" t="n">
        <f aca="false">IF(ISERROR(VLOOKUP(R79,$AA$10:$AH$100,5,FALSE()))+ISERROR(VLOOKUP(R79,$AA$10:$AH$100,6,FALSE()))=0,VLOOKUP(R79,$AA$10:$AH$100,5,FALSE())+VLOOKUP(R79,$AA$10:$AH$100,6,FALSE()),0)</f>
        <v>0</v>
      </c>
      <c r="T79" s="807" t="n">
        <f aca="false">IF(ISERROR(VLOOKUP(R79,$AA$10:$AH$100,7,FALSE()))=FALSE(),VLOOKUP(R79,$AA$10:$AH$100,7,FALSE()),0)</f>
        <v>0</v>
      </c>
      <c r="U79" s="807" t="n">
        <f aca="false">IF(ISERROR(VLOOKUP(R79,$AA$10:$AH$100,8,FALSE()))=FALSE(),VLOOKUP(R79,$AA$10:$AH$100,8,FALSE()),0)</f>
        <v>0</v>
      </c>
      <c r="V79" s="807" t="n">
        <f aca="false">S79+T79+U79</f>
        <v>0</v>
      </c>
      <c r="W79" s="814" t="n">
        <f aca="false">[1]Cinergy!$F103</f>
        <v>-0.5</v>
      </c>
      <c r="X79" s="807" t="n">
        <f aca="false">S79*W79</f>
        <v>-0</v>
      </c>
      <c r="Y79" s="807" t="n">
        <f aca="false">T79*W79</f>
        <v>-0</v>
      </c>
      <c r="Z79" s="807" t="n">
        <f aca="false">U79*W79</f>
        <v>-0</v>
      </c>
      <c r="AA79" s="804" t="n">
        <v>38930</v>
      </c>
      <c r="AB79" s="815" t="n">
        <v>-854424.930073439</v>
      </c>
      <c r="AC79" s="815" t="n">
        <v>-1025858.0910175</v>
      </c>
      <c r="AD79" s="815" t="n">
        <v>0</v>
      </c>
      <c r="AE79" s="815" t="n">
        <v>94579.4723785238</v>
      </c>
      <c r="AF79" s="815" t="n">
        <v>115309.709115028</v>
      </c>
      <c r="AG79" s="815" t="n">
        <v>0</v>
      </c>
      <c r="AH79" s="815" t="n">
        <v>0</v>
      </c>
      <c r="AI79" s="804"/>
      <c r="AJ79" s="459"/>
      <c r="AK79" s="459"/>
      <c r="AL79" s="459"/>
      <c r="AN79" s="815"/>
      <c r="AO79" s="815"/>
    </row>
    <row r="80" customFormat="false" ht="12.75" hidden="false" customHeight="false" outlineLevel="0" collapsed="false">
      <c r="A80" s="817" t="n">
        <f aca="false">IF($B$5=1,[1]Cinergy!$D104,[1]Cinergy!$D105)</f>
        <v>39295</v>
      </c>
      <c r="B80" s="807" t="n">
        <f aca="false">IF(ISERROR(VLOOKUP(A80,$AA$10:$AH$100,2,FALSE()))+ISERROR(VLOOKUP(A80,$AA$10:$AH$100,3,FALSE()))=0,VLOOKUP(A80,$AA$10:$AH$100,2,FALSE())+VLOOKUP(A80,$AA$10:$AH$100,3,FALSE()),0)</f>
        <v>0</v>
      </c>
      <c r="C80" s="807" t="n">
        <f aca="false">IF(ISERROR(VLOOKUP(A80,$AA$10:$AH$100,4,FALSE()))=FALSE(),VLOOKUP(A80,$AA$10:$AH$100,4,FALSE()),0)</f>
        <v>0</v>
      </c>
      <c r="D80" s="818" t="n">
        <f aca="false">B80+C80</f>
        <v>0</v>
      </c>
      <c r="E80" s="807" t="n">
        <f aca="false">IF(ISERROR(VLOOKUP(A80,$AI$10:$AL$100,2,FALSE()))+ISERROR(VLOOKUP(A80,$AI$10:$AL$100,3,FALSE()))=0,VLOOKUP(A80,$AI$10:$AL$100,2,FALSE())+VLOOKUP(A80,$AI$10:$AL$100,3,FALSE()),0)</f>
        <v>0</v>
      </c>
      <c r="F80" s="807" t="n">
        <f aca="false">IF(ISERROR(VLOOKUP(A80,$AI$10:$AL$100,4,FALSE()))=FALSE(),VLOOKUP(A80,$AI$10:$AL$100,4,FALSE()),0)</f>
        <v>0</v>
      </c>
      <c r="G80" s="818" t="n">
        <f aca="false">F80+E80</f>
        <v>0</v>
      </c>
      <c r="H80" s="819" t="n">
        <f aca="false">VLOOKUP(A80,NymexData!$S$12:$T$128,2)</f>
        <v>3.424</v>
      </c>
      <c r="I80" s="820" t="n">
        <f aca="false">IF($I$7=1,NymexData!AN82,NymexData!X82)</f>
        <v>0</v>
      </c>
      <c r="J80" s="819" t="n">
        <f aca="false">IF($I$7=1,H80+I80,VLOOKUP(A80,NymexData!$AA$12:$AB$128,2))</f>
        <v>3.424</v>
      </c>
      <c r="K80" s="807" t="n">
        <f aca="false">B80*I80</f>
        <v>0</v>
      </c>
      <c r="L80" s="807" t="n">
        <f aca="false">C80*I80</f>
        <v>0</v>
      </c>
      <c r="M80" s="811" t="n">
        <f aca="false">E80*I80</f>
        <v>0</v>
      </c>
      <c r="N80" s="807" t="n">
        <f aca="false">F80*I80</f>
        <v>0</v>
      </c>
      <c r="O80" s="811" t="n">
        <f aca="false">SUM(K80:N80)</f>
        <v>0</v>
      </c>
      <c r="R80" s="817" t="n">
        <f aca="false">A80</f>
        <v>39295</v>
      </c>
      <c r="S80" s="807" t="n">
        <f aca="false">IF(ISERROR(VLOOKUP(R80,$AA$10:$AH$100,5,FALSE()))+ISERROR(VLOOKUP(R80,$AA$10:$AH$100,6,FALSE()))=0,VLOOKUP(R80,$AA$10:$AH$100,5,FALSE())+VLOOKUP(R80,$AA$10:$AH$100,6,FALSE()),0)</f>
        <v>0</v>
      </c>
      <c r="T80" s="807" t="n">
        <f aca="false">IF(ISERROR(VLOOKUP(R80,$AA$10:$AH$100,7,FALSE()))=FALSE(),VLOOKUP(R80,$AA$10:$AH$100,7,FALSE()),0)</f>
        <v>0</v>
      </c>
      <c r="U80" s="807" t="n">
        <f aca="false">IF(ISERROR(VLOOKUP(R80,$AA$10:$AH$100,8,FALSE()))=FALSE(),VLOOKUP(R80,$AA$10:$AH$100,8,FALSE()),0)</f>
        <v>0</v>
      </c>
      <c r="V80" s="807" t="n">
        <f aca="false">S80+T80+U80</f>
        <v>0</v>
      </c>
      <c r="W80" s="814" t="n">
        <f aca="false">[1]Cinergy!$F104</f>
        <v>-0.5</v>
      </c>
      <c r="X80" s="807" t="n">
        <f aca="false">S80*W80</f>
        <v>-0</v>
      </c>
      <c r="Y80" s="807" t="n">
        <f aca="false">T80*W80</f>
        <v>-0</v>
      </c>
      <c r="Z80" s="807" t="n">
        <f aca="false">U80*W80</f>
        <v>-0</v>
      </c>
      <c r="AA80" s="804" t="n">
        <v>38961</v>
      </c>
      <c r="AB80" s="815" t="n">
        <v>-253668.378641682</v>
      </c>
      <c r="AC80" s="815" t="n">
        <v>-273820.962502095</v>
      </c>
      <c r="AD80" s="815" t="n">
        <v>0</v>
      </c>
      <c r="AE80" s="815" t="n">
        <v>27113.5917081803</v>
      </c>
      <c r="AF80" s="815" t="n">
        <v>29395.4392109003</v>
      </c>
      <c r="AG80" s="815" t="n">
        <v>0</v>
      </c>
      <c r="AH80" s="815" t="n">
        <v>0</v>
      </c>
      <c r="AI80" s="804"/>
      <c r="AJ80" s="459"/>
      <c r="AK80" s="459"/>
      <c r="AL80" s="459"/>
      <c r="AN80" s="815"/>
      <c r="AO80" s="815"/>
    </row>
    <row r="81" customFormat="false" ht="12.75" hidden="false" customHeight="false" outlineLevel="0" collapsed="false">
      <c r="A81" s="817" t="n">
        <f aca="false">IF($B$5=1,[1]Cinergy!$D105,[1]Cinergy!$D106)</f>
        <v>39326</v>
      </c>
      <c r="B81" s="807" t="n">
        <f aca="false">IF(ISERROR(VLOOKUP(A81,$AA$10:$AH$100,2,FALSE()))+ISERROR(VLOOKUP(A81,$AA$10:$AH$100,3,FALSE()))=0,VLOOKUP(A81,$AA$10:$AH$100,2,FALSE())+VLOOKUP(A81,$AA$10:$AH$100,3,FALSE()),0)</f>
        <v>0</v>
      </c>
      <c r="C81" s="807" t="n">
        <f aca="false">IF(ISERROR(VLOOKUP(A81,$AA$10:$AH$100,4,FALSE()))=FALSE(),VLOOKUP(A81,$AA$10:$AH$100,4,FALSE()),0)</f>
        <v>0</v>
      </c>
      <c r="D81" s="818" t="n">
        <f aca="false">B81+C81</f>
        <v>0</v>
      </c>
      <c r="E81" s="807" t="n">
        <f aca="false">IF(ISERROR(VLOOKUP(A81,$AI$10:$AL$100,2,FALSE()))+ISERROR(VLOOKUP(A81,$AI$10:$AL$100,3,FALSE()))=0,VLOOKUP(A81,$AI$10:$AL$100,2,FALSE())+VLOOKUP(A81,$AI$10:$AL$100,3,FALSE()),0)</f>
        <v>0</v>
      </c>
      <c r="F81" s="807" t="n">
        <f aca="false">IF(ISERROR(VLOOKUP(A81,$AI$10:$AL$100,4,FALSE()))=FALSE(),VLOOKUP(A81,$AI$10:$AL$100,4,FALSE()),0)</f>
        <v>0</v>
      </c>
      <c r="G81" s="818" t="n">
        <f aca="false">F81+E81</f>
        <v>0</v>
      </c>
      <c r="H81" s="819" t="n">
        <f aca="false">VLOOKUP(A81,NymexData!$S$12:$T$128,2)</f>
        <v>3.437</v>
      </c>
      <c r="I81" s="820" t="n">
        <f aca="false">IF($I$7=1,NymexData!AN83,NymexData!X83)</f>
        <v>0</v>
      </c>
      <c r="J81" s="819" t="n">
        <f aca="false">IF($I$7=1,H81+I81,VLOOKUP(A81,NymexData!$AA$12:$AB$128,2))</f>
        <v>3.437</v>
      </c>
      <c r="K81" s="807" t="n">
        <f aca="false">B81*I81</f>
        <v>0</v>
      </c>
      <c r="L81" s="807" t="n">
        <f aca="false">C81*I81</f>
        <v>0</v>
      </c>
      <c r="M81" s="811" t="n">
        <f aca="false">E81*I81</f>
        <v>0</v>
      </c>
      <c r="N81" s="807" t="n">
        <f aca="false">F81*I81</f>
        <v>0</v>
      </c>
      <c r="O81" s="811" t="n">
        <f aca="false">SUM(K81:N81)</f>
        <v>0</v>
      </c>
      <c r="R81" s="817" t="n">
        <f aca="false">A81</f>
        <v>39326</v>
      </c>
      <c r="S81" s="807" t="n">
        <f aca="false">IF(ISERROR(VLOOKUP(R81,$AA$10:$AH$100,5,FALSE()))+ISERROR(VLOOKUP(R81,$AA$10:$AH$100,6,FALSE()))=0,VLOOKUP(R81,$AA$10:$AH$100,5,FALSE())+VLOOKUP(R81,$AA$10:$AH$100,6,FALSE()),0)</f>
        <v>0</v>
      </c>
      <c r="T81" s="807" t="n">
        <f aca="false">IF(ISERROR(VLOOKUP(R81,$AA$10:$AH$100,7,FALSE()))=FALSE(),VLOOKUP(R81,$AA$10:$AH$100,7,FALSE()),0)</f>
        <v>0</v>
      </c>
      <c r="U81" s="807" t="n">
        <f aca="false">IF(ISERROR(VLOOKUP(R81,$AA$10:$AH$100,8,FALSE()))=FALSE(),VLOOKUP(R81,$AA$10:$AH$100,8,FALSE()),0)</f>
        <v>0</v>
      </c>
      <c r="V81" s="807" t="n">
        <f aca="false">S81+T81+U81</f>
        <v>0</v>
      </c>
      <c r="W81" s="814" t="n">
        <f aca="false">[1]Cinergy!$F105</f>
        <v>0</v>
      </c>
      <c r="X81" s="807" t="n">
        <f aca="false">S81*W81</f>
        <v>0</v>
      </c>
      <c r="Y81" s="807" t="n">
        <f aca="false">T81*W81</f>
        <v>0</v>
      </c>
      <c r="Z81" s="807" t="n">
        <f aca="false">U81*W81</f>
        <v>0</v>
      </c>
      <c r="AA81" s="804" t="n">
        <v>38991</v>
      </c>
      <c r="AB81" s="815" t="n">
        <v>-62873.2488313406</v>
      </c>
      <c r="AC81" s="815" t="n">
        <v>-77853.9585978192</v>
      </c>
      <c r="AD81" s="815" t="n">
        <v>0</v>
      </c>
      <c r="AE81" s="815" t="n">
        <v>9640.26408345303</v>
      </c>
      <c r="AF81" s="815" t="n">
        <v>12153.3389746559</v>
      </c>
      <c r="AG81" s="815" t="n">
        <v>0</v>
      </c>
      <c r="AH81" s="815" t="n">
        <v>0</v>
      </c>
      <c r="AI81" s="804"/>
      <c r="AJ81" s="459"/>
      <c r="AK81" s="459"/>
      <c r="AL81" s="459"/>
      <c r="AN81" s="815"/>
      <c r="AO81" s="815"/>
    </row>
    <row r="82" customFormat="false" ht="12.75" hidden="false" customHeight="false" outlineLevel="0" collapsed="false">
      <c r="A82" s="817" t="n">
        <f aca="false">IF($B$5=1,[1]Cinergy!$D106,[1]Cinergy!$D107)</f>
        <v>39356</v>
      </c>
      <c r="B82" s="807" t="n">
        <f aca="false">IF(ISERROR(VLOOKUP(A82,$AA$10:$AH$100,2,FALSE()))+ISERROR(VLOOKUP(A82,$AA$10:$AH$100,3,FALSE()))=0,VLOOKUP(A82,$AA$10:$AH$100,2,FALSE())+VLOOKUP(A82,$AA$10:$AH$100,3,FALSE()),0)</f>
        <v>0</v>
      </c>
      <c r="C82" s="807" t="n">
        <f aca="false">IF(ISERROR(VLOOKUP(A82,$AA$10:$AH$100,4,FALSE()))=FALSE(),VLOOKUP(A82,$AA$10:$AH$100,4,FALSE()),0)</f>
        <v>0</v>
      </c>
      <c r="D82" s="818" t="n">
        <f aca="false">B82+C82</f>
        <v>0</v>
      </c>
      <c r="E82" s="807" t="n">
        <f aca="false">IF(ISERROR(VLOOKUP(A82,$AI$10:$AL$100,2,FALSE()))+ISERROR(VLOOKUP(A82,$AI$10:$AL$100,3,FALSE()))=0,VLOOKUP(A82,$AI$10:$AL$100,2,FALSE())+VLOOKUP(A82,$AI$10:$AL$100,3,FALSE()),0)</f>
        <v>0</v>
      </c>
      <c r="F82" s="807" t="n">
        <f aca="false">IF(ISERROR(VLOOKUP(A82,$AI$10:$AL$100,4,FALSE()))=FALSE(),VLOOKUP(A82,$AI$10:$AL$100,4,FALSE()),0)</f>
        <v>0</v>
      </c>
      <c r="G82" s="818" t="n">
        <f aca="false">F82+E82</f>
        <v>0</v>
      </c>
      <c r="H82" s="819" t="n">
        <f aca="false">VLOOKUP(A82,NymexData!$S$12:$T$128,2)</f>
        <v>3.436</v>
      </c>
      <c r="I82" s="820" t="n">
        <f aca="false">IF($I$7=1,NymexData!AN84,NymexData!X84)</f>
        <v>0</v>
      </c>
      <c r="J82" s="819" t="n">
        <f aca="false">IF($I$7=1,H82+I82,VLOOKUP(A82,NymexData!$AA$12:$AB$128,2))</f>
        <v>3.436</v>
      </c>
      <c r="K82" s="807" t="n">
        <f aca="false">B82*I82</f>
        <v>0</v>
      </c>
      <c r="L82" s="807" t="n">
        <f aca="false">C82*I82</f>
        <v>0</v>
      </c>
      <c r="M82" s="811" t="n">
        <f aca="false">E82*I82</f>
        <v>0</v>
      </c>
      <c r="N82" s="807" t="n">
        <f aca="false">F82*I82</f>
        <v>0</v>
      </c>
      <c r="O82" s="811" t="n">
        <f aca="false">SUM(K82:N82)</f>
        <v>0</v>
      </c>
      <c r="R82" s="817" t="n">
        <f aca="false">A82</f>
        <v>39356</v>
      </c>
      <c r="S82" s="807" t="n">
        <f aca="false">IF(ISERROR(VLOOKUP(R82,$AA$10:$AH$100,5,FALSE()))+ISERROR(VLOOKUP(R82,$AA$10:$AH$100,6,FALSE()))=0,VLOOKUP(R82,$AA$10:$AH$100,5,FALSE())+VLOOKUP(R82,$AA$10:$AH$100,6,FALSE()),0)</f>
        <v>0</v>
      </c>
      <c r="T82" s="807" t="n">
        <f aca="false">IF(ISERROR(VLOOKUP(R82,$AA$10:$AH$100,7,FALSE()))=FALSE(),VLOOKUP(R82,$AA$10:$AH$100,7,FALSE()),0)</f>
        <v>0</v>
      </c>
      <c r="U82" s="807" t="n">
        <f aca="false">IF(ISERROR(VLOOKUP(R82,$AA$10:$AH$100,8,FALSE()))=FALSE(),VLOOKUP(R82,$AA$10:$AH$100,8,FALSE()),0)</f>
        <v>0</v>
      </c>
      <c r="V82" s="807" t="n">
        <f aca="false">S82+T82+U82</f>
        <v>0</v>
      </c>
      <c r="W82" s="814" t="n">
        <f aca="false">[1]Cinergy!$F106</f>
        <v>-0.365001320838928</v>
      </c>
      <c r="X82" s="807" t="n">
        <f aca="false">S82*W82</f>
        <v>-0</v>
      </c>
      <c r="Y82" s="807" t="n">
        <f aca="false">T82*W82</f>
        <v>-0</v>
      </c>
      <c r="Z82" s="807" t="n">
        <f aca="false">U82*W82</f>
        <v>-0</v>
      </c>
      <c r="AA82" s="804" t="n">
        <v>39022</v>
      </c>
      <c r="AB82" s="815" t="n">
        <v>-935959.106110522</v>
      </c>
      <c r="AC82" s="815" t="n">
        <v>-1617421.24910536</v>
      </c>
      <c r="AD82" s="815" t="n">
        <v>0</v>
      </c>
      <c r="AE82" s="815" t="n">
        <v>17369.8876519788</v>
      </c>
      <c r="AF82" s="815" t="n">
        <v>27702.1525901585</v>
      </c>
      <c r="AG82" s="815" t="n">
        <v>0</v>
      </c>
      <c r="AH82" s="815" t="n">
        <v>0</v>
      </c>
      <c r="AI82" s="804"/>
      <c r="AJ82" s="459"/>
      <c r="AK82" s="459"/>
      <c r="AL82" s="459"/>
      <c r="AN82" s="815"/>
      <c r="AO82" s="815"/>
    </row>
    <row r="83" customFormat="false" ht="12.75" hidden="false" customHeight="false" outlineLevel="0" collapsed="false">
      <c r="A83" s="817" t="n">
        <f aca="false">IF($B$5=1,[1]Cinergy!$D107,[1]Cinergy!$D108)</f>
        <v>39387</v>
      </c>
      <c r="B83" s="807" t="n">
        <f aca="false">IF(ISERROR(VLOOKUP(A83,$AA$10:$AH$100,2,FALSE()))+ISERROR(VLOOKUP(A83,$AA$10:$AH$100,3,FALSE()))=0,VLOOKUP(A83,$AA$10:$AH$100,2,FALSE())+VLOOKUP(A83,$AA$10:$AH$100,3,FALSE()),0)</f>
        <v>0</v>
      </c>
      <c r="C83" s="807" t="n">
        <f aca="false">IF(ISERROR(VLOOKUP(A83,$AA$10:$AH$100,4,FALSE()))=FALSE(),VLOOKUP(A83,$AA$10:$AH$100,4,FALSE()),0)</f>
        <v>0</v>
      </c>
      <c r="D83" s="818" t="n">
        <f aca="false">B83+C83</f>
        <v>0</v>
      </c>
      <c r="E83" s="807" t="n">
        <f aca="false">IF(ISERROR(VLOOKUP(A83,$AI$10:$AL$100,2,FALSE()))+ISERROR(VLOOKUP(A83,$AI$10:$AL$100,3,FALSE()))=0,VLOOKUP(A83,$AI$10:$AL$100,2,FALSE())+VLOOKUP(A83,$AI$10:$AL$100,3,FALSE()),0)</f>
        <v>0</v>
      </c>
      <c r="F83" s="807" t="n">
        <f aca="false">IF(ISERROR(VLOOKUP(A83,$AI$10:$AL$100,4,FALSE()))=FALSE(),VLOOKUP(A83,$AI$10:$AL$100,4,FALSE()),0)</f>
        <v>0</v>
      </c>
      <c r="G83" s="818" t="n">
        <f aca="false">F83+E83</f>
        <v>0</v>
      </c>
      <c r="H83" s="819" t="n">
        <f aca="false">VLOOKUP(A83,NymexData!$S$12:$T$128,2)</f>
        <v>3.591</v>
      </c>
      <c r="I83" s="820" t="n">
        <f aca="false">IF($I$7=1,NymexData!AN85,NymexData!X85)</f>
        <v>0</v>
      </c>
      <c r="J83" s="819" t="n">
        <f aca="false">IF($I$7=1,H83+I83,VLOOKUP(A83,NymexData!$AA$12:$AB$128,2))</f>
        <v>3.591</v>
      </c>
      <c r="K83" s="807" t="n">
        <f aca="false">B83*I83</f>
        <v>0</v>
      </c>
      <c r="L83" s="807" t="n">
        <f aca="false">C83*I83</f>
        <v>0</v>
      </c>
      <c r="M83" s="811" t="n">
        <f aca="false">E83*I83</f>
        <v>0</v>
      </c>
      <c r="N83" s="807" t="n">
        <f aca="false">F83*I83</f>
        <v>0</v>
      </c>
      <c r="O83" s="811" t="n">
        <f aca="false">SUM(K83:N83)</f>
        <v>0</v>
      </c>
      <c r="R83" s="817" t="n">
        <f aca="false">A83</f>
        <v>39387</v>
      </c>
      <c r="S83" s="807" t="n">
        <f aca="false">IF(ISERROR(VLOOKUP(R83,$AA$10:$AH$100,5,FALSE()))+ISERROR(VLOOKUP(R83,$AA$10:$AH$100,6,FALSE()))=0,VLOOKUP(R83,$AA$10:$AH$100,5,FALSE())+VLOOKUP(R83,$AA$10:$AH$100,6,FALSE()),0)</f>
        <v>0</v>
      </c>
      <c r="T83" s="807" t="n">
        <f aca="false">IF(ISERROR(VLOOKUP(R83,$AA$10:$AH$100,7,FALSE()))=FALSE(),VLOOKUP(R83,$AA$10:$AH$100,7,FALSE()),0)</f>
        <v>0</v>
      </c>
      <c r="U83" s="807" t="n">
        <f aca="false">IF(ISERROR(VLOOKUP(R83,$AA$10:$AH$100,8,FALSE()))=FALSE(),VLOOKUP(R83,$AA$10:$AH$100,8,FALSE()),0)</f>
        <v>0</v>
      </c>
      <c r="V83" s="807" t="n">
        <f aca="false">S83+T83+U83</f>
        <v>0</v>
      </c>
      <c r="W83" s="814" t="n">
        <f aca="false">[1]Cinergy!$F107</f>
        <v>-0.365001320838928</v>
      </c>
      <c r="X83" s="807" t="n">
        <f aca="false">S83*W83</f>
        <v>-0</v>
      </c>
      <c r="Y83" s="807" t="n">
        <f aca="false">T83*W83</f>
        <v>-0</v>
      </c>
      <c r="Z83" s="807" t="n">
        <f aca="false">U83*W83</f>
        <v>-0</v>
      </c>
      <c r="AA83" s="804" t="n">
        <v>39052</v>
      </c>
      <c r="AB83" s="815" t="n">
        <v>-572826.261721832</v>
      </c>
      <c r="AC83" s="815" t="n">
        <v>-1023592.59825081</v>
      </c>
      <c r="AD83" s="815" t="n">
        <v>0</v>
      </c>
      <c r="AE83" s="815" t="n">
        <v>13620.291529465</v>
      </c>
      <c r="AF83" s="815" t="n">
        <v>22386.1640995214</v>
      </c>
      <c r="AG83" s="815" t="n">
        <v>0</v>
      </c>
      <c r="AH83" s="815" t="n">
        <v>0</v>
      </c>
      <c r="AI83" s="804"/>
      <c r="AJ83" s="459"/>
      <c r="AK83" s="459"/>
      <c r="AL83" s="459"/>
      <c r="AN83" s="815"/>
      <c r="AO83" s="815"/>
    </row>
    <row r="84" customFormat="false" ht="12.75" hidden="false" customHeight="false" outlineLevel="0" collapsed="false">
      <c r="A84" s="817" t="n">
        <f aca="false">IF($B$5=1,[1]Cinergy!$D108,[1]Cinergy!$D109)</f>
        <v>39417</v>
      </c>
      <c r="B84" s="807" t="n">
        <f aca="false">IF(ISERROR(VLOOKUP(A84,$AA$10:$AH$100,2,FALSE()))+ISERROR(VLOOKUP(A84,$AA$10:$AH$100,3,FALSE()))=0,VLOOKUP(A84,$AA$10:$AH$100,2,FALSE())+VLOOKUP(A84,$AA$10:$AH$100,3,FALSE()),0)</f>
        <v>0</v>
      </c>
      <c r="C84" s="807" t="n">
        <f aca="false">IF(ISERROR(VLOOKUP(A84,$AA$10:$AH$100,4,FALSE()))=FALSE(),VLOOKUP(A84,$AA$10:$AH$100,4,FALSE()),0)</f>
        <v>0</v>
      </c>
      <c r="D84" s="818" t="n">
        <f aca="false">B84+C84</f>
        <v>0</v>
      </c>
      <c r="E84" s="807" t="n">
        <f aca="false">IF(ISERROR(VLOOKUP(A84,$AI$10:$AL$100,2,FALSE()))+ISERROR(VLOOKUP(A84,$AI$10:$AL$100,3,FALSE()))=0,VLOOKUP(A84,$AI$10:$AL$100,2,FALSE())+VLOOKUP(A84,$AI$10:$AL$100,3,FALSE()),0)</f>
        <v>0</v>
      </c>
      <c r="F84" s="807" t="n">
        <f aca="false">IF(ISERROR(VLOOKUP(A84,$AI$10:$AL$100,4,FALSE()))=FALSE(),VLOOKUP(A84,$AI$10:$AL$100,4,FALSE()),0)</f>
        <v>0</v>
      </c>
      <c r="G84" s="818" t="n">
        <f aca="false">F84+E84</f>
        <v>0</v>
      </c>
      <c r="H84" s="819" t="n">
        <f aca="false">VLOOKUP(A84,NymexData!$S$12:$T$128,2)</f>
        <v>3.756</v>
      </c>
      <c r="I84" s="820" t="n">
        <f aca="false">IF($I$7=1,NymexData!AN86,NymexData!X86)</f>
        <v>0</v>
      </c>
      <c r="J84" s="819" t="n">
        <f aca="false">IF($I$7=1,H84+I84,VLOOKUP(A84,NymexData!$AA$12:$AB$128,2))</f>
        <v>3.756</v>
      </c>
      <c r="K84" s="807" t="n">
        <f aca="false">B84*I84</f>
        <v>0</v>
      </c>
      <c r="L84" s="807" t="n">
        <f aca="false">C84*I84</f>
        <v>0</v>
      </c>
      <c r="M84" s="811" t="n">
        <f aca="false">E84*I84</f>
        <v>0</v>
      </c>
      <c r="N84" s="807" t="n">
        <f aca="false">F84*I84</f>
        <v>0</v>
      </c>
      <c r="O84" s="811" t="n">
        <f aca="false">SUM(K84:N84)</f>
        <v>0</v>
      </c>
      <c r="R84" s="817" t="n">
        <f aca="false">A84</f>
        <v>39417</v>
      </c>
      <c r="S84" s="807" t="n">
        <f aca="false">IF(ISERROR(VLOOKUP(R84,$AA$10:$AH$100,5,FALSE()))+ISERROR(VLOOKUP(R84,$AA$10:$AH$100,6,FALSE()))=0,VLOOKUP(R84,$AA$10:$AH$100,5,FALSE())+VLOOKUP(R84,$AA$10:$AH$100,6,FALSE()),0)</f>
        <v>0</v>
      </c>
      <c r="T84" s="807" t="n">
        <f aca="false">IF(ISERROR(VLOOKUP(R84,$AA$10:$AH$100,7,FALSE()))=FALSE(),VLOOKUP(R84,$AA$10:$AH$100,7,FALSE()),0)</f>
        <v>0</v>
      </c>
      <c r="U84" s="807" t="n">
        <f aca="false">IF(ISERROR(VLOOKUP(R84,$AA$10:$AH$100,8,FALSE()))=FALSE(),VLOOKUP(R84,$AA$10:$AH$100,8,FALSE()),0)</f>
        <v>0</v>
      </c>
      <c r="V84" s="807" t="n">
        <f aca="false">S84+T84+U84</f>
        <v>0</v>
      </c>
      <c r="W84" s="814" t="n">
        <f aca="false">[1]Cinergy!$F108</f>
        <v>-0.365001320838928</v>
      </c>
      <c r="X84" s="807" t="n">
        <f aca="false">S84*W84</f>
        <v>-0</v>
      </c>
      <c r="Y84" s="807" t="n">
        <f aca="false">T84*W84</f>
        <v>-0</v>
      </c>
      <c r="Z84" s="807" t="n">
        <f aca="false">U84*W84</f>
        <v>-0</v>
      </c>
      <c r="AA84" s="804"/>
      <c r="AB84" s="815" t="n">
        <v>-39208672.800354</v>
      </c>
      <c r="AC84" s="815" t="n">
        <v>-51217729.1103064</v>
      </c>
      <c r="AD84" s="815" t="n">
        <v>73889.3436000001</v>
      </c>
      <c r="AE84" s="815" t="n">
        <v>2787670.36639183</v>
      </c>
      <c r="AF84" s="815" t="n">
        <v>3457951.25358047</v>
      </c>
      <c r="AG84" s="815" t="n">
        <v>-2007007.40853953</v>
      </c>
      <c r="AH84" s="815" t="n">
        <v>-64294.5563547243</v>
      </c>
      <c r="AI84" s="804"/>
      <c r="AJ84" s="459"/>
      <c r="AK84" s="459"/>
      <c r="AL84" s="459"/>
      <c r="AN84" s="815"/>
      <c r="AO84" s="815"/>
    </row>
    <row r="85" customFormat="false" ht="12.75" hidden="false" customHeight="false" outlineLevel="0" collapsed="false">
      <c r="A85" s="817" t="n">
        <f aca="false">IF($B$5=1,[1]Cinergy!$D109,[1]Cinergy!$D110)</f>
        <v>39448</v>
      </c>
      <c r="B85" s="807" t="n">
        <f aca="false">IF(ISERROR(VLOOKUP(A85,$AA$10:$AH$100,2,FALSE()))+ISERROR(VLOOKUP(A85,$AA$10:$AH$100,3,FALSE()))=0,VLOOKUP(A85,$AA$10:$AH$100,2,FALSE())+VLOOKUP(A85,$AA$10:$AH$100,3,FALSE()),0)</f>
        <v>0</v>
      </c>
      <c r="C85" s="807" t="n">
        <f aca="false">IF(ISERROR(VLOOKUP(A85,$AA$10:$AH$100,4,FALSE()))=FALSE(),VLOOKUP(A85,$AA$10:$AH$100,4,FALSE()),0)</f>
        <v>0</v>
      </c>
      <c r="D85" s="818" t="n">
        <f aca="false">B85+C85</f>
        <v>0</v>
      </c>
      <c r="E85" s="807" t="n">
        <f aca="false">IF(ISERROR(VLOOKUP(A85,$AI$10:$AL$100,2,FALSE()))+ISERROR(VLOOKUP(A85,$AI$10:$AL$100,3,FALSE()))=0,VLOOKUP(A85,$AI$10:$AL$100,2,FALSE())+VLOOKUP(A85,$AI$10:$AL$100,3,FALSE()),0)</f>
        <v>0</v>
      </c>
      <c r="F85" s="807" t="n">
        <f aca="false">IF(ISERROR(VLOOKUP(A85,$AI$10:$AL$100,4,FALSE()))=FALSE(),VLOOKUP(A85,$AI$10:$AL$100,4,FALSE()),0)</f>
        <v>0</v>
      </c>
      <c r="G85" s="818" t="n">
        <f aca="false">F85+E85</f>
        <v>0</v>
      </c>
      <c r="H85" s="819" t="n">
        <f aca="false">VLOOKUP(A85,NymexData!$S$12:$T$128,2)</f>
        <v>3.826</v>
      </c>
      <c r="I85" s="820" t="n">
        <f aca="false">IF($I$7=1,NymexData!AN87,NymexData!X87)</f>
        <v>0</v>
      </c>
      <c r="J85" s="819" t="n">
        <f aca="false">IF($I$7=1,H85+I85,VLOOKUP(A85,NymexData!$AA$12:$AB$128,2))</f>
        <v>3.826</v>
      </c>
      <c r="K85" s="807" t="n">
        <f aca="false">B85*I85</f>
        <v>0</v>
      </c>
      <c r="L85" s="807" t="n">
        <f aca="false">C85*I85</f>
        <v>0</v>
      </c>
      <c r="M85" s="811" t="n">
        <f aca="false">E85*I85</f>
        <v>0</v>
      </c>
      <c r="N85" s="807" t="n">
        <f aca="false">F85*I85</f>
        <v>0</v>
      </c>
      <c r="O85" s="811" t="n">
        <f aca="false">SUM(K85:N85)</f>
        <v>0</v>
      </c>
      <c r="R85" s="817" t="n">
        <f aca="false">A85</f>
        <v>39448</v>
      </c>
      <c r="S85" s="807" t="n">
        <f aca="false">IF(ISERROR(VLOOKUP(R85,$AA$10:$AH$100,5,FALSE()))+ISERROR(VLOOKUP(R85,$AA$10:$AH$100,6,FALSE()))=0,VLOOKUP(R85,$AA$10:$AH$100,5,FALSE())+VLOOKUP(R85,$AA$10:$AH$100,6,FALSE()),0)</f>
        <v>0</v>
      </c>
      <c r="T85" s="807" t="n">
        <f aca="false">IF(ISERROR(VLOOKUP(R85,$AA$10:$AH$100,7,FALSE()))=FALSE(),VLOOKUP(R85,$AA$10:$AH$100,7,FALSE()),0)</f>
        <v>0</v>
      </c>
      <c r="U85" s="807" t="n">
        <f aca="false">IF(ISERROR(VLOOKUP(R85,$AA$10:$AH$100,8,FALSE()))=FALSE(),VLOOKUP(R85,$AA$10:$AH$100,8,FALSE()),0)</f>
        <v>0</v>
      </c>
      <c r="V85" s="807" t="n">
        <f aca="false">S85+T85+U85</f>
        <v>0</v>
      </c>
      <c r="W85" s="814" t="n">
        <f aca="false">[1]Cinergy!$F109</f>
        <v>1.81652250574871E-007</v>
      </c>
      <c r="X85" s="807" t="n">
        <f aca="false">S85*W85</f>
        <v>0</v>
      </c>
      <c r="Y85" s="807" t="n">
        <f aca="false">T85*W85</f>
        <v>0</v>
      </c>
      <c r="Z85" s="807" t="n">
        <f aca="false">U85*W85</f>
        <v>0</v>
      </c>
      <c r="AA85" s="804"/>
      <c r="AB85" s="815"/>
      <c r="AC85" s="815"/>
      <c r="AD85" s="815"/>
      <c r="AE85" s="815"/>
      <c r="AF85" s="815"/>
      <c r="AG85" s="815"/>
      <c r="AH85" s="815"/>
      <c r="AI85" s="804"/>
      <c r="AJ85" s="459"/>
      <c r="AK85" s="459"/>
      <c r="AL85" s="459"/>
      <c r="AN85" s="815"/>
      <c r="AO85" s="815"/>
    </row>
    <row r="86" customFormat="false" ht="12.75" hidden="false" customHeight="false" outlineLevel="0" collapsed="false">
      <c r="A86" s="817" t="n">
        <f aca="false">IF($B$5=1,[1]Cinergy!$D110,[1]Cinergy!$D111)</f>
        <v>39479</v>
      </c>
      <c r="B86" s="807" t="n">
        <f aca="false">IF(ISERROR(VLOOKUP(A86,$AA$10:$AH$100,2,FALSE()))+ISERROR(VLOOKUP(A86,$AA$10:$AH$100,3,FALSE()))=0,VLOOKUP(A86,$AA$10:$AH$100,2,FALSE())+VLOOKUP(A86,$AA$10:$AH$100,3,FALSE()),0)</f>
        <v>0</v>
      </c>
      <c r="C86" s="807" t="n">
        <f aca="false">IF(ISERROR(VLOOKUP(A86,$AA$10:$AH$100,4,FALSE()))=FALSE(),VLOOKUP(A86,$AA$10:$AH$100,4,FALSE()),0)</f>
        <v>0</v>
      </c>
      <c r="D86" s="818" t="n">
        <f aca="false">B86+C86</f>
        <v>0</v>
      </c>
      <c r="E86" s="807" t="n">
        <f aca="false">IF(ISERROR(VLOOKUP(A86,$AI$10:$AL$100,2,FALSE()))+ISERROR(VLOOKUP(A86,$AI$10:$AL$100,3,FALSE()))=0,VLOOKUP(A86,$AI$10:$AL$100,2,FALSE())+VLOOKUP(A86,$AI$10:$AL$100,3,FALSE()),0)</f>
        <v>0</v>
      </c>
      <c r="F86" s="807" t="n">
        <f aca="false">IF(ISERROR(VLOOKUP(A86,$AI$10:$AL$100,4,FALSE()))=FALSE(),VLOOKUP(A86,$AI$10:$AL$100,4,FALSE()),0)</f>
        <v>0</v>
      </c>
      <c r="G86" s="818" t="n">
        <f aca="false">F86+E86</f>
        <v>0</v>
      </c>
      <c r="H86" s="819" t="n">
        <f aca="false">VLOOKUP(A86,NymexData!$S$12:$T$128,2)</f>
        <v>3.712</v>
      </c>
      <c r="I86" s="820" t="n">
        <f aca="false">IF($I$7=1,NymexData!AN88,NymexData!X88)</f>
        <v>0</v>
      </c>
      <c r="J86" s="819" t="n">
        <f aca="false">IF($I$7=1,H86+I86,VLOOKUP(A86,NymexData!$AA$12:$AB$128,2))</f>
        <v>3.712</v>
      </c>
      <c r="K86" s="807" t="n">
        <f aca="false">B86*I86</f>
        <v>0</v>
      </c>
      <c r="L86" s="807" t="n">
        <f aca="false">C86*I86</f>
        <v>0</v>
      </c>
      <c r="M86" s="811" t="n">
        <f aca="false">E86*I86</f>
        <v>0</v>
      </c>
      <c r="N86" s="807" t="n">
        <f aca="false">F86*I86</f>
        <v>0</v>
      </c>
      <c r="O86" s="811" t="n">
        <f aca="false">SUM(K86:N86)</f>
        <v>0</v>
      </c>
      <c r="R86" s="817" t="n">
        <f aca="false">A86</f>
        <v>39479</v>
      </c>
      <c r="S86" s="807" t="n">
        <f aca="false">IF(ISERROR(VLOOKUP(R86,$AA$10:$AH$100,5,FALSE()))+ISERROR(VLOOKUP(R86,$AA$10:$AH$100,6,FALSE()))=0,VLOOKUP(R86,$AA$10:$AH$100,5,FALSE())+VLOOKUP(R86,$AA$10:$AH$100,6,FALSE()),0)</f>
        <v>0</v>
      </c>
      <c r="T86" s="807" t="n">
        <f aca="false">IF(ISERROR(VLOOKUP(R86,$AA$10:$AH$100,7,FALSE()))=FALSE(),VLOOKUP(R86,$AA$10:$AH$100,7,FALSE()),0)</f>
        <v>0</v>
      </c>
      <c r="U86" s="807" t="n">
        <f aca="false">IF(ISERROR(VLOOKUP(R86,$AA$10:$AH$100,8,FALSE()))=FALSE(),VLOOKUP(R86,$AA$10:$AH$100,8,FALSE()),0)</f>
        <v>0</v>
      </c>
      <c r="V86" s="807" t="n">
        <f aca="false">S86+T86+U86</f>
        <v>0</v>
      </c>
      <c r="W86" s="814" t="n">
        <f aca="false">[1]Cinergy!$F110</f>
        <v>1.81652250574871E-007</v>
      </c>
      <c r="X86" s="807" t="n">
        <f aca="false">S86*W86</f>
        <v>0</v>
      </c>
      <c r="Y86" s="807" t="n">
        <f aca="false">T86*W86</f>
        <v>0</v>
      </c>
      <c r="Z86" s="807" t="n">
        <f aca="false">U86*W86</f>
        <v>0</v>
      </c>
      <c r="AA86" s="804"/>
      <c r="AB86" s="815"/>
      <c r="AC86" s="815"/>
      <c r="AD86" s="815"/>
      <c r="AE86" s="815"/>
      <c r="AF86" s="815"/>
      <c r="AG86" s="815"/>
      <c r="AH86" s="815"/>
      <c r="AI86" s="804"/>
      <c r="AJ86" s="459"/>
      <c r="AK86" s="459"/>
      <c r="AL86" s="459"/>
      <c r="AN86" s="815"/>
      <c r="AO86" s="815"/>
    </row>
    <row r="87" customFormat="false" ht="12.75" hidden="false" customHeight="false" outlineLevel="0" collapsed="false">
      <c r="A87" s="817" t="n">
        <f aca="false">IF($B$5=1,[1]Cinergy!$D111,[1]Cinergy!$D112)</f>
        <v>39508</v>
      </c>
      <c r="B87" s="807" t="n">
        <f aca="false">IF(ISERROR(VLOOKUP(A87,$AA$10:$AH$100,2,FALSE()))+ISERROR(VLOOKUP(A87,$AA$10:$AH$100,3,FALSE()))=0,VLOOKUP(A87,$AA$10:$AH$100,2,FALSE())+VLOOKUP(A87,$AA$10:$AH$100,3,FALSE()),0)</f>
        <v>0</v>
      </c>
      <c r="C87" s="807" t="n">
        <f aca="false">IF(ISERROR(VLOOKUP(A87,$AA$10:$AH$100,4,FALSE()))=FALSE(),VLOOKUP(A87,$AA$10:$AH$100,4,FALSE()),0)</f>
        <v>0</v>
      </c>
      <c r="D87" s="818" t="n">
        <f aca="false">B87+C87</f>
        <v>0</v>
      </c>
      <c r="E87" s="807" t="n">
        <f aca="false">IF(ISERROR(VLOOKUP(A87,$AI$10:$AL$100,2,FALSE()))+ISERROR(VLOOKUP(A87,$AI$10:$AL$100,3,FALSE()))=0,VLOOKUP(A87,$AI$10:$AL$100,2,FALSE())+VLOOKUP(A87,$AI$10:$AL$100,3,FALSE()),0)</f>
        <v>0</v>
      </c>
      <c r="F87" s="807" t="n">
        <f aca="false">IF(ISERROR(VLOOKUP(A87,$AI$10:$AL$100,4,FALSE()))=FALSE(),VLOOKUP(A87,$AI$10:$AL$100,4,FALSE()),0)</f>
        <v>0</v>
      </c>
      <c r="G87" s="818" t="n">
        <f aca="false">F87+E87</f>
        <v>0</v>
      </c>
      <c r="H87" s="819" t="n">
        <f aca="false">VLOOKUP(A87,NymexData!$S$12:$T$128,2)</f>
        <v>3.58</v>
      </c>
      <c r="I87" s="820" t="n">
        <f aca="false">IF($I$7=1,NymexData!AN89,NymexData!X89)</f>
        <v>0</v>
      </c>
      <c r="J87" s="819" t="n">
        <f aca="false">IF($I$7=1,H87+I87,VLOOKUP(A87,NymexData!$AA$12:$AB$128,2))</f>
        <v>3.58</v>
      </c>
      <c r="K87" s="807" t="n">
        <f aca="false">B87*I87</f>
        <v>0</v>
      </c>
      <c r="L87" s="807" t="n">
        <f aca="false">C87*I87</f>
        <v>0</v>
      </c>
      <c r="M87" s="811" t="n">
        <f aca="false">E87*I87</f>
        <v>0</v>
      </c>
      <c r="N87" s="807" t="n">
        <f aca="false">F87*I87</f>
        <v>0</v>
      </c>
      <c r="O87" s="811" t="n">
        <f aca="false">SUM(K87:N87)</f>
        <v>0</v>
      </c>
      <c r="R87" s="817" t="n">
        <f aca="false">A87</f>
        <v>39508</v>
      </c>
      <c r="S87" s="807" t="n">
        <f aca="false">IF(ISERROR(VLOOKUP(R87,$AA$10:$AH$100,5,FALSE()))+ISERROR(VLOOKUP(R87,$AA$10:$AH$100,6,FALSE()))=0,VLOOKUP(R87,$AA$10:$AH$100,5,FALSE())+VLOOKUP(R87,$AA$10:$AH$100,6,FALSE()),0)</f>
        <v>0</v>
      </c>
      <c r="T87" s="807" t="n">
        <f aca="false">IF(ISERROR(VLOOKUP(R87,$AA$10:$AH$100,7,FALSE()))=FALSE(),VLOOKUP(R87,$AA$10:$AH$100,7,FALSE()),0)</f>
        <v>0</v>
      </c>
      <c r="U87" s="807" t="n">
        <f aca="false">IF(ISERROR(VLOOKUP(R87,$AA$10:$AH$100,8,FALSE()))=FALSE(),VLOOKUP(R87,$AA$10:$AH$100,8,FALSE()),0)</f>
        <v>0</v>
      </c>
      <c r="V87" s="807" t="n">
        <f aca="false">S87+T87+U87</f>
        <v>0</v>
      </c>
      <c r="W87" s="814" t="n">
        <f aca="false">[1]Cinergy!$F111</f>
        <v>-0.250000443569448</v>
      </c>
      <c r="X87" s="807" t="n">
        <f aca="false">S87*W87</f>
        <v>-0</v>
      </c>
      <c r="Y87" s="807" t="n">
        <f aca="false">T87*W87</f>
        <v>-0</v>
      </c>
      <c r="Z87" s="807" t="n">
        <f aca="false">U87*W87</f>
        <v>-0</v>
      </c>
      <c r="AA87" s="804"/>
      <c r="AB87" s="815"/>
      <c r="AC87" s="815"/>
      <c r="AD87" s="815"/>
      <c r="AE87" s="815"/>
      <c r="AF87" s="815"/>
      <c r="AG87" s="815"/>
      <c r="AH87" s="815"/>
      <c r="AI87" s="804"/>
      <c r="AJ87" s="459"/>
      <c r="AK87" s="459"/>
      <c r="AL87" s="459"/>
      <c r="AN87" s="815"/>
      <c r="AO87" s="815"/>
    </row>
    <row r="88" customFormat="false" ht="12.75" hidden="false" customHeight="false" outlineLevel="0" collapsed="false">
      <c r="A88" s="817" t="n">
        <f aca="false">IF($B$5=1,[1]Cinergy!$D112,[1]Cinergy!$D113)</f>
        <v>39539</v>
      </c>
      <c r="B88" s="807" t="n">
        <f aca="false">IF(ISERROR(VLOOKUP(A88,$AA$10:$AH$100,2,FALSE()))+ISERROR(VLOOKUP(A88,$AA$10:$AH$100,3,FALSE()))=0,VLOOKUP(A88,$AA$10:$AH$100,2,FALSE())+VLOOKUP(A88,$AA$10:$AH$100,3,FALSE()),0)</f>
        <v>0</v>
      </c>
      <c r="C88" s="807" t="n">
        <f aca="false">IF(ISERROR(VLOOKUP(A88,$AA$10:$AH$100,4,FALSE()))=FALSE(),VLOOKUP(A88,$AA$10:$AH$100,4,FALSE()),0)</f>
        <v>0</v>
      </c>
      <c r="D88" s="818" t="n">
        <f aca="false">B88+C88</f>
        <v>0</v>
      </c>
      <c r="E88" s="807" t="n">
        <f aca="false">IF(ISERROR(VLOOKUP(A88,$AI$10:$AL$100,2,FALSE()))+ISERROR(VLOOKUP(A88,$AI$10:$AL$100,3,FALSE()))=0,VLOOKUP(A88,$AI$10:$AL$100,2,FALSE())+VLOOKUP(A88,$AI$10:$AL$100,3,FALSE()),0)</f>
        <v>0</v>
      </c>
      <c r="F88" s="807" t="n">
        <f aca="false">IF(ISERROR(VLOOKUP(A88,$AI$10:$AL$100,4,FALSE()))=FALSE(),VLOOKUP(A88,$AI$10:$AL$100,4,FALSE()),0)</f>
        <v>0</v>
      </c>
      <c r="G88" s="818" t="n">
        <f aca="false">F88+E88</f>
        <v>0</v>
      </c>
      <c r="H88" s="819" t="n">
        <f aca="false">VLOOKUP(A88,NymexData!$S$12:$T$128,2)</f>
        <v>3.382</v>
      </c>
      <c r="I88" s="820" t="n">
        <f aca="false">IF($I$7=1,NymexData!AN90,NymexData!X90)</f>
        <v>0</v>
      </c>
      <c r="J88" s="819" t="n">
        <f aca="false">IF($I$7=1,H88+I88,VLOOKUP(A88,NymexData!$AA$12:$AB$128,2))</f>
        <v>3.382</v>
      </c>
      <c r="K88" s="807" t="n">
        <f aca="false">B88*I88</f>
        <v>0</v>
      </c>
      <c r="L88" s="807" t="n">
        <f aca="false">C88*I88</f>
        <v>0</v>
      </c>
      <c r="M88" s="811" t="n">
        <f aca="false">E88*I88</f>
        <v>0</v>
      </c>
      <c r="N88" s="807" t="n">
        <f aca="false">F88*I88</f>
        <v>0</v>
      </c>
      <c r="O88" s="811" t="n">
        <f aca="false">SUM(K88:N88)</f>
        <v>0</v>
      </c>
      <c r="R88" s="817" t="n">
        <f aca="false">A88</f>
        <v>39539</v>
      </c>
      <c r="S88" s="807" t="n">
        <f aca="false">IF(ISERROR(VLOOKUP(R88,$AA$10:$AH$100,5,FALSE()))+ISERROR(VLOOKUP(R88,$AA$10:$AH$100,6,FALSE()))=0,VLOOKUP(R88,$AA$10:$AH$100,5,FALSE())+VLOOKUP(R88,$AA$10:$AH$100,6,FALSE()),0)</f>
        <v>0</v>
      </c>
      <c r="T88" s="807" t="n">
        <f aca="false">IF(ISERROR(VLOOKUP(R88,$AA$10:$AH$100,7,FALSE()))=FALSE(),VLOOKUP(R88,$AA$10:$AH$100,7,FALSE()),0)</f>
        <v>0</v>
      </c>
      <c r="U88" s="807" t="n">
        <f aca="false">IF(ISERROR(VLOOKUP(R88,$AA$10:$AH$100,8,FALSE()))=FALSE(),VLOOKUP(R88,$AA$10:$AH$100,8,FALSE()),0)</f>
        <v>0</v>
      </c>
      <c r="V88" s="807" t="n">
        <f aca="false">S88+T88+U88</f>
        <v>0</v>
      </c>
      <c r="W88" s="814" t="n">
        <f aca="false">[1]Cinergy!$F112</f>
        <v>-0.250000443569448</v>
      </c>
      <c r="X88" s="807" t="n">
        <f aca="false">S88*W88</f>
        <v>-0</v>
      </c>
      <c r="Y88" s="807" t="n">
        <f aca="false">T88*W88</f>
        <v>-0</v>
      </c>
      <c r="Z88" s="807" t="n">
        <f aca="false">U88*W88</f>
        <v>-0</v>
      </c>
      <c r="AA88" s="804"/>
      <c r="AB88" s="815"/>
      <c r="AC88" s="815"/>
      <c r="AD88" s="815"/>
      <c r="AE88" s="815"/>
      <c r="AF88" s="815"/>
      <c r="AG88" s="815"/>
      <c r="AH88" s="815"/>
      <c r="AI88" s="804"/>
      <c r="AJ88" s="459"/>
      <c r="AK88" s="459"/>
      <c r="AL88" s="459"/>
      <c r="AN88" s="815"/>
      <c r="AO88" s="815"/>
    </row>
    <row r="89" customFormat="false" ht="12.75" hidden="false" customHeight="false" outlineLevel="0" collapsed="false">
      <c r="A89" s="817" t="n">
        <f aca="false">IF($B$5=1,[1]Cinergy!$D113,[1]Cinergy!$D114)</f>
        <v>39569</v>
      </c>
      <c r="B89" s="807" t="n">
        <f aca="false">IF(ISERROR(VLOOKUP(A89,$AA$10:$AH$100,2,FALSE()))+ISERROR(VLOOKUP(A89,$AA$10:$AH$100,3,FALSE()))=0,VLOOKUP(A89,$AA$10:$AH$100,2,FALSE())+VLOOKUP(A89,$AA$10:$AH$100,3,FALSE()),0)</f>
        <v>0</v>
      </c>
      <c r="C89" s="807" t="n">
        <f aca="false">IF(ISERROR(VLOOKUP(A89,$AA$10:$AH$100,4,FALSE()))=FALSE(),VLOOKUP(A89,$AA$10:$AH$100,4,FALSE()),0)</f>
        <v>0</v>
      </c>
      <c r="D89" s="818" t="n">
        <f aca="false">B89+C89</f>
        <v>0</v>
      </c>
      <c r="E89" s="807" t="n">
        <f aca="false">IF(ISERROR(VLOOKUP(A89,$AI$10:$AL$100,2,FALSE()))+ISERROR(VLOOKUP(A89,$AI$10:$AL$100,3,FALSE()))=0,VLOOKUP(A89,$AI$10:$AL$100,2,FALSE())+VLOOKUP(A89,$AI$10:$AL$100,3,FALSE()),0)</f>
        <v>0</v>
      </c>
      <c r="F89" s="807" t="n">
        <f aca="false">IF(ISERROR(VLOOKUP(A89,$AI$10:$AL$100,4,FALSE()))=FALSE(),VLOOKUP(A89,$AI$10:$AL$100,4,FALSE()),0)</f>
        <v>0</v>
      </c>
      <c r="G89" s="818" t="n">
        <f aca="false">F89+E89</f>
        <v>0</v>
      </c>
      <c r="H89" s="819" t="n">
        <f aca="false">VLOOKUP(A89,NymexData!$S$12:$T$128,2)</f>
        <v>3.378</v>
      </c>
      <c r="I89" s="820" t="n">
        <f aca="false">IF($I$7=1,NymexData!AN91,NymexData!X91)</f>
        <v>0</v>
      </c>
      <c r="J89" s="819" t="n">
        <f aca="false">IF($I$7=1,H89+I89,VLOOKUP(A89,NymexData!$AA$12:$AB$128,2))</f>
        <v>3.378</v>
      </c>
      <c r="K89" s="807" t="n">
        <f aca="false">B89*I89</f>
        <v>0</v>
      </c>
      <c r="L89" s="807" t="n">
        <f aca="false">C89*I89</f>
        <v>0</v>
      </c>
      <c r="M89" s="811" t="n">
        <f aca="false">E89*I89</f>
        <v>0</v>
      </c>
      <c r="N89" s="807" t="n">
        <f aca="false">F89*I89</f>
        <v>0</v>
      </c>
      <c r="O89" s="811" t="n">
        <f aca="false">SUM(K89:N89)</f>
        <v>0</v>
      </c>
      <c r="R89" s="817" t="n">
        <f aca="false">A89</f>
        <v>39569</v>
      </c>
      <c r="S89" s="807" t="n">
        <f aca="false">IF(ISERROR(VLOOKUP(R89,$AA$10:$AH$100,5,FALSE()))+ISERROR(VLOOKUP(R89,$AA$10:$AH$100,6,FALSE()))=0,VLOOKUP(R89,$AA$10:$AH$100,5,FALSE())+VLOOKUP(R89,$AA$10:$AH$100,6,FALSE()),0)</f>
        <v>0</v>
      </c>
      <c r="T89" s="807" t="n">
        <f aca="false">IF(ISERROR(VLOOKUP(R89,$AA$10:$AH$100,7,FALSE()))=FALSE(),VLOOKUP(R89,$AA$10:$AH$100,7,FALSE()),0)</f>
        <v>0</v>
      </c>
      <c r="U89" s="807" t="n">
        <f aca="false">IF(ISERROR(VLOOKUP(R89,$AA$10:$AH$100,8,FALSE()))=FALSE(),VLOOKUP(R89,$AA$10:$AH$100,8,FALSE()),0)</f>
        <v>0</v>
      </c>
      <c r="V89" s="807" t="n">
        <f aca="false">S89+T89+U89</f>
        <v>0</v>
      </c>
      <c r="W89" s="814" t="n">
        <f aca="false">[1]Cinergy!$F113</f>
        <v>0</v>
      </c>
      <c r="X89" s="807" t="n">
        <f aca="false">S89*W89</f>
        <v>0</v>
      </c>
      <c r="Y89" s="807" t="n">
        <f aca="false">T89*W89</f>
        <v>0</v>
      </c>
      <c r="Z89" s="807" t="n">
        <f aca="false">U89*W89</f>
        <v>0</v>
      </c>
      <c r="AA89" s="804"/>
      <c r="AB89" s="815"/>
      <c r="AC89" s="815"/>
      <c r="AD89" s="815"/>
      <c r="AE89" s="815"/>
      <c r="AF89" s="815"/>
      <c r="AG89" s="815"/>
      <c r="AH89" s="815"/>
      <c r="AI89" s="804"/>
      <c r="AJ89" s="459"/>
      <c r="AK89" s="459"/>
      <c r="AL89" s="459"/>
      <c r="AN89" s="815"/>
      <c r="AO89" s="815"/>
    </row>
    <row r="90" customFormat="false" ht="12.75" hidden="false" customHeight="false" outlineLevel="0" collapsed="false">
      <c r="A90" s="817" t="n">
        <f aca="false">IF($B$5=1,[1]Cinergy!$D114,[1]Cinergy!$D115)</f>
        <v>39600</v>
      </c>
      <c r="B90" s="807" t="n">
        <f aca="false">IF(ISERROR(VLOOKUP(A90,$AA$10:$AH$100,2,FALSE()))+ISERROR(VLOOKUP(A90,$AA$10:$AH$100,3,FALSE()))=0,VLOOKUP(A90,$AA$10:$AH$100,2,FALSE())+VLOOKUP(A90,$AA$10:$AH$100,3,FALSE()),0)</f>
        <v>0</v>
      </c>
      <c r="C90" s="807" t="n">
        <f aca="false">IF(ISERROR(VLOOKUP(A90,$AA$10:$AH$100,4,FALSE()))=FALSE(),VLOOKUP(A90,$AA$10:$AH$100,4,FALSE()),0)</f>
        <v>0</v>
      </c>
      <c r="D90" s="818" t="n">
        <f aca="false">B90+C90</f>
        <v>0</v>
      </c>
      <c r="E90" s="807" t="n">
        <f aca="false">IF(ISERROR(VLOOKUP(A90,$AI$10:$AL$100,2,FALSE()))+ISERROR(VLOOKUP(A90,$AI$10:$AL$100,3,FALSE()))=0,VLOOKUP(A90,$AI$10:$AL$100,2,FALSE())+VLOOKUP(A90,$AI$10:$AL$100,3,FALSE()),0)</f>
        <v>0</v>
      </c>
      <c r="F90" s="807" t="n">
        <f aca="false">IF(ISERROR(VLOOKUP(A90,$AI$10:$AL$100,4,FALSE()))=FALSE(),VLOOKUP(A90,$AI$10:$AL$100,4,FALSE()),0)</f>
        <v>0</v>
      </c>
      <c r="G90" s="818" t="n">
        <f aca="false">F90+E90</f>
        <v>0</v>
      </c>
      <c r="H90" s="819" t="n">
        <f aca="false">VLOOKUP(A90,NymexData!$S$12:$T$128,2)</f>
        <v>3.41</v>
      </c>
      <c r="I90" s="820" t="n">
        <f aca="false">IF($I$7=1,NymexData!AN92,NymexData!X92)</f>
        <v>0</v>
      </c>
      <c r="J90" s="819" t="n">
        <f aca="false">IF($I$7=1,H90+I90,VLOOKUP(A90,NymexData!$AA$12:$AB$128,2))</f>
        <v>3.41</v>
      </c>
      <c r="K90" s="807" t="n">
        <f aca="false">B90*I90</f>
        <v>0</v>
      </c>
      <c r="L90" s="807" t="n">
        <f aca="false">C90*I90</f>
        <v>0</v>
      </c>
      <c r="M90" s="811" t="n">
        <f aca="false">E90*I90</f>
        <v>0</v>
      </c>
      <c r="N90" s="807" t="n">
        <f aca="false">F90*I90</f>
        <v>0</v>
      </c>
      <c r="O90" s="811" t="n">
        <f aca="false">SUM(K90:N90)</f>
        <v>0</v>
      </c>
      <c r="R90" s="817" t="n">
        <f aca="false">A90</f>
        <v>39600</v>
      </c>
      <c r="S90" s="807" t="n">
        <f aca="false">IF(ISERROR(VLOOKUP(R90,$AA$10:$AH$100,5,FALSE()))+ISERROR(VLOOKUP(R90,$AA$10:$AH$100,6,FALSE()))=0,VLOOKUP(R90,$AA$10:$AH$100,5,FALSE())+VLOOKUP(R90,$AA$10:$AH$100,6,FALSE()),0)</f>
        <v>0</v>
      </c>
      <c r="T90" s="807" t="n">
        <f aca="false">IF(ISERROR(VLOOKUP(R90,$AA$10:$AH$100,7,FALSE()))=FALSE(),VLOOKUP(R90,$AA$10:$AH$100,7,FALSE()),0)</f>
        <v>0</v>
      </c>
      <c r="U90" s="807" t="n">
        <f aca="false">IF(ISERROR(VLOOKUP(R90,$AA$10:$AH$100,8,FALSE()))=FALSE(),VLOOKUP(R90,$AA$10:$AH$100,8,FALSE()),0)</f>
        <v>0</v>
      </c>
      <c r="V90" s="807" t="n">
        <f aca="false">S90+T90+U90</f>
        <v>0</v>
      </c>
      <c r="W90" s="814" t="n">
        <f aca="false">[1]Cinergy!$F114</f>
        <v>-0.5</v>
      </c>
      <c r="X90" s="807" t="n">
        <f aca="false">S90*W90</f>
        <v>-0</v>
      </c>
      <c r="Y90" s="807" t="n">
        <f aca="false">T90*W90</f>
        <v>-0</v>
      </c>
      <c r="Z90" s="807" t="n">
        <f aca="false">U90*W90</f>
        <v>-0</v>
      </c>
      <c r="AA90" s="804"/>
      <c r="AB90" s="815"/>
      <c r="AC90" s="815"/>
      <c r="AD90" s="815"/>
      <c r="AE90" s="459"/>
      <c r="AF90" s="459"/>
      <c r="AG90" s="459"/>
      <c r="AH90" s="459"/>
      <c r="AI90" s="804"/>
      <c r="AJ90" s="459"/>
      <c r="AK90" s="459"/>
      <c r="AL90" s="459"/>
      <c r="AN90" s="459"/>
      <c r="AO90" s="459"/>
    </row>
    <row r="91" customFormat="false" ht="12.75" hidden="false" customHeight="false" outlineLevel="0" collapsed="false">
      <c r="A91" s="817" t="n">
        <f aca="false">IF($B$5=1,[1]Cinergy!$D115,[1]Cinergy!$D116)</f>
        <v>39630</v>
      </c>
      <c r="B91" s="807" t="n">
        <f aca="false">IF(ISERROR(VLOOKUP(A91,$AA$10:$AH$100,2,FALSE()))+ISERROR(VLOOKUP(A91,$AA$10:$AH$100,3,FALSE()))=0,VLOOKUP(A91,$AA$10:$AH$100,2,FALSE())+VLOOKUP(A91,$AA$10:$AH$100,3,FALSE()),0)</f>
        <v>0</v>
      </c>
      <c r="C91" s="807" t="n">
        <f aca="false">IF(ISERROR(VLOOKUP(A91,$AA$10:$AH$100,4,FALSE()))=FALSE(),VLOOKUP(A91,$AA$10:$AH$100,4,FALSE()),0)</f>
        <v>0</v>
      </c>
      <c r="D91" s="818" t="n">
        <f aca="false">B91+C91</f>
        <v>0</v>
      </c>
      <c r="E91" s="807" t="n">
        <f aca="false">IF(ISERROR(VLOOKUP(A91,$AI$10:$AL$100,2,FALSE()))+ISERROR(VLOOKUP(A91,$AI$10:$AL$100,3,FALSE()))=0,VLOOKUP(A91,$AI$10:$AL$100,2,FALSE())+VLOOKUP(A91,$AI$10:$AL$100,3,FALSE()),0)</f>
        <v>0</v>
      </c>
      <c r="F91" s="807" t="n">
        <f aca="false">IF(ISERROR(VLOOKUP(A91,$AI$10:$AL$100,4,FALSE()))=FALSE(),VLOOKUP(A91,$AI$10:$AL$100,4,FALSE()),0)</f>
        <v>0</v>
      </c>
      <c r="G91" s="818" t="n">
        <f aca="false">F91+E91</f>
        <v>0</v>
      </c>
      <c r="H91" s="819" t="n">
        <f aca="false">VLOOKUP(A91,NymexData!$S$12:$T$128,2)</f>
        <v>3.46</v>
      </c>
      <c r="I91" s="820" t="n">
        <f aca="false">IF($I$7=1,NymexData!AN93,NymexData!X93)</f>
        <v>0</v>
      </c>
      <c r="J91" s="819" t="n">
        <f aca="false">IF($I$7=1,H91+I91,VLOOKUP(A91,NymexData!$AA$12:$AB$128,2))</f>
        <v>3.46</v>
      </c>
      <c r="K91" s="807" t="n">
        <f aca="false">B91*I91</f>
        <v>0</v>
      </c>
      <c r="L91" s="807" t="n">
        <f aca="false">C91*I91</f>
        <v>0</v>
      </c>
      <c r="M91" s="811" t="n">
        <f aca="false">E91*I91</f>
        <v>0</v>
      </c>
      <c r="N91" s="807" t="n">
        <f aca="false">F91*I91</f>
        <v>0</v>
      </c>
      <c r="O91" s="811" t="n">
        <f aca="false">SUM(K91:N91)</f>
        <v>0</v>
      </c>
      <c r="R91" s="817" t="n">
        <f aca="false">A91</f>
        <v>39630</v>
      </c>
      <c r="S91" s="807" t="n">
        <f aca="false">IF(ISERROR(VLOOKUP(R91,$AA$10:$AH$100,5,FALSE()))+ISERROR(VLOOKUP(R91,$AA$10:$AH$100,6,FALSE()))=0,VLOOKUP(R91,$AA$10:$AH$100,5,FALSE())+VLOOKUP(R91,$AA$10:$AH$100,6,FALSE()),0)</f>
        <v>0</v>
      </c>
      <c r="T91" s="807" t="n">
        <f aca="false">IF(ISERROR(VLOOKUP(R91,$AA$10:$AH$100,7,FALSE()))=FALSE(),VLOOKUP(R91,$AA$10:$AH$100,7,FALSE()),0)</f>
        <v>0</v>
      </c>
      <c r="U91" s="807" t="n">
        <f aca="false">IF(ISERROR(VLOOKUP(R91,$AA$10:$AH$100,8,FALSE()))=FALSE(),VLOOKUP(R91,$AA$10:$AH$100,8,FALSE()),0)</f>
        <v>0</v>
      </c>
      <c r="V91" s="807" t="n">
        <f aca="false">S91+T91+U91</f>
        <v>0</v>
      </c>
      <c r="W91" s="814" t="n">
        <f aca="false">[1]Cinergy!$F115</f>
        <v>-0.5</v>
      </c>
      <c r="X91" s="807" t="n">
        <f aca="false">S91*W91</f>
        <v>-0</v>
      </c>
      <c r="Y91" s="807" t="n">
        <f aca="false">T91*W91</f>
        <v>-0</v>
      </c>
      <c r="Z91" s="807" t="n">
        <f aca="false">U91*W91</f>
        <v>-0</v>
      </c>
      <c r="AA91" s="804"/>
      <c r="AB91" s="815"/>
      <c r="AC91" s="815"/>
      <c r="AD91" s="815"/>
      <c r="AE91" s="459"/>
      <c r="AF91" s="459"/>
      <c r="AG91" s="459"/>
      <c r="AH91" s="459"/>
      <c r="AI91" s="804"/>
      <c r="AJ91" s="459"/>
      <c r="AK91" s="459"/>
      <c r="AL91" s="459"/>
      <c r="AN91" s="459"/>
      <c r="AO91" s="459"/>
    </row>
    <row r="92" customFormat="false" ht="12.75" hidden="false" customHeight="false" outlineLevel="0" collapsed="false">
      <c r="A92" s="817" t="n">
        <f aca="false">IF($B$5=1,[1]Cinergy!$D116,[1]Cinergy!$D117)</f>
        <v>39661</v>
      </c>
      <c r="B92" s="807" t="n">
        <f aca="false">IF(ISERROR(VLOOKUP(A92,$AA$10:$AH$100,2,FALSE()))+ISERROR(VLOOKUP(A92,$AA$10:$AH$100,3,FALSE()))=0,VLOOKUP(A92,$AA$10:$AH$100,2,FALSE())+VLOOKUP(A92,$AA$10:$AH$100,3,FALSE()),0)</f>
        <v>0</v>
      </c>
      <c r="C92" s="807" t="n">
        <f aca="false">IF(ISERROR(VLOOKUP(A92,$AA$10:$AH$100,4,FALSE()))=FALSE(),VLOOKUP(A92,$AA$10:$AH$100,4,FALSE()),0)</f>
        <v>0</v>
      </c>
      <c r="D92" s="818" t="n">
        <f aca="false">B92+C92</f>
        <v>0</v>
      </c>
      <c r="E92" s="807" t="n">
        <f aca="false">IF(ISERROR(VLOOKUP(A92,$AI$10:$AL$100,2,FALSE()))+ISERROR(VLOOKUP(A92,$AI$10:$AL$100,3,FALSE()))=0,VLOOKUP(A92,$AI$10:$AL$100,2,FALSE())+VLOOKUP(A92,$AI$10:$AL$100,3,FALSE()),0)</f>
        <v>0</v>
      </c>
      <c r="F92" s="807" t="n">
        <f aca="false">IF(ISERROR(VLOOKUP(A92,$AI$10:$AL$100,4,FALSE()))=FALSE(),VLOOKUP(A92,$AI$10:$AL$100,4,FALSE()),0)</f>
        <v>0</v>
      </c>
      <c r="G92" s="818" t="n">
        <f aca="false">F92+E92</f>
        <v>0</v>
      </c>
      <c r="H92" s="819" t="n">
        <f aca="false">VLOOKUP(A92,NymexData!$S$12:$T$128,2)</f>
        <v>3.494</v>
      </c>
      <c r="I92" s="820" t="n">
        <f aca="false">IF($I$7=1,NymexData!AN94,NymexData!X94)</f>
        <v>0</v>
      </c>
      <c r="J92" s="819" t="n">
        <f aca="false">IF($I$7=1,H92+I92,VLOOKUP(A92,NymexData!$AA$12:$AB$128,2))</f>
        <v>3.494</v>
      </c>
      <c r="K92" s="807" t="n">
        <f aca="false">B92*I92</f>
        <v>0</v>
      </c>
      <c r="L92" s="807" t="n">
        <f aca="false">C92*I92</f>
        <v>0</v>
      </c>
      <c r="M92" s="811" t="n">
        <f aca="false">E92*I92</f>
        <v>0</v>
      </c>
      <c r="N92" s="807" t="n">
        <f aca="false">F92*I92</f>
        <v>0</v>
      </c>
      <c r="O92" s="811" t="n">
        <f aca="false">SUM(K92:N92)</f>
        <v>0</v>
      </c>
      <c r="R92" s="817" t="n">
        <f aca="false">A92</f>
        <v>39661</v>
      </c>
      <c r="S92" s="807" t="n">
        <f aca="false">IF(ISERROR(VLOOKUP(R92,$AA$10:$AH$100,5,FALSE()))+ISERROR(VLOOKUP(R92,$AA$10:$AH$100,6,FALSE()))=0,VLOOKUP(R92,$AA$10:$AH$100,5,FALSE())+VLOOKUP(R92,$AA$10:$AH$100,6,FALSE()),0)</f>
        <v>0</v>
      </c>
      <c r="T92" s="807" t="n">
        <f aca="false">IF(ISERROR(VLOOKUP(R92,$AA$10:$AH$100,7,FALSE()))=FALSE(),VLOOKUP(R92,$AA$10:$AH$100,7,FALSE()),0)</f>
        <v>0</v>
      </c>
      <c r="U92" s="807" t="n">
        <f aca="false">IF(ISERROR(VLOOKUP(R92,$AA$10:$AH$100,8,FALSE()))=FALSE(),VLOOKUP(R92,$AA$10:$AH$100,8,FALSE()),0)</f>
        <v>0</v>
      </c>
      <c r="V92" s="807" t="n">
        <f aca="false">S92+T92+U92</f>
        <v>0</v>
      </c>
      <c r="W92" s="814" t="n">
        <f aca="false">[1]Cinergy!$F116</f>
        <v>-0.5</v>
      </c>
      <c r="X92" s="807" t="n">
        <f aca="false">S92*W92</f>
        <v>-0</v>
      </c>
      <c r="Y92" s="807" t="n">
        <f aca="false">T92*W92</f>
        <v>-0</v>
      </c>
      <c r="Z92" s="807" t="n">
        <f aca="false">U92*W92</f>
        <v>-0</v>
      </c>
      <c r="AA92" s="804"/>
      <c r="AB92" s="815"/>
      <c r="AC92" s="815"/>
      <c r="AD92" s="815"/>
      <c r="AE92" s="459"/>
      <c r="AF92" s="459"/>
      <c r="AG92" s="459"/>
      <c r="AH92" s="459"/>
      <c r="AI92" s="804"/>
      <c r="AJ92" s="459"/>
      <c r="AK92" s="459"/>
      <c r="AL92" s="459"/>
      <c r="AN92" s="459"/>
      <c r="AO92" s="459"/>
    </row>
    <row r="93" customFormat="false" ht="12.75" hidden="false" customHeight="false" outlineLevel="0" collapsed="false">
      <c r="A93" s="817" t="n">
        <f aca="false">IF($B$5=1,[1]Cinergy!$D117,[1]Cinergy!$D118)</f>
        <v>39692</v>
      </c>
      <c r="B93" s="807" t="n">
        <f aca="false">IF(ISERROR(VLOOKUP(A93,$AA$10:$AH$100,2,FALSE()))+ISERROR(VLOOKUP(A93,$AA$10:$AH$100,3,FALSE()))=0,VLOOKUP(A93,$AA$10:$AH$100,2,FALSE())+VLOOKUP(A93,$AA$10:$AH$100,3,FALSE()),0)</f>
        <v>0</v>
      </c>
      <c r="C93" s="807" t="n">
        <f aca="false">IF(ISERROR(VLOOKUP(A93,$AA$10:$AH$100,4,FALSE()))=FALSE(),VLOOKUP(A93,$AA$10:$AH$100,4,FALSE()),0)</f>
        <v>0</v>
      </c>
      <c r="D93" s="818" t="n">
        <f aca="false">B93+C93</f>
        <v>0</v>
      </c>
      <c r="E93" s="807" t="n">
        <f aca="false">IF(ISERROR(VLOOKUP(A93,$AI$10:$AL$100,2,FALSE()))+ISERROR(VLOOKUP(A93,$AI$10:$AL$100,3,FALSE()))=0,VLOOKUP(A93,$AI$10:$AL$100,2,FALSE())+VLOOKUP(A93,$AI$10:$AL$100,3,FALSE()),0)</f>
        <v>0</v>
      </c>
      <c r="F93" s="807" t="n">
        <f aca="false">IF(ISERROR(VLOOKUP(A93,$AI$10:$AL$100,4,FALSE()))=FALSE(),VLOOKUP(A93,$AI$10:$AL$100,4,FALSE()),0)</f>
        <v>0</v>
      </c>
      <c r="G93" s="818" t="n">
        <f aca="false">F93+E93</f>
        <v>0</v>
      </c>
      <c r="H93" s="819" t="n">
        <f aca="false">VLOOKUP(A93,NymexData!$S$12:$T$128,2)</f>
        <v>3.507</v>
      </c>
      <c r="I93" s="820" t="n">
        <f aca="false">IF($I$7=1,NymexData!AN95,NymexData!X95)</f>
        <v>0</v>
      </c>
      <c r="J93" s="819" t="n">
        <f aca="false">IF($I$7=1,H93+I93,VLOOKUP(A93,NymexData!$AA$12:$AB$128,2))</f>
        <v>3.507</v>
      </c>
      <c r="K93" s="807" t="n">
        <f aca="false">B93*I93</f>
        <v>0</v>
      </c>
      <c r="L93" s="807" t="n">
        <f aca="false">C93*I93</f>
        <v>0</v>
      </c>
      <c r="M93" s="811" t="n">
        <f aca="false">E93*I93</f>
        <v>0</v>
      </c>
      <c r="N93" s="807" t="n">
        <f aca="false">F93*I93</f>
        <v>0</v>
      </c>
      <c r="O93" s="811" t="n">
        <f aca="false">SUM(K93:N93)</f>
        <v>0</v>
      </c>
      <c r="R93" s="817" t="n">
        <f aca="false">A93</f>
        <v>39692</v>
      </c>
      <c r="S93" s="807" t="n">
        <f aca="false">IF(ISERROR(VLOOKUP(R93,$AA$10:$AH$100,5,FALSE()))+ISERROR(VLOOKUP(R93,$AA$10:$AH$100,6,FALSE()))=0,VLOOKUP(R93,$AA$10:$AH$100,5,FALSE())+VLOOKUP(R93,$AA$10:$AH$100,6,FALSE()),0)</f>
        <v>0</v>
      </c>
      <c r="T93" s="807" t="n">
        <f aca="false">IF(ISERROR(VLOOKUP(R93,$AA$10:$AH$100,7,FALSE()))=FALSE(),VLOOKUP(R93,$AA$10:$AH$100,7,FALSE()),0)</f>
        <v>0</v>
      </c>
      <c r="U93" s="807" t="n">
        <f aca="false">IF(ISERROR(VLOOKUP(R93,$AA$10:$AH$100,8,FALSE()))=FALSE(),VLOOKUP(R93,$AA$10:$AH$100,8,FALSE()),0)</f>
        <v>0</v>
      </c>
      <c r="V93" s="807" t="n">
        <f aca="false">S93+T93+U93</f>
        <v>0</v>
      </c>
      <c r="W93" s="814" t="n">
        <f aca="false">[1]Cinergy!$F117</f>
        <v>0</v>
      </c>
      <c r="X93" s="807" t="n">
        <f aca="false">S93*W93</f>
        <v>0</v>
      </c>
      <c r="Y93" s="807" t="n">
        <f aca="false">T93*W93</f>
        <v>0</v>
      </c>
      <c r="Z93" s="807" t="n">
        <f aca="false">U93*W93</f>
        <v>0</v>
      </c>
      <c r="AA93" s="804"/>
      <c r="AB93" s="815"/>
      <c r="AC93" s="815"/>
      <c r="AD93" s="815"/>
      <c r="AE93" s="459"/>
      <c r="AF93" s="459"/>
      <c r="AG93" s="459"/>
      <c r="AH93" s="459"/>
      <c r="AI93" s="804"/>
      <c r="AJ93" s="459"/>
      <c r="AK93" s="459"/>
      <c r="AL93" s="459"/>
      <c r="AN93" s="459"/>
      <c r="AO93" s="459"/>
    </row>
    <row r="94" customFormat="false" ht="12.75" hidden="false" customHeight="false" outlineLevel="0" collapsed="false">
      <c r="A94" s="817" t="n">
        <f aca="false">IF($B$5=1,[1]Cinergy!$D118,[1]Cinergy!$D119)</f>
        <v>39722</v>
      </c>
      <c r="B94" s="807" t="n">
        <f aca="false">IF(ISERROR(VLOOKUP(A94,$AA$10:$AH$100,2,FALSE()))+ISERROR(VLOOKUP(A94,$AA$10:$AH$100,3,FALSE()))=0,VLOOKUP(A94,$AA$10:$AH$100,2,FALSE())+VLOOKUP(A94,$AA$10:$AH$100,3,FALSE()),0)</f>
        <v>0</v>
      </c>
      <c r="C94" s="807" t="n">
        <f aca="false">IF(ISERROR(VLOOKUP(A94,$AA$10:$AH$100,4,FALSE()))=FALSE(),VLOOKUP(A94,$AA$10:$AH$100,4,FALSE()),0)</f>
        <v>0</v>
      </c>
      <c r="D94" s="818" t="n">
        <f aca="false">B94+C94</f>
        <v>0</v>
      </c>
      <c r="E94" s="807" t="n">
        <f aca="false">IF(ISERROR(VLOOKUP(A94,$AI$10:$AL$100,2,FALSE()))+ISERROR(VLOOKUP(A94,$AI$10:$AL$100,3,FALSE()))=0,VLOOKUP(A94,$AI$10:$AL$100,2,FALSE())+VLOOKUP(A94,$AI$10:$AL$100,3,FALSE()),0)</f>
        <v>0</v>
      </c>
      <c r="F94" s="807" t="n">
        <f aca="false">IF(ISERROR(VLOOKUP(A94,$AI$10:$AL$100,4,FALSE()))=FALSE(),VLOOKUP(A94,$AI$10:$AL$100,4,FALSE()),0)</f>
        <v>0</v>
      </c>
      <c r="G94" s="818" t="n">
        <f aca="false">F94+E94</f>
        <v>0</v>
      </c>
      <c r="H94" s="819" t="n">
        <f aca="false">VLOOKUP(A94,NymexData!$S$12:$T$128,2)</f>
        <v>3.506</v>
      </c>
      <c r="I94" s="820" t="n">
        <f aca="false">IF($I$7=1,NymexData!AN96,NymexData!X96)</f>
        <v>0</v>
      </c>
      <c r="J94" s="819" t="n">
        <f aca="false">IF($I$7=1,H94+I94,VLOOKUP(A94,NymexData!$AA$12:$AB$128,2))</f>
        <v>3.506</v>
      </c>
      <c r="K94" s="807" t="n">
        <f aca="false">B94*I94</f>
        <v>0</v>
      </c>
      <c r="L94" s="807" t="n">
        <f aca="false">C94*I94</f>
        <v>0</v>
      </c>
      <c r="M94" s="811" t="n">
        <f aca="false">E94*I94</f>
        <v>0</v>
      </c>
      <c r="N94" s="807" t="n">
        <f aca="false">F94*I94</f>
        <v>0</v>
      </c>
      <c r="O94" s="811" t="n">
        <f aca="false">SUM(K94:N94)</f>
        <v>0</v>
      </c>
      <c r="R94" s="817" t="n">
        <f aca="false">A94</f>
        <v>39722</v>
      </c>
      <c r="S94" s="807" t="n">
        <f aca="false">IF(ISERROR(VLOOKUP(R94,$AA$10:$AH$100,5,FALSE()))+ISERROR(VLOOKUP(R94,$AA$10:$AH$100,6,FALSE()))=0,VLOOKUP(R94,$AA$10:$AH$100,5,FALSE())+VLOOKUP(R94,$AA$10:$AH$100,6,FALSE()),0)</f>
        <v>0</v>
      </c>
      <c r="T94" s="807" t="n">
        <f aca="false">IF(ISERROR(VLOOKUP(R94,$AA$10:$AH$100,7,FALSE()))=FALSE(),VLOOKUP(R94,$AA$10:$AH$100,7,FALSE()),0)</f>
        <v>0</v>
      </c>
      <c r="U94" s="807" t="n">
        <f aca="false">IF(ISERROR(VLOOKUP(R94,$AA$10:$AH$100,8,FALSE()))=FALSE(),VLOOKUP(R94,$AA$10:$AH$100,8,FALSE()),0)</f>
        <v>0</v>
      </c>
      <c r="V94" s="807" t="n">
        <f aca="false">S94+T94+U94</f>
        <v>0</v>
      </c>
      <c r="W94" s="814" t="n">
        <f aca="false">[1]Cinergy!$F118</f>
        <v>-0.365001320838928</v>
      </c>
      <c r="X94" s="807" t="n">
        <f aca="false">S94*W94</f>
        <v>-0</v>
      </c>
      <c r="Y94" s="807" t="n">
        <f aca="false">T94*W94</f>
        <v>-0</v>
      </c>
      <c r="Z94" s="807" t="n">
        <f aca="false">U94*W94</f>
        <v>-0</v>
      </c>
      <c r="AA94" s="804"/>
      <c r="AB94" s="815"/>
      <c r="AC94" s="815"/>
      <c r="AD94" s="815"/>
      <c r="AE94" s="815"/>
      <c r="AF94" s="815"/>
      <c r="AG94" s="815"/>
      <c r="AH94" s="815"/>
      <c r="AI94" s="804"/>
      <c r="AJ94" s="459"/>
      <c r="AK94" s="459"/>
      <c r="AL94" s="459"/>
      <c r="AN94" s="815"/>
      <c r="AO94" s="815"/>
    </row>
    <row r="95" customFormat="false" ht="12.75" hidden="false" customHeight="false" outlineLevel="0" collapsed="false">
      <c r="A95" s="817" t="n">
        <f aca="false">IF($B$5=1,[1]Cinergy!$D119,[1]Cinergy!$D120)</f>
        <v>39753</v>
      </c>
      <c r="B95" s="807" t="n">
        <f aca="false">IF(ISERROR(VLOOKUP(A95,$AA$10:$AH$100,2,FALSE()))+ISERROR(VLOOKUP(A95,$AA$10:$AH$100,3,FALSE()))=0,VLOOKUP(A95,$AA$10:$AH$100,2,FALSE())+VLOOKUP(A95,$AA$10:$AH$100,3,FALSE()),0)</f>
        <v>0</v>
      </c>
      <c r="C95" s="807" t="n">
        <f aca="false">IF(ISERROR(VLOOKUP(A95,$AA$10:$AH$100,4,FALSE()))=FALSE(),VLOOKUP(A95,$AA$10:$AH$100,4,FALSE()),0)</f>
        <v>0</v>
      </c>
      <c r="D95" s="818" t="n">
        <f aca="false">B95+C95</f>
        <v>0</v>
      </c>
      <c r="E95" s="807" t="n">
        <f aca="false">IF(ISERROR(VLOOKUP(A95,$AI$10:$AL$100,2,FALSE()))+ISERROR(VLOOKUP(A95,$AI$10:$AL$100,3,FALSE()))=0,VLOOKUP(A95,$AI$10:$AL$100,2,FALSE())+VLOOKUP(A95,$AI$10:$AL$100,3,FALSE()),0)</f>
        <v>0</v>
      </c>
      <c r="F95" s="807" t="n">
        <f aca="false">IF(ISERROR(VLOOKUP(A95,$AI$10:$AL$100,4,FALSE()))=FALSE(),VLOOKUP(A95,$AI$10:$AL$100,4,FALSE()),0)</f>
        <v>0</v>
      </c>
      <c r="G95" s="818" t="n">
        <f aca="false">F95+E95</f>
        <v>0</v>
      </c>
      <c r="H95" s="819" t="n">
        <f aca="false">VLOOKUP(A95,NymexData!$S$12:$T$128,2)</f>
        <v>3.661</v>
      </c>
      <c r="I95" s="820" t="n">
        <f aca="false">IF($I$7=1,NymexData!AN97,NymexData!X97)</f>
        <v>0</v>
      </c>
      <c r="J95" s="819" t="n">
        <f aca="false">IF($I$7=1,H95+I95,VLOOKUP(A95,NymexData!$AA$12:$AB$128,2))</f>
        <v>3.661</v>
      </c>
      <c r="K95" s="807" t="n">
        <f aca="false">B95*I95</f>
        <v>0</v>
      </c>
      <c r="L95" s="807" t="n">
        <f aca="false">C95*I95</f>
        <v>0</v>
      </c>
      <c r="M95" s="811" t="n">
        <f aca="false">E95*I95</f>
        <v>0</v>
      </c>
      <c r="N95" s="807" t="n">
        <f aca="false">F95*I95</f>
        <v>0</v>
      </c>
      <c r="O95" s="811" t="n">
        <f aca="false">SUM(K95:N95)</f>
        <v>0</v>
      </c>
      <c r="R95" s="817" t="n">
        <f aca="false">A95</f>
        <v>39753</v>
      </c>
      <c r="S95" s="807" t="n">
        <f aca="false">IF(ISERROR(VLOOKUP(R95,$AA$10:$AH$100,5,FALSE()))+ISERROR(VLOOKUP(R95,$AA$10:$AH$100,6,FALSE()))=0,VLOOKUP(R95,$AA$10:$AH$100,5,FALSE())+VLOOKUP(R95,$AA$10:$AH$100,6,FALSE()),0)</f>
        <v>0</v>
      </c>
      <c r="T95" s="807" t="n">
        <f aca="false">IF(ISERROR(VLOOKUP(R95,$AA$10:$AH$100,7,FALSE()))=FALSE(),VLOOKUP(R95,$AA$10:$AH$100,7,FALSE()),0)</f>
        <v>0</v>
      </c>
      <c r="U95" s="807" t="n">
        <f aca="false">IF(ISERROR(VLOOKUP(R95,$AA$10:$AH$100,8,FALSE()))=FALSE(),VLOOKUP(R95,$AA$10:$AH$100,8,FALSE()),0)</f>
        <v>0</v>
      </c>
      <c r="V95" s="807" t="n">
        <f aca="false">S95+T95+U95</f>
        <v>0</v>
      </c>
      <c r="W95" s="814" t="n">
        <f aca="false">[1]Cinergy!$F119</f>
        <v>-0.365001320838928</v>
      </c>
      <c r="X95" s="807" t="n">
        <f aca="false">S95*W95</f>
        <v>-0</v>
      </c>
      <c r="Y95" s="807" t="n">
        <f aca="false">T95*W95</f>
        <v>-0</v>
      </c>
      <c r="Z95" s="807" t="n">
        <f aca="false">U95*W95</f>
        <v>-0</v>
      </c>
      <c r="AA95" s="804"/>
      <c r="AB95" s="815"/>
      <c r="AC95" s="815"/>
      <c r="AD95" s="815"/>
      <c r="AE95" s="459"/>
      <c r="AF95" s="459"/>
      <c r="AG95" s="459"/>
      <c r="AH95" s="459"/>
      <c r="AI95" s="804"/>
      <c r="AJ95" s="459"/>
      <c r="AK95" s="459"/>
      <c r="AL95" s="459"/>
      <c r="AN95" s="459"/>
      <c r="AO95" s="459"/>
    </row>
    <row r="96" customFormat="false" ht="12.75" hidden="false" customHeight="false" outlineLevel="0" collapsed="false">
      <c r="A96" s="817" t="n">
        <f aca="false">IF($B$5=1,[1]Cinergy!$D120,[1]Cinergy!$D121)</f>
        <v>39783</v>
      </c>
      <c r="B96" s="807" t="n">
        <f aca="false">IF(ISERROR(VLOOKUP(A96,$AA$10:$AH$100,2,FALSE()))+ISERROR(VLOOKUP(A96,$AA$10:$AH$100,3,FALSE()))=0,VLOOKUP(A96,$AA$10:$AH$100,2,FALSE())+VLOOKUP(A96,$AA$10:$AH$100,3,FALSE()),0)</f>
        <v>0</v>
      </c>
      <c r="C96" s="807" t="n">
        <f aca="false">IF(ISERROR(VLOOKUP(A96,$AA$10:$AH$100,4,FALSE()))=FALSE(),VLOOKUP(A96,$AA$10:$AH$100,4,FALSE()),0)</f>
        <v>0</v>
      </c>
      <c r="D96" s="818" t="n">
        <f aca="false">B96+C96</f>
        <v>0</v>
      </c>
      <c r="E96" s="807" t="n">
        <f aca="false">IF(ISERROR(VLOOKUP(A96,$AI$10:$AL$100,2,FALSE()))+ISERROR(VLOOKUP(A96,$AI$10:$AL$100,3,FALSE()))=0,VLOOKUP(A96,$AI$10:$AL$100,2,FALSE())+VLOOKUP(A96,$AI$10:$AL$100,3,FALSE()),0)</f>
        <v>0</v>
      </c>
      <c r="F96" s="807" t="n">
        <f aca="false">IF(ISERROR(VLOOKUP(A96,$AI$10:$AL$100,4,FALSE()))=FALSE(),VLOOKUP(A96,$AI$10:$AL$100,4,FALSE()),0)</f>
        <v>0</v>
      </c>
      <c r="G96" s="818" t="n">
        <f aca="false">F96+E96</f>
        <v>0</v>
      </c>
      <c r="H96" s="819" t="n">
        <f aca="false">VLOOKUP(A96,NymexData!$S$12:$T$128,2)</f>
        <v>3.826</v>
      </c>
      <c r="I96" s="820" t="n">
        <f aca="false">IF($I$7=1,NymexData!AN98,NymexData!X98)</f>
        <v>0</v>
      </c>
      <c r="J96" s="819" t="n">
        <f aca="false">IF($I$7=1,H96+I96,VLOOKUP(A96,NymexData!$AA$12:$AB$128,2))</f>
        <v>3.826</v>
      </c>
      <c r="K96" s="807" t="n">
        <f aca="false">B96*I96</f>
        <v>0</v>
      </c>
      <c r="L96" s="807" t="n">
        <f aca="false">C96*I96</f>
        <v>0</v>
      </c>
      <c r="M96" s="811" t="n">
        <f aca="false">E96*I96</f>
        <v>0</v>
      </c>
      <c r="N96" s="807" t="n">
        <f aca="false">F96*I96</f>
        <v>0</v>
      </c>
      <c r="O96" s="811" t="n">
        <f aca="false">SUM(K96:N96)</f>
        <v>0</v>
      </c>
      <c r="R96" s="817" t="n">
        <f aca="false">A96</f>
        <v>39783</v>
      </c>
      <c r="S96" s="807" t="n">
        <f aca="false">IF(ISERROR(VLOOKUP(R96,$AA$10:$AH$100,5,FALSE()))+ISERROR(VLOOKUP(R96,$AA$10:$AH$100,6,FALSE()))=0,VLOOKUP(R96,$AA$10:$AH$100,5,FALSE())+VLOOKUP(R96,$AA$10:$AH$100,6,FALSE()),0)</f>
        <v>0</v>
      </c>
      <c r="T96" s="807" t="n">
        <f aca="false">IF(ISERROR(VLOOKUP(R96,$AA$10:$AH$100,7,FALSE()))=FALSE(),VLOOKUP(R96,$AA$10:$AH$100,7,FALSE()),0)</f>
        <v>0</v>
      </c>
      <c r="U96" s="807" t="n">
        <f aca="false">IF(ISERROR(VLOOKUP(R96,$AA$10:$AH$100,8,FALSE()))=FALSE(),VLOOKUP(R96,$AA$10:$AH$100,8,FALSE()),0)</f>
        <v>0</v>
      </c>
      <c r="V96" s="807" t="n">
        <f aca="false">S96+T96+U96</f>
        <v>0</v>
      </c>
      <c r="W96" s="814" t="n">
        <f aca="false">[1]Cinergy!$F120</f>
        <v>-0.365001320838928</v>
      </c>
      <c r="X96" s="807" t="n">
        <f aca="false">S96*W96</f>
        <v>-0</v>
      </c>
      <c r="Y96" s="807" t="n">
        <f aca="false">T96*W96</f>
        <v>-0</v>
      </c>
      <c r="Z96" s="807" t="n">
        <f aca="false">U96*W96</f>
        <v>-0</v>
      </c>
      <c r="AA96" s="804"/>
      <c r="AB96" s="815"/>
      <c r="AC96" s="815"/>
      <c r="AD96" s="815"/>
      <c r="AE96" s="459"/>
      <c r="AF96" s="459"/>
      <c r="AG96" s="459"/>
      <c r="AH96" s="459"/>
      <c r="AI96" s="804"/>
      <c r="AJ96" s="459"/>
      <c r="AK96" s="459"/>
      <c r="AL96" s="459"/>
      <c r="AN96" s="459"/>
      <c r="AO96" s="459"/>
    </row>
    <row r="97" customFormat="false" ht="12.75" hidden="false" customHeight="false" outlineLevel="0" collapsed="false">
      <c r="A97" s="817" t="n">
        <f aca="false">IF($B$5=1,[1]Cinergy!$D121,[1]Cinergy!$D122)</f>
        <v>39814</v>
      </c>
      <c r="B97" s="807" t="n">
        <f aca="false">IF(ISERROR(VLOOKUP(A97,$AA$10:$AH$100,2,FALSE()))+ISERROR(VLOOKUP(A97,$AA$10:$AH$100,3,FALSE()))=0,VLOOKUP(A97,$AA$10:$AH$100,2,FALSE())+VLOOKUP(A97,$AA$10:$AH$100,3,FALSE()),0)</f>
        <v>0</v>
      </c>
      <c r="C97" s="807" t="n">
        <f aca="false">IF(ISERROR(VLOOKUP(A97,$AA$10:$AH$100,4,FALSE()))=FALSE(),VLOOKUP(A97,$AA$10:$AH$100,4,FALSE()),0)</f>
        <v>0</v>
      </c>
      <c r="D97" s="818" t="n">
        <f aca="false">B97+C97</f>
        <v>0</v>
      </c>
      <c r="E97" s="807" t="n">
        <f aca="false">IF(ISERROR(VLOOKUP(A97,$AI$10:$AL$100,2,FALSE()))+ISERROR(VLOOKUP(A97,$AI$10:$AL$100,3,FALSE()))=0,VLOOKUP(A97,$AI$10:$AL$100,2,FALSE())+VLOOKUP(A97,$AI$10:$AL$100,3,FALSE()),0)</f>
        <v>0</v>
      </c>
      <c r="F97" s="807" t="n">
        <f aca="false">IF(ISERROR(VLOOKUP(A97,$AI$10:$AL$100,4,FALSE()))=FALSE(),VLOOKUP(A97,$AI$10:$AL$100,4,FALSE()),0)</f>
        <v>0</v>
      </c>
      <c r="G97" s="818" t="n">
        <f aca="false">F97+E97</f>
        <v>0</v>
      </c>
      <c r="H97" s="819" t="n">
        <f aca="false">VLOOKUP(A97,NymexData!$S$12:$T$128,2)</f>
        <v>3.901</v>
      </c>
      <c r="I97" s="820" t="n">
        <f aca="false">IF($I$7=1,NymexData!AN99,NymexData!X99)</f>
        <v>0</v>
      </c>
      <c r="J97" s="819" t="n">
        <f aca="false">IF($I$7=1,H97+I97,VLOOKUP(A97,NymexData!$AA$12:$AB$128,2))</f>
        <v>3.901</v>
      </c>
      <c r="K97" s="807" t="n">
        <f aca="false">B97*I97</f>
        <v>0</v>
      </c>
      <c r="L97" s="807" t="n">
        <f aca="false">C97*I97</f>
        <v>0</v>
      </c>
      <c r="M97" s="811" t="n">
        <f aca="false">E97*I97</f>
        <v>0</v>
      </c>
      <c r="N97" s="807" t="n">
        <f aca="false">F97*I97</f>
        <v>0</v>
      </c>
      <c r="O97" s="811" t="n">
        <f aca="false">SUM(K97:N97)</f>
        <v>0</v>
      </c>
      <c r="R97" s="817" t="n">
        <f aca="false">A97</f>
        <v>39814</v>
      </c>
      <c r="S97" s="807" t="n">
        <f aca="false">IF(ISERROR(VLOOKUP(R97,$AA$10:$AH$100,5,FALSE()))+ISERROR(VLOOKUP(R97,$AA$10:$AH$100,6,FALSE()))=0,VLOOKUP(R97,$AA$10:$AH$100,5,FALSE())+VLOOKUP(R97,$AA$10:$AH$100,6,FALSE()),0)</f>
        <v>0</v>
      </c>
      <c r="T97" s="807" t="n">
        <f aca="false">IF(ISERROR(VLOOKUP(R97,$AA$10:$AH$100,7,FALSE()))=FALSE(),VLOOKUP(R97,$AA$10:$AH$100,7,FALSE()),0)</f>
        <v>0</v>
      </c>
      <c r="U97" s="807" t="n">
        <f aca="false">IF(ISERROR(VLOOKUP(R97,$AA$10:$AH$100,8,FALSE()))=FALSE(),VLOOKUP(R97,$AA$10:$AH$100,8,FALSE()),0)</f>
        <v>0</v>
      </c>
      <c r="V97" s="807" t="n">
        <f aca="false">S97+T97+U97</f>
        <v>0</v>
      </c>
      <c r="W97" s="814" t="n">
        <f aca="false">[1]Cinergy!$F121</f>
        <v>1.81652250574871E-007</v>
      </c>
      <c r="X97" s="807" t="n">
        <f aca="false">S97*W97</f>
        <v>0</v>
      </c>
      <c r="Y97" s="807" t="n">
        <f aca="false">T97*W97</f>
        <v>0</v>
      </c>
      <c r="Z97" s="807" t="n">
        <f aca="false">U97*W97</f>
        <v>0</v>
      </c>
      <c r="AA97" s="804"/>
      <c r="AB97" s="815"/>
      <c r="AC97" s="815"/>
      <c r="AD97" s="815"/>
      <c r="AE97" s="459"/>
      <c r="AF97" s="459"/>
      <c r="AG97" s="459"/>
      <c r="AH97" s="459"/>
      <c r="AI97" s="804"/>
      <c r="AJ97" s="459"/>
      <c r="AK97" s="459"/>
      <c r="AL97" s="459"/>
      <c r="AN97" s="459"/>
      <c r="AO97" s="459"/>
    </row>
    <row r="98" customFormat="false" ht="12.75" hidden="false" customHeight="false" outlineLevel="0" collapsed="false">
      <c r="A98" s="817" t="n">
        <f aca="false">IF($B$5=1,[1]Cinergy!$D122,[1]Cinergy!$D123)</f>
        <v>39845</v>
      </c>
      <c r="B98" s="807" t="n">
        <f aca="false">IF(ISERROR(VLOOKUP(A98,$AA$10:$AH$100,2,FALSE()))+ISERROR(VLOOKUP(A98,$AA$10:$AH$100,3,FALSE()))=0,VLOOKUP(A98,$AA$10:$AH$100,2,FALSE())+VLOOKUP(A98,$AA$10:$AH$100,3,FALSE()),0)</f>
        <v>0</v>
      </c>
      <c r="C98" s="807" t="n">
        <f aca="false">IF(ISERROR(VLOOKUP(A98,$AA$10:$AH$100,4,FALSE()))=FALSE(),VLOOKUP(A98,$AA$10:$AH$100,4,FALSE()),0)</f>
        <v>0</v>
      </c>
      <c r="D98" s="818" t="n">
        <f aca="false">B98+C98</f>
        <v>0</v>
      </c>
      <c r="E98" s="807" t="n">
        <f aca="false">IF(ISERROR(VLOOKUP(A98,$AI$10:$AL$100,2,FALSE()))+ISERROR(VLOOKUP(A98,$AI$10:$AL$100,3,FALSE()))=0,VLOOKUP(A98,$AI$10:$AL$100,2,FALSE())+VLOOKUP(A98,$AI$10:$AL$100,3,FALSE()),0)</f>
        <v>0</v>
      </c>
      <c r="F98" s="807" t="n">
        <f aca="false">IF(ISERROR(VLOOKUP(A98,$AI$10:$AL$100,4,FALSE()))=FALSE(),VLOOKUP(A98,$AI$10:$AL$100,4,FALSE()),0)</f>
        <v>0</v>
      </c>
      <c r="G98" s="818" t="n">
        <f aca="false">F98+E98</f>
        <v>0</v>
      </c>
      <c r="H98" s="819" t="n">
        <f aca="false">VLOOKUP(A98,NymexData!$S$12:$T$128,2)</f>
        <v>3.787</v>
      </c>
      <c r="I98" s="820" t="n">
        <f aca="false">IF($I$7=1,NymexData!AN100,NymexData!X100)</f>
        <v>0</v>
      </c>
      <c r="J98" s="819" t="n">
        <f aca="false">IF($I$7=1,H98+I98,VLOOKUP(A98,NymexData!$AA$12:$AB$128,2))</f>
        <v>3.787</v>
      </c>
      <c r="K98" s="807" t="n">
        <f aca="false">B98*I98</f>
        <v>0</v>
      </c>
      <c r="L98" s="807" t="n">
        <f aca="false">C98*I98</f>
        <v>0</v>
      </c>
      <c r="M98" s="811" t="n">
        <f aca="false">E98*I98</f>
        <v>0</v>
      </c>
      <c r="N98" s="807" t="n">
        <f aca="false">F98*I98</f>
        <v>0</v>
      </c>
      <c r="O98" s="811" t="n">
        <f aca="false">SUM(K98:N98)</f>
        <v>0</v>
      </c>
      <c r="R98" s="817" t="n">
        <f aca="false">A98</f>
        <v>39845</v>
      </c>
      <c r="S98" s="807" t="n">
        <f aca="false">IF(ISERROR(VLOOKUP(R98,$AA$10:$AH$100,5,FALSE()))+ISERROR(VLOOKUP(R98,$AA$10:$AH$100,6,FALSE()))=0,VLOOKUP(R98,$AA$10:$AH$100,5,FALSE())+VLOOKUP(R98,$AA$10:$AH$100,6,FALSE()),0)</f>
        <v>0</v>
      </c>
      <c r="T98" s="807" t="n">
        <f aca="false">IF(ISERROR(VLOOKUP(R98,$AA$10:$AH$100,7,FALSE()))=FALSE(),VLOOKUP(R98,$AA$10:$AH$100,7,FALSE()),0)</f>
        <v>0</v>
      </c>
      <c r="U98" s="807" t="n">
        <f aca="false">IF(ISERROR(VLOOKUP(R98,$AA$10:$AH$100,8,FALSE()))=FALSE(),VLOOKUP(R98,$AA$10:$AH$100,8,FALSE()),0)</f>
        <v>0</v>
      </c>
      <c r="V98" s="807" t="n">
        <f aca="false">S98+T98+U98</f>
        <v>0</v>
      </c>
      <c r="W98" s="814" t="n">
        <f aca="false">[1]Cinergy!$F122</f>
        <v>1.81652250574871E-007</v>
      </c>
      <c r="X98" s="807" t="n">
        <f aca="false">S98*W98</f>
        <v>0</v>
      </c>
      <c r="Y98" s="807" t="n">
        <f aca="false">T98*W98</f>
        <v>0</v>
      </c>
      <c r="Z98" s="807" t="n">
        <f aca="false">U98*W98</f>
        <v>0</v>
      </c>
      <c r="AA98" s="804"/>
      <c r="AB98" s="815"/>
      <c r="AC98" s="815"/>
      <c r="AD98" s="815"/>
      <c r="AE98" s="459"/>
      <c r="AF98" s="459"/>
      <c r="AG98" s="459"/>
      <c r="AH98" s="459"/>
      <c r="AI98" s="804"/>
      <c r="AJ98" s="459"/>
      <c r="AK98" s="459"/>
      <c r="AL98" s="459"/>
      <c r="AN98" s="459"/>
      <c r="AO98" s="459"/>
    </row>
    <row r="99" customFormat="false" ht="12.75" hidden="false" customHeight="false" outlineLevel="0" collapsed="false">
      <c r="A99" s="817" t="n">
        <f aca="false">IF($B$5=1,[1]Cinergy!$D123,[1]Cinergy!$D124)</f>
        <v>39873</v>
      </c>
      <c r="B99" s="807" t="n">
        <f aca="false">IF(ISERROR(VLOOKUP(A99,$AA$10:$AH$100,2,FALSE()))+ISERROR(VLOOKUP(A99,$AA$10:$AH$100,3,FALSE()))=0,VLOOKUP(A99,$AA$10:$AH$100,2,FALSE())+VLOOKUP(A99,$AA$10:$AH$100,3,FALSE()),0)</f>
        <v>0</v>
      </c>
      <c r="C99" s="807" t="n">
        <f aca="false">IF(ISERROR(VLOOKUP(A99,$AA$10:$AH$100,4,FALSE()))=FALSE(),VLOOKUP(A99,$AA$10:$AH$100,4,FALSE()),0)</f>
        <v>0</v>
      </c>
      <c r="D99" s="818" t="n">
        <f aca="false">B99+C99</f>
        <v>0</v>
      </c>
      <c r="E99" s="807" t="n">
        <f aca="false">IF(ISERROR(VLOOKUP(A99,$AI$10:$AL$100,2,FALSE()))+ISERROR(VLOOKUP(A99,$AI$10:$AL$100,3,FALSE()))=0,VLOOKUP(A99,$AI$10:$AL$100,2,FALSE())+VLOOKUP(A99,$AI$10:$AL$100,3,FALSE()),0)</f>
        <v>0</v>
      </c>
      <c r="F99" s="807" t="n">
        <f aca="false">IF(ISERROR(VLOOKUP(A99,$AI$10:$AL$100,4,FALSE()))=FALSE(),VLOOKUP(A99,$AI$10:$AL$100,4,FALSE()),0)</f>
        <v>0</v>
      </c>
      <c r="G99" s="818" t="n">
        <f aca="false">F99+E99</f>
        <v>0</v>
      </c>
      <c r="H99" s="819" t="n">
        <f aca="false">VLOOKUP(A99,NymexData!$S$12:$T$128,2)</f>
        <v>3.655</v>
      </c>
      <c r="I99" s="820" t="n">
        <f aca="false">IF($I$7=1,NymexData!AN101,NymexData!X101)</f>
        <v>0</v>
      </c>
      <c r="J99" s="819" t="n">
        <f aca="false">IF($I$7=1,H99+I99,VLOOKUP(A99,NymexData!$AA$12:$AB$128,2))</f>
        <v>3.655</v>
      </c>
      <c r="K99" s="807" t="n">
        <f aca="false">B99*I99</f>
        <v>0</v>
      </c>
      <c r="L99" s="807" t="n">
        <f aca="false">C99*I99</f>
        <v>0</v>
      </c>
      <c r="M99" s="811" t="n">
        <f aca="false">E99*I99</f>
        <v>0</v>
      </c>
      <c r="N99" s="807" t="n">
        <f aca="false">F99*I99</f>
        <v>0</v>
      </c>
      <c r="O99" s="811" t="n">
        <f aca="false">SUM(K99:N99)</f>
        <v>0</v>
      </c>
      <c r="R99" s="817" t="n">
        <f aca="false">A99</f>
        <v>39873</v>
      </c>
      <c r="S99" s="807" t="n">
        <f aca="false">IF(ISERROR(VLOOKUP(R99,$AA$10:$AH$100,5,FALSE()))+ISERROR(VLOOKUP(R99,$AA$10:$AH$100,6,FALSE()))=0,VLOOKUP(R99,$AA$10:$AH$100,5,FALSE())+VLOOKUP(R99,$AA$10:$AH$100,6,FALSE()),0)</f>
        <v>0</v>
      </c>
      <c r="T99" s="807" t="n">
        <f aca="false">IF(ISERROR(VLOOKUP(R99,$AA$10:$AH$100,7,FALSE()))=FALSE(),VLOOKUP(R99,$AA$10:$AH$100,7,FALSE()),0)</f>
        <v>0</v>
      </c>
      <c r="U99" s="807" t="n">
        <f aca="false">IF(ISERROR(VLOOKUP(R99,$AA$10:$AH$100,8,FALSE()))=FALSE(),VLOOKUP(R99,$AA$10:$AH$100,8,FALSE()),0)</f>
        <v>0</v>
      </c>
      <c r="V99" s="807" t="n">
        <f aca="false">S99+T99+U99</f>
        <v>0</v>
      </c>
      <c r="W99" s="814" t="n">
        <f aca="false">[1]Cinergy!$F123</f>
        <v>-0.250000443569448</v>
      </c>
      <c r="X99" s="807" t="n">
        <f aca="false">S99*W99</f>
        <v>-0</v>
      </c>
      <c r="Y99" s="807" t="n">
        <f aca="false">T99*W99</f>
        <v>-0</v>
      </c>
      <c r="Z99" s="807" t="n">
        <f aca="false">U99*W99</f>
        <v>-0</v>
      </c>
      <c r="AA99" s="804"/>
      <c r="AB99" s="815"/>
      <c r="AC99" s="815"/>
      <c r="AD99" s="815"/>
      <c r="AE99" s="459"/>
      <c r="AF99" s="459"/>
      <c r="AG99" s="459"/>
      <c r="AH99" s="459"/>
      <c r="AI99" s="804"/>
      <c r="AJ99" s="459"/>
      <c r="AK99" s="459"/>
      <c r="AL99" s="459"/>
      <c r="AN99" s="459"/>
      <c r="AO99" s="459"/>
    </row>
    <row r="100" customFormat="false" ht="13.5" hidden="false" customHeight="false" outlineLevel="0" collapsed="false">
      <c r="A100" s="823" t="n">
        <f aca="false">IF($B$5=1,[1]Cinergy!$D124,[1]Cinergy!$D125)</f>
        <v>39904</v>
      </c>
      <c r="B100" s="824" t="n">
        <f aca="false">IF(ISERROR(VLOOKUP(A100,$AA$10:$AH$100,2,FALSE()))+ISERROR(VLOOKUP(A100,$AA$10:$AH$100,3,FALSE()))=0,VLOOKUP(A100,$AA$10:$AH$100,2,FALSE())+VLOOKUP(A100,$AA$10:$AH$100,3,FALSE()),0)</f>
        <v>0</v>
      </c>
      <c r="C100" s="824" t="n">
        <f aca="false">IF(ISERROR(VLOOKUP(A100,$AA$10:$AH$100,4,FALSE()))=FALSE(),VLOOKUP(A100,$AA$10:$AH$100,4,FALSE()),0)</f>
        <v>0</v>
      </c>
      <c r="D100" s="825" t="n">
        <f aca="false">B100+C100</f>
        <v>0</v>
      </c>
      <c r="E100" s="824" t="n">
        <f aca="false">IF(ISERROR(VLOOKUP(A100,$AI$10:$AL$100,2,FALSE()))+ISERROR(VLOOKUP(A100,$AI$10:$AL$100,3,FALSE()))=0,VLOOKUP(A100,$AI$10:$AL$100,2,FALSE())+VLOOKUP(A100,$AI$10:$AL$100,3,FALSE()),0)</f>
        <v>0</v>
      </c>
      <c r="F100" s="824" t="n">
        <f aca="false">IF(ISERROR(VLOOKUP(A100,$AI$10:$AL$100,4,FALSE()))=FALSE(),VLOOKUP(A100,$AI$10:$AL$100,4,FALSE()),0)</f>
        <v>0</v>
      </c>
      <c r="G100" s="825" t="n">
        <f aca="false">F100+E100</f>
        <v>0</v>
      </c>
      <c r="H100" s="826" t="n">
        <f aca="false">VLOOKUP(A100,NymexData!$S$12:$T$128,2)</f>
        <v>3.457</v>
      </c>
      <c r="I100" s="827" t="n">
        <f aca="false">IF($I$7=1,NymexData!AN102,NymexData!X102)</f>
        <v>0</v>
      </c>
      <c r="J100" s="826" t="n">
        <f aca="false">IF($I$7=1,H100+I100,VLOOKUP(A100,NymexData!$AA$12:$AB$128,2))</f>
        <v>3.457</v>
      </c>
      <c r="K100" s="824" t="n">
        <f aca="false">B100*I100</f>
        <v>0</v>
      </c>
      <c r="L100" s="824" t="n">
        <f aca="false">C100*I100</f>
        <v>0</v>
      </c>
      <c r="M100" s="828" t="n">
        <f aca="false">E100*I100</f>
        <v>0</v>
      </c>
      <c r="N100" s="824" t="n">
        <f aca="false">F100*I100</f>
        <v>0</v>
      </c>
      <c r="O100" s="828" t="n">
        <f aca="false">SUM(K100:N100)</f>
        <v>0</v>
      </c>
      <c r="R100" s="823" t="n">
        <f aca="false">A100</f>
        <v>39904</v>
      </c>
      <c r="S100" s="824" t="n">
        <f aca="false">IF(ISERROR(VLOOKUP(R100,$AA$10:$AH$100,5,FALSE()))+ISERROR(VLOOKUP(R100,$AA$10:$AH$100,6,FALSE()))=0,VLOOKUP(R100,$AA$10:$AH$100,5,FALSE())+VLOOKUP(R100,$AA$10:$AH$100,6,FALSE()),0)</f>
        <v>0</v>
      </c>
      <c r="T100" s="824" t="n">
        <f aca="false">IF(ISERROR(VLOOKUP(R100,$AA$10:$AH$100,7,FALSE()))=FALSE(),VLOOKUP(R100,$AA$10:$AH$100,7,FALSE()),0)</f>
        <v>0</v>
      </c>
      <c r="U100" s="824" t="n">
        <f aca="false">IF(ISERROR(VLOOKUP(R100,$AA$10:$AH$100,8,FALSE()))=FALSE(),VLOOKUP(R100,$AA$10:$AH$100,8,FALSE()),0)</f>
        <v>0</v>
      </c>
      <c r="V100" s="824" t="n">
        <f aca="false">S100+T100+U100</f>
        <v>0</v>
      </c>
      <c r="W100" s="829" t="n">
        <f aca="false">[1]Cinergy!$F124</f>
        <v>-0.250000443569448</v>
      </c>
      <c r="X100" s="824" t="n">
        <f aca="false">S100*W100</f>
        <v>-0</v>
      </c>
      <c r="Y100" s="824" t="n">
        <f aca="false">T100*W100</f>
        <v>-0</v>
      </c>
      <c r="Z100" s="824" t="n">
        <f aca="false">U100*W100</f>
        <v>-0</v>
      </c>
      <c r="AA100" s="804"/>
      <c r="AB100" s="815"/>
      <c r="AC100" s="815"/>
      <c r="AD100" s="815"/>
      <c r="AE100" s="459"/>
      <c r="AF100" s="459"/>
      <c r="AG100" s="459"/>
      <c r="AH100" s="459"/>
      <c r="AI100" s="804"/>
      <c r="AJ100" s="459"/>
      <c r="AK100" s="459"/>
      <c r="AL100" s="459"/>
      <c r="AN100" s="459"/>
      <c r="AO100" s="459"/>
    </row>
    <row r="101" customFormat="false" ht="12.75" hidden="false" customHeight="false" outlineLevel="0" collapsed="false">
      <c r="A101" s="804"/>
      <c r="B101" s="815"/>
      <c r="C101" s="815"/>
      <c r="D101" s="815"/>
      <c r="F101" s="459"/>
      <c r="G101" s="459"/>
      <c r="H101" s="459"/>
      <c r="I101" s="459"/>
      <c r="J101" s="804"/>
      <c r="K101" s="459"/>
      <c r="L101" s="459"/>
      <c r="O101" s="459"/>
      <c r="P101" s="459"/>
      <c r="Q101" s="459"/>
      <c r="R101" s="459"/>
      <c r="S101" s="459"/>
      <c r="T101" s="459"/>
      <c r="U101" s="459"/>
      <c r="V101" s="459"/>
      <c r="W101" s="459"/>
      <c r="AA101" s="804"/>
      <c r="AB101" s="815"/>
      <c r="AC101" s="815"/>
      <c r="AD101" s="815"/>
      <c r="AE101" s="459"/>
      <c r="AF101" s="459"/>
      <c r="AG101" s="459"/>
      <c r="AH101" s="459"/>
      <c r="AI101" s="804"/>
      <c r="AJ101" s="459"/>
      <c r="AK101" s="459"/>
      <c r="AL101" s="459"/>
      <c r="AN101" s="459"/>
      <c r="AO101" s="459"/>
    </row>
    <row r="102" customFormat="false" ht="12.75" hidden="false" customHeight="false" outlineLevel="0" collapsed="false">
      <c r="A102" s="804"/>
      <c r="B102" s="815"/>
      <c r="C102" s="815"/>
      <c r="D102" s="815"/>
      <c r="E102" s="459"/>
      <c r="F102" s="459"/>
      <c r="G102" s="459"/>
      <c r="H102" s="459"/>
      <c r="I102" s="804"/>
      <c r="J102" s="459"/>
      <c r="K102" s="459"/>
      <c r="L102" s="459"/>
      <c r="M102" s="459"/>
      <c r="N102" s="459"/>
      <c r="O102" s="459"/>
      <c r="P102" s="459"/>
      <c r="Q102" s="459"/>
      <c r="R102" s="459"/>
      <c r="S102" s="459"/>
      <c r="T102" s="459"/>
      <c r="AA102" s="804"/>
      <c r="AB102" s="815"/>
      <c r="AC102" s="815"/>
      <c r="AD102" s="815"/>
      <c r="AE102" s="459"/>
      <c r="AF102" s="459"/>
      <c r="AG102" s="459"/>
      <c r="AH102" s="459"/>
      <c r="AI102" s="804"/>
      <c r="AJ102" s="459"/>
      <c r="AK102" s="459"/>
      <c r="AL102" s="459"/>
      <c r="AN102" s="459"/>
      <c r="AO102" s="459"/>
    </row>
    <row r="103" customFormat="false" ht="12.75" hidden="false" customHeight="false" outlineLevel="0" collapsed="false">
      <c r="A103" s="804"/>
      <c r="B103" s="815"/>
      <c r="C103" s="815"/>
      <c r="D103" s="815"/>
      <c r="E103" s="459"/>
      <c r="F103" s="459"/>
      <c r="G103" s="459"/>
      <c r="H103" s="459"/>
      <c r="I103" s="804"/>
      <c r="J103" s="459"/>
      <c r="K103" s="459"/>
      <c r="L103" s="459"/>
      <c r="M103" s="459"/>
      <c r="N103" s="459"/>
      <c r="O103" s="459"/>
      <c r="P103" s="459"/>
      <c r="Q103" s="459"/>
      <c r="R103" s="459"/>
      <c r="S103" s="459"/>
      <c r="T103" s="459"/>
      <c r="AA103" s="804"/>
      <c r="AB103" s="815"/>
      <c r="AC103" s="815"/>
      <c r="AD103" s="815"/>
      <c r="AE103" s="459"/>
      <c r="AF103" s="459"/>
      <c r="AG103" s="459"/>
      <c r="AH103" s="459"/>
      <c r="AI103" s="804"/>
      <c r="AJ103" s="459"/>
      <c r="AK103" s="459"/>
      <c r="AL103" s="459"/>
      <c r="AN103" s="459"/>
      <c r="AO103" s="459"/>
    </row>
    <row r="104" customFormat="false" ht="18" hidden="false" customHeight="false" outlineLevel="0" collapsed="false">
      <c r="A104" s="830" t="s">
        <v>360</v>
      </c>
      <c r="B104" s="815"/>
      <c r="C104" s="815"/>
      <c r="D104" s="815"/>
      <c r="E104" s="459"/>
      <c r="F104" s="459"/>
      <c r="G104" s="459"/>
      <c r="H104" s="459"/>
      <c r="I104" s="804"/>
      <c r="J104" s="459"/>
      <c r="K104" s="459"/>
      <c r="L104" s="459"/>
      <c r="M104" s="459"/>
      <c r="N104" s="459"/>
      <c r="O104" s="459"/>
      <c r="P104" s="459"/>
      <c r="Q104" s="459"/>
      <c r="R104" s="459"/>
      <c r="S104" s="459"/>
      <c r="T104" s="459"/>
      <c r="AA104" s="804"/>
      <c r="AB104" s="815"/>
      <c r="AC104" s="815"/>
      <c r="AD104" s="815"/>
      <c r="AE104" s="459"/>
      <c r="AF104" s="459"/>
      <c r="AG104" s="459"/>
      <c r="AH104" s="459"/>
      <c r="AI104" s="804"/>
      <c r="AJ104" s="459"/>
      <c r="AK104" s="459"/>
      <c r="AL104" s="459"/>
      <c r="AN104" s="459"/>
      <c r="AO104" s="459"/>
    </row>
    <row r="105" customFormat="false" ht="13.5" hidden="false" customHeight="false" outlineLevel="0" collapsed="false">
      <c r="A105" s="804"/>
      <c r="B105" s="815"/>
      <c r="C105" s="815"/>
      <c r="D105" s="815"/>
      <c r="E105" s="459"/>
      <c r="F105" s="459"/>
      <c r="G105" s="459"/>
      <c r="H105" s="459"/>
      <c r="I105" s="804"/>
      <c r="J105" s="459"/>
      <c r="K105" s="459"/>
      <c r="L105" s="459"/>
      <c r="M105" s="459"/>
      <c r="N105" s="459"/>
      <c r="O105" s="459"/>
      <c r="P105" s="459"/>
      <c r="Q105" s="459"/>
      <c r="R105" s="459"/>
      <c r="S105" s="459"/>
      <c r="T105" s="459"/>
      <c r="AA105" s="804"/>
      <c r="AB105" s="815"/>
      <c r="AC105" s="815"/>
      <c r="AD105" s="815"/>
      <c r="AE105" s="459"/>
      <c r="AF105" s="459"/>
      <c r="AG105" s="459"/>
      <c r="AH105" s="459"/>
      <c r="AI105" s="804"/>
      <c r="AJ105" s="459"/>
      <c r="AK105" s="459"/>
      <c r="AL105" s="459"/>
      <c r="AN105" s="459"/>
      <c r="AO105" s="459"/>
    </row>
    <row r="106" customFormat="false" ht="16.5" hidden="false" customHeight="false" outlineLevel="0" collapsed="false">
      <c r="A106" s="804"/>
      <c r="B106" s="831" t="s">
        <v>361</v>
      </c>
      <c r="C106" s="832" t="s">
        <v>362</v>
      </c>
      <c r="D106" s="833" t="s">
        <v>100</v>
      </c>
      <c r="E106" s="35"/>
      <c r="F106" s="459"/>
      <c r="G106" s="459"/>
      <c r="H106" s="459"/>
      <c r="I106" s="804"/>
      <c r="J106" s="459"/>
      <c r="K106" s="459"/>
      <c r="L106" s="459"/>
      <c r="M106" s="459"/>
      <c r="N106" s="459"/>
      <c r="O106" s="459"/>
      <c r="P106" s="459"/>
      <c r="Q106" s="459"/>
      <c r="R106" s="459"/>
      <c r="S106" s="459"/>
      <c r="T106" s="459"/>
      <c r="AA106" s="804"/>
      <c r="AB106" s="815"/>
      <c r="AC106" s="815"/>
      <c r="AD106" s="815"/>
      <c r="AE106" s="459"/>
      <c r="AF106" s="459"/>
      <c r="AG106" s="459"/>
      <c r="AH106" s="459"/>
      <c r="AI106" s="804"/>
      <c r="AJ106" s="459"/>
      <c r="AK106" s="459"/>
      <c r="AL106" s="459"/>
      <c r="AN106" s="459"/>
      <c r="AO106" s="459"/>
    </row>
    <row r="107" customFormat="false" ht="15.75" hidden="false" customHeight="false" outlineLevel="0" collapsed="false">
      <c r="A107" s="834" t="n">
        <v>2000</v>
      </c>
      <c r="B107" s="835" t="n">
        <f aca="false" t="array" ref="B107:B107">SUM(IF(YEAR($A$10:$A$100)=$A107,$D$10:$D$100))</f>
        <v>0</v>
      </c>
      <c r="C107" s="836" t="n">
        <f aca="false" t="array" ref="C107:C107">SUM(IF(YEAR($A$10:$A$100)=$A107,$G$10:$G$100))</f>
        <v>0</v>
      </c>
      <c r="D107" s="837" t="n">
        <f aca="false">B107+C107</f>
        <v>0</v>
      </c>
      <c r="E107" s="35"/>
      <c r="F107" s="459"/>
      <c r="G107" s="459"/>
      <c r="H107" s="459"/>
      <c r="I107" s="804"/>
      <c r="J107" s="459"/>
      <c r="K107" s="459"/>
      <c r="L107" s="459"/>
      <c r="M107" s="459"/>
      <c r="N107" s="459"/>
      <c r="O107" s="459"/>
      <c r="P107" s="459"/>
      <c r="Q107" s="459"/>
      <c r="R107" s="459"/>
      <c r="S107" s="459"/>
      <c r="T107" s="459"/>
      <c r="AA107" s="804"/>
      <c r="AB107" s="815"/>
      <c r="AC107" s="815"/>
      <c r="AD107" s="815"/>
      <c r="AE107" s="459"/>
      <c r="AF107" s="459"/>
      <c r="AG107" s="459"/>
      <c r="AH107" s="459"/>
      <c r="AI107" s="804"/>
      <c r="AJ107" s="459"/>
      <c r="AK107" s="459"/>
      <c r="AL107" s="459"/>
      <c r="AN107" s="459"/>
      <c r="AO107" s="459"/>
    </row>
    <row r="108" customFormat="false" ht="15.75" hidden="false" customHeight="false" outlineLevel="0" collapsed="false">
      <c r="A108" s="838" t="n">
        <v>2001</v>
      </c>
      <c r="B108" s="723" t="n">
        <f aca="false" t="array" ref="B108:B108">SUM(IF(YEAR($A$10:$A$100)=$A108,$D$10:$D$100))</f>
        <v>-2666499.50777937</v>
      </c>
      <c r="C108" s="839" t="n">
        <f aca="false" t="array" ref="C108:C108">SUM(IF(YEAR($A$10:$A$100)=$A108,$G$10:$G$100))</f>
        <v>0</v>
      </c>
      <c r="D108" s="840" t="n">
        <f aca="false">B108+C108</f>
        <v>-2666499.50777937</v>
      </c>
      <c r="E108" s="35"/>
      <c r="F108" s="459"/>
      <c r="G108" s="459"/>
      <c r="H108" s="459"/>
      <c r="I108" s="804"/>
      <c r="J108" s="459"/>
      <c r="K108" s="459"/>
      <c r="L108" s="459"/>
      <c r="M108" s="459"/>
      <c r="N108" s="459"/>
      <c r="O108" s="459"/>
      <c r="P108" s="459"/>
      <c r="Q108" s="459"/>
      <c r="R108" s="459"/>
      <c r="S108" s="459"/>
      <c r="T108" s="459"/>
      <c r="AA108" s="804"/>
      <c r="AB108" s="815"/>
      <c r="AC108" s="815"/>
      <c r="AD108" s="815"/>
      <c r="AE108" s="459"/>
      <c r="AF108" s="459"/>
      <c r="AG108" s="459"/>
      <c r="AH108" s="459"/>
      <c r="AI108" s="804"/>
      <c r="AJ108" s="459"/>
      <c r="AK108" s="459"/>
      <c r="AL108" s="459"/>
      <c r="AN108" s="459"/>
      <c r="AO108" s="459"/>
    </row>
    <row r="109" customFormat="false" ht="15.75" hidden="false" customHeight="false" outlineLevel="0" collapsed="false">
      <c r="A109" s="838" t="n">
        <v>2002</v>
      </c>
      <c r="B109" s="723" t="n">
        <f aca="false" t="array" ref="B109:B109">SUM(IF(YEAR($A$10:$A$100)=$A109,$D$10:$D$100))</f>
        <v>-14379000.0865234</v>
      </c>
      <c r="C109" s="839" t="n">
        <f aca="false" t="array" ref="C109:C109">SUM(IF(YEAR($A$10:$A$100)=$A109,$G$10:$G$100))</f>
        <v>0</v>
      </c>
      <c r="D109" s="840" t="n">
        <f aca="false">B109+C109</f>
        <v>-14379000.0865234</v>
      </c>
      <c r="E109" s="459"/>
      <c r="F109" s="459"/>
      <c r="G109" s="459"/>
      <c r="H109" s="459"/>
      <c r="I109" s="804"/>
      <c r="J109" s="459"/>
      <c r="K109" s="459"/>
      <c r="L109" s="459"/>
      <c r="M109" s="459"/>
      <c r="N109" s="459"/>
      <c r="O109" s="459"/>
      <c r="P109" s="459"/>
      <c r="Q109" s="459"/>
      <c r="R109" s="459"/>
      <c r="S109" s="459"/>
      <c r="T109" s="459"/>
      <c r="AA109" s="804"/>
      <c r="AB109" s="815"/>
      <c r="AC109" s="815"/>
      <c r="AD109" s="815"/>
      <c r="AE109" s="459"/>
      <c r="AF109" s="459"/>
      <c r="AG109" s="459"/>
      <c r="AH109" s="459"/>
      <c r="AI109" s="804"/>
      <c r="AJ109" s="459"/>
      <c r="AK109" s="459"/>
      <c r="AL109" s="459"/>
      <c r="AN109" s="459"/>
      <c r="AO109" s="459"/>
    </row>
    <row r="110" customFormat="false" ht="15.75" hidden="false" customHeight="false" outlineLevel="0" collapsed="false">
      <c r="A110" s="838" t="n">
        <v>2003</v>
      </c>
      <c r="B110" s="723" t="n">
        <f aca="false" t="array" ref="B110:B110">SUM(IF(YEAR($A$10:$A$100)=$A110,$D$10:$D$100))</f>
        <v>-17304362.1537474</v>
      </c>
      <c r="C110" s="839" t="n">
        <f aca="false" t="array" ref="C110:C110">SUM(IF(YEAR($A$10:$A$100)=$A110,$G$10:$G$100))</f>
        <v>0</v>
      </c>
      <c r="D110" s="840" t="n">
        <f aca="false">B110+C110</f>
        <v>-17304362.1537474</v>
      </c>
      <c r="E110" s="459"/>
      <c r="F110" s="459"/>
      <c r="G110" s="459"/>
      <c r="H110" s="459"/>
      <c r="I110" s="804"/>
      <c r="J110" s="459"/>
      <c r="K110" s="459"/>
      <c r="L110" s="459"/>
      <c r="M110" s="459"/>
      <c r="N110" s="459"/>
      <c r="O110" s="459"/>
      <c r="P110" s="459"/>
      <c r="Q110" s="459"/>
      <c r="R110" s="459"/>
      <c r="S110" s="459"/>
      <c r="T110" s="459"/>
      <c r="AA110" s="804"/>
      <c r="AB110" s="815"/>
      <c r="AC110" s="815"/>
      <c r="AD110" s="815"/>
      <c r="AE110" s="459"/>
      <c r="AF110" s="459"/>
      <c r="AG110" s="459"/>
      <c r="AH110" s="459"/>
      <c r="AI110" s="804"/>
      <c r="AJ110" s="459"/>
      <c r="AK110" s="459"/>
      <c r="AL110" s="459"/>
      <c r="AN110" s="459"/>
      <c r="AO110" s="459"/>
    </row>
    <row r="111" customFormat="false" ht="15.75" hidden="false" customHeight="false" outlineLevel="0" collapsed="false">
      <c r="A111" s="838" t="n">
        <v>2004</v>
      </c>
      <c r="B111" s="723" t="n">
        <f aca="false" t="array" ref="B111:B111">SUM(IF(YEAR($A$10:$A$100)=$A111,$D$10:$D$100))</f>
        <v>-17530922.6821191</v>
      </c>
      <c r="C111" s="839" t="n">
        <f aca="false" t="array" ref="C111:C111">SUM(IF(YEAR($A$10:$A$100)=$A111,$G$10:$G$100))</f>
        <v>0</v>
      </c>
      <c r="D111" s="840" t="n">
        <f aca="false">B111+C111</f>
        <v>-17530922.6821191</v>
      </c>
      <c r="E111" s="459"/>
      <c r="F111" s="459"/>
      <c r="G111" s="459"/>
      <c r="H111" s="459"/>
      <c r="I111" s="804"/>
      <c r="J111" s="459"/>
      <c r="K111" s="459"/>
      <c r="L111" s="459"/>
      <c r="M111" s="459"/>
      <c r="N111" s="459"/>
      <c r="O111" s="459"/>
      <c r="P111" s="459"/>
      <c r="Q111" s="459"/>
      <c r="R111" s="459"/>
      <c r="S111" s="459"/>
      <c r="T111" s="459"/>
      <c r="AA111" s="804"/>
      <c r="AB111" s="815"/>
      <c r="AC111" s="815"/>
      <c r="AD111" s="815"/>
      <c r="AE111" s="459"/>
      <c r="AF111" s="459"/>
      <c r="AG111" s="459"/>
      <c r="AH111" s="459"/>
      <c r="AI111" s="804"/>
      <c r="AJ111" s="459"/>
      <c r="AK111" s="459"/>
      <c r="AL111" s="459"/>
      <c r="AN111" s="459"/>
      <c r="AO111" s="459"/>
    </row>
    <row r="112" customFormat="false" ht="15.75" hidden="false" customHeight="false" outlineLevel="0" collapsed="false">
      <c r="A112" s="838" t="n">
        <v>2005</v>
      </c>
      <c r="B112" s="723" t="n">
        <f aca="false" t="array" ref="B112:B112">SUM(IF(YEAR($A$10:$A$100)=$A112,$D$10:$D$100))</f>
        <v>-14858046.345104</v>
      </c>
      <c r="C112" s="839" t="n">
        <f aca="false" t="array" ref="C112:C112">SUM(IF(YEAR($A$10:$A$100)=$A112,$G$10:$G$100))</f>
        <v>0</v>
      </c>
      <c r="D112" s="840" t="n">
        <f aca="false">B112+C112</f>
        <v>-14858046.345104</v>
      </c>
      <c r="E112" s="459"/>
      <c r="F112" s="459"/>
      <c r="G112" s="459"/>
      <c r="H112" s="459"/>
      <c r="I112" s="804"/>
      <c r="J112" s="459"/>
      <c r="K112" s="459"/>
      <c r="L112" s="459"/>
      <c r="M112" s="459"/>
      <c r="N112" s="459"/>
      <c r="O112" s="459"/>
      <c r="P112" s="459"/>
      <c r="Q112" s="459"/>
      <c r="R112" s="459"/>
      <c r="S112" s="459"/>
      <c r="T112" s="459"/>
      <c r="AA112" s="804"/>
      <c r="AB112" s="815"/>
      <c r="AC112" s="815"/>
      <c r="AD112" s="815"/>
      <c r="AE112" s="459"/>
      <c r="AF112" s="459"/>
      <c r="AG112" s="459"/>
      <c r="AH112" s="459"/>
      <c r="AI112" s="804"/>
      <c r="AJ112" s="459"/>
      <c r="AK112" s="459"/>
      <c r="AL112" s="459"/>
      <c r="AN112" s="459"/>
      <c r="AO112" s="459"/>
    </row>
    <row r="113" customFormat="false" ht="16.5" hidden="false" customHeight="false" outlineLevel="0" collapsed="false">
      <c r="A113" s="838" t="n">
        <v>2006</v>
      </c>
      <c r="B113" s="723" t="n">
        <f aca="false" t="array" ref="B113:B113">SUM(IF(YEAR($A$10:$A$100)=$A113,$D$10:$D$100))</f>
        <v>-12934994.1812589</v>
      </c>
      <c r="C113" s="839" t="n">
        <f aca="false" t="array" ref="C113:C113">SUM(IF(YEAR($A$10:$A$100)=$A113,$G$10:$G$100))</f>
        <v>0</v>
      </c>
      <c r="D113" s="840" t="n">
        <f aca="false">B113+C113</f>
        <v>-12934994.1812589</v>
      </c>
      <c r="E113" s="459"/>
      <c r="F113" s="459"/>
      <c r="G113" s="459"/>
      <c r="H113" s="459"/>
      <c r="I113" s="804"/>
      <c r="J113" s="459"/>
      <c r="K113" s="459"/>
      <c r="L113" s="459"/>
      <c r="M113" s="459"/>
      <c r="N113" s="459"/>
      <c r="O113" s="459"/>
      <c r="P113" s="459"/>
      <c r="Q113" s="459"/>
      <c r="R113" s="459"/>
      <c r="S113" s="459"/>
      <c r="T113" s="459"/>
      <c r="AA113" s="804"/>
      <c r="AB113" s="815"/>
      <c r="AC113" s="815"/>
      <c r="AD113" s="815"/>
      <c r="AE113" s="459"/>
      <c r="AF113" s="459"/>
      <c r="AG113" s="459"/>
      <c r="AH113" s="459"/>
      <c r="AI113" s="804"/>
      <c r="AJ113" s="459"/>
      <c r="AK113" s="459"/>
      <c r="AL113" s="459"/>
      <c r="AN113" s="459"/>
      <c r="AO113" s="459"/>
    </row>
    <row r="114" customFormat="false" ht="16.5" hidden="false" customHeight="false" outlineLevel="0" collapsed="false">
      <c r="A114" s="841" t="s">
        <v>100</v>
      </c>
      <c r="B114" s="842" t="n">
        <f aca="false">SUM(B107:B113)</f>
        <v>-79673824.9565323</v>
      </c>
      <c r="C114" s="843" t="n">
        <f aca="false">SUM(C107:C113)</f>
        <v>0</v>
      </c>
      <c r="D114" s="844" t="n">
        <f aca="false">SUM(D107:D113)</f>
        <v>-79673824.9565323</v>
      </c>
      <c r="E114" s="459"/>
      <c r="F114" s="459"/>
      <c r="G114" s="459"/>
      <c r="H114" s="459"/>
      <c r="I114" s="804"/>
      <c r="J114" s="459"/>
      <c r="K114" s="459"/>
      <c r="L114" s="459"/>
      <c r="M114" s="459"/>
      <c r="N114" s="459"/>
      <c r="O114" s="459"/>
      <c r="P114" s="459"/>
      <c r="Q114" s="459"/>
      <c r="R114" s="459"/>
      <c r="S114" s="459"/>
      <c r="T114" s="459"/>
      <c r="AA114" s="804"/>
      <c r="AB114" s="815"/>
      <c r="AC114" s="815"/>
      <c r="AD114" s="815"/>
      <c r="AE114" s="459"/>
      <c r="AF114" s="459"/>
      <c r="AG114" s="459"/>
      <c r="AH114" s="459"/>
      <c r="AI114" s="804"/>
      <c r="AJ114" s="459"/>
      <c r="AK114" s="459"/>
      <c r="AL114" s="459"/>
      <c r="AN114" s="459"/>
      <c r="AO114" s="459"/>
    </row>
    <row r="115" customFormat="false" ht="12.75" hidden="false" customHeight="false" outlineLevel="0" collapsed="false">
      <c r="A115" s="804"/>
      <c r="B115" s="815"/>
      <c r="C115" s="815"/>
      <c r="D115" s="815"/>
      <c r="E115" s="459"/>
      <c r="F115" s="459"/>
      <c r="G115" s="459"/>
      <c r="H115" s="459"/>
      <c r="I115" s="804"/>
      <c r="J115" s="459"/>
      <c r="K115" s="459"/>
      <c r="L115" s="459"/>
      <c r="M115" s="459"/>
      <c r="N115" s="459"/>
      <c r="O115" s="459"/>
      <c r="P115" s="459"/>
      <c r="Q115" s="459"/>
      <c r="R115" s="459"/>
      <c r="S115" s="459"/>
      <c r="T115" s="459"/>
      <c r="AA115" s="804"/>
      <c r="AB115" s="815"/>
      <c r="AC115" s="815"/>
      <c r="AD115" s="815"/>
      <c r="AE115" s="459"/>
      <c r="AF115" s="459"/>
      <c r="AG115" s="459"/>
      <c r="AH115" s="459"/>
      <c r="AI115" s="804"/>
      <c r="AJ115" s="459"/>
      <c r="AK115" s="459"/>
      <c r="AL115" s="459"/>
      <c r="AN115" s="459"/>
      <c r="AO115" s="459"/>
    </row>
    <row r="116" customFormat="false" ht="12.75" hidden="false" customHeight="false" outlineLevel="0" collapsed="false">
      <c r="A116" s="804"/>
      <c r="B116" s="815"/>
      <c r="C116" s="815"/>
      <c r="D116" s="815"/>
      <c r="E116" s="459"/>
      <c r="F116" s="459"/>
      <c r="G116" s="459"/>
      <c r="H116" s="459"/>
      <c r="I116" s="804"/>
      <c r="J116" s="459"/>
      <c r="K116" s="459"/>
      <c r="L116" s="459"/>
      <c r="M116" s="459"/>
      <c r="N116" s="459"/>
      <c r="O116" s="459"/>
      <c r="P116" s="459"/>
      <c r="Q116" s="459"/>
      <c r="R116" s="459"/>
      <c r="S116" s="459"/>
      <c r="T116" s="459"/>
      <c r="AA116" s="804"/>
      <c r="AB116" s="815"/>
      <c r="AC116" s="815"/>
      <c r="AD116" s="815"/>
      <c r="AE116" s="459"/>
      <c r="AF116" s="459"/>
      <c r="AG116" s="459"/>
      <c r="AH116" s="459"/>
      <c r="AI116" s="804"/>
      <c r="AJ116" s="459"/>
      <c r="AK116" s="459"/>
      <c r="AL116" s="459"/>
      <c r="AN116" s="459"/>
      <c r="AO116" s="459"/>
    </row>
    <row r="117" customFormat="false" ht="12.75" hidden="false" customHeight="false" outlineLevel="0" collapsed="false">
      <c r="A117" s="804"/>
      <c r="B117" s="815"/>
      <c r="C117" s="815"/>
      <c r="D117" s="815"/>
      <c r="E117" s="459"/>
      <c r="F117" s="459"/>
      <c r="G117" s="459"/>
      <c r="H117" s="459"/>
      <c r="I117" s="459"/>
      <c r="J117" s="459"/>
      <c r="K117" s="459"/>
      <c r="L117" s="459"/>
      <c r="M117" s="459"/>
      <c r="N117" s="459"/>
      <c r="O117" s="459"/>
      <c r="P117" s="459"/>
      <c r="Q117" s="459"/>
      <c r="R117" s="459"/>
      <c r="S117" s="459"/>
      <c r="T117" s="459"/>
      <c r="AA117" s="804"/>
      <c r="AB117" s="815"/>
      <c r="AC117" s="815"/>
      <c r="AD117" s="815"/>
      <c r="AE117" s="459"/>
      <c r="AF117" s="459"/>
      <c r="AG117" s="459"/>
      <c r="AH117" s="459"/>
      <c r="AI117" s="459"/>
      <c r="AJ117" s="459"/>
      <c r="AK117" s="459"/>
      <c r="AL117" s="459"/>
      <c r="AN117" s="459"/>
      <c r="AO117" s="459"/>
    </row>
    <row r="118" customFormat="false" ht="12.75" hidden="false" customHeight="false" outlineLevel="0" collapsed="false">
      <c r="A118" s="459"/>
      <c r="B118" s="815"/>
      <c r="C118" s="815"/>
      <c r="D118" s="815"/>
      <c r="E118" s="459"/>
      <c r="F118" s="459"/>
      <c r="G118" s="459"/>
      <c r="H118" s="459"/>
      <c r="I118" s="459"/>
      <c r="AA118" s="459"/>
      <c r="AB118" s="815"/>
      <c r="AC118" s="815"/>
      <c r="AD118" s="815"/>
      <c r="AE118" s="459"/>
      <c r="AF118" s="459"/>
      <c r="AG118" s="459"/>
      <c r="AH118" s="459"/>
      <c r="AI118" s="459"/>
      <c r="AN118" s="459"/>
      <c r="AO118" s="459"/>
    </row>
    <row r="119" customFormat="false" ht="12.75" hidden="false" customHeight="false" outlineLevel="0" collapsed="false">
      <c r="A119" s="459"/>
      <c r="B119" s="459"/>
      <c r="C119" s="459"/>
      <c r="D119" s="459"/>
      <c r="E119" s="459"/>
      <c r="F119" s="459"/>
      <c r="G119" s="459"/>
      <c r="H119" s="459"/>
      <c r="I119" s="459"/>
      <c r="AA119" s="459"/>
      <c r="AB119" s="459"/>
      <c r="AC119" s="459"/>
      <c r="AD119" s="459"/>
      <c r="AE119" s="459"/>
      <c r="AF119" s="459"/>
      <c r="AG119" s="459"/>
      <c r="AH119" s="459"/>
      <c r="AI119" s="459"/>
      <c r="AN119" s="459"/>
      <c r="AO119" s="459"/>
    </row>
    <row r="120" customFormat="false" ht="12.75" hidden="false" customHeight="false" outlineLevel="0" collapsed="false">
      <c r="A120" s="459"/>
      <c r="B120" s="459"/>
      <c r="C120" s="459"/>
      <c r="D120" s="459"/>
      <c r="E120" s="459"/>
      <c r="F120" s="459"/>
      <c r="G120" s="459"/>
      <c r="H120" s="459"/>
      <c r="I120" s="459"/>
      <c r="AA120" s="459"/>
      <c r="AB120" s="459"/>
      <c r="AC120" s="459"/>
      <c r="AD120" s="459"/>
      <c r="AE120" s="459"/>
      <c r="AF120" s="459"/>
      <c r="AG120" s="459"/>
      <c r="AH120" s="459"/>
      <c r="AI120" s="459"/>
      <c r="AN120" s="459"/>
      <c r="AO120" s="459"/>
    </row>
    <row r="121" customFormat="false" ht="12.75" hidden="false" customHeight="false" outlineLevel="0" collapsed="false">
      <c r="A121" s="459"/>
      <c r="B121" s="459"/>
      <c r="C121" s="459"/>
      <c r="D121" s="459"/>
      <c r="E121" s="459"/>
      <c r="F121" s="459"/>
      <c r="G121" s="459"/>
      <c r="H121" s="459"/>
      <c r="I121" s="459"/>
      <c r="AA121" s="459"/>
      <c r="AB121" s="459"/>
      <c r="AC121" s="459"/>
      <c r="AD121" s="459"/>
      <c r="AE121" s="459"/>
      <c r="AF121" s="459"/>
      <c r="AG121" s="459"/>
      <c r="AH121" s="459"/>
      <c r="AI121" s="459"/>
      <c r="AN121" s="459"/>
      <c r="AO121" s="459"/>
    </row>
    <row r="122" customFormat="false" ht="12.75" hidden="false" customHeight="false" outlineLevel="0" collapsed="false">
      <c r="A122" s="459"/>
      <c r="B122" s="459"/>
      <c r="C122" s="459"/>
      <c r="D122" s="459"/>
      <c r="E122" s="459"/>
      <c r="F122" s="459"/>
      <c r="G122" s="459"/>
      <c r="H122" s="459"/>
      <c r="I122" s="459"/>
      <c r="AA122" s="459"/>
      <c r="AB122" s="459"/>
      <c r="AC122" s="459"/>
      <c r="AD122" s="459"/>
      <c r="AE122" s="459"/>
      <c r="AF122" s="459"/>
      <c r="AG122" s="459"/>
      <c r="AH122" s="459"/>
      <c r="AI122" s="459"/>
      <c r="AN122" s="459"/>
      <c r="AO122" s="459"/>
    </row>
    <row r="123" customFormat="false" ht="12.75" hidden="false" customHeight="false" outlineLevel="0" collapsed="false">
      <c r="A123" s="459"/>
      <c r="B123" s="459"/>
      <c r="C123" s="459"/>
      <c r="D123" s="459"/>
      <c r="E123" s="459"/>
      <c r="F123" s="459"/>
      <c r="G123" s="459"/>
      <c r="H123" s="459"/>
      <c r="I123" s="459"/>
      <c r="AA123" s="459"/>
      <c r="AB123" s="459"/>
      <c r="AC123" s="459"/>
      <c r="AD123" s="459"/>
      <c r="AE123" s="459"/>
      <c r="AF123" s="459"/>
      <c r="AG123" s="459"/>
      <c r="AH123" s="459"/>
      <c r="AI123" s="459"/>
      <c r="AN123" s="459"/>
      <c r="AO123" s="459"/>
    </row>
    <row r="124" customFormat="false" ht="12.75" hidden="false" customHeight="false" outlineLevel="0" collapsed="false">
      <c r="A124" s="459"/>
      <c r="B124" s="459"/>
      <c r="C124" s="459"/>
      <c r="D124" s="459"/>
      <c r="E124" s="459"/>
      <c r="F124" s="459"/>
      <c r="G124" s="459"/>
      <c r="H124" s="459"/>
      <c r="I124" s="459"/>
      <c r="AA124" s="459"/>
      <c r="AB124" s="459"/>
      <c r="AC124" s="459"/>
      <c r="AD124" s="459"/>
      <c r="AE124" s="459"/>
      <c r="AF124" s="459"/>
      <c r="AG124" s="459"/>
      <c r="AH124" s="459"/>
      <c r="AI124" s="459"/>
      <c r="AN124" s="459"/>
      <c r="AO124" s="459"/>
    </row>
    <row r="125" customFormat="false" ht="12.75" hidden="false" customHeight="false" outlineLevel="0" collapsed="false">
      <c r="A125" s="459"/>
      <c r="B125" s="459"/>
      <c r="C125" s="459"/>
      <c r="D125" s="459"/>
      <c r="E125" s="459"/>
      <c r="F125" s="459"/>
      <c r="G125" s="459"/>
      <c r="H125" s="459"/>
      <c r="AA125" s="459"/>
      <c r="AB125" s="459"/>
      <c r="AC125" s="459"/>
      <c r="AD125" s="459"/>
      <c r="AE125" s="459"/>
      <c r="AF125" s="459"/>
      <c r="AG125" s="459"/>
      <c r="AH125" s="459"/>
      <c r="AN125" s="459"/>
      <c r="AO125" s="459"/>
    </row>
  </sheetData>
  <printOptions headings="false" gridLines="false" gridLinesSet="true" horizontalCentered="false" verticalCentered="true"/>
  <pageMargins left="0.5" right="0.5" top="0.75" bottom="0.75" header="0.2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GencoPosn">
                <anchor moveWithCells="true" sizeWithCells="false">
                  <from>
                    <xdr:col>1</xdr:col>
                    <xdr:colOff>583560</xdr:colOff>
                    <xdr:row>1</xdr:row>
                    <xdr:rowOff>86040</xdr:rowOff>
                  </from>
                  <to>
                    <xdr:col>2</xdr:col>
                    <xdr:colOff>765720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O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9" activeCellId="0" sqref="B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56"/>
    <col collapsed="false" customWidth="true" hidden="false" outlineLevel="0" max="2" min="2" style="0" width="14.85"/>
    <col collapsed="false" customWidth="true" hidden="false" outlineLevel="0" max="4" min="3" style="0" width="12.7"/>
    <col collapsed="false" customWidth="true" hidden="false" outlineLevel="0" max="5" min="5" style="0" width="14.99"/>
    <col collapsed="false" customWidth="true" hidden="false" outlineLevel="0" max="6" min="6" style="0" width="12.7"/>
    <col collapsed="false" customWidth="true" hidden="false" outlineLevel="0" max="7" min="7" style="0" width="13.28"/>
    <col collapsed="false" customWidth="true" hidden="false" outlineLevel="0" max="9" min="8" style="0" width="12.7"/>
    <col collapsed="false" customWidth="true" hidden="false" outlineLevel="0" max="10" min="10" style="0" width="15.41"/>
    <col collapsed="false" customWidth="true" hidden="false" outlineLevel="0" max="11" min="11" style="0" width="12.7"/>
    <col collapsed="false" customWidth="true" hidden="false" outlineLevel="0" max="12" min="12" style="0" width="13.99"/>
    <col collapsed="false" customWidth="true" hidden="false" outlineLevel="0" max="14" min="14" style="0" width="10.71"/>
    <col collapsed="false" customWidth="true" hidden="false" outlineLevel="0" max="34" min="19" style="0" width="9.7"/>
    <col collapsed="false" customWidth="true" hidden="false" outlineLevel="0" max="35" min="35" style="0" width="11.85"/>
    <col collapsed="false" customWidth="true" hidden="false" outlineLevel="0" max="60" min="36" style="0" width="9.7"/>
    <col collapsed="false" customWidth="true" hidden="false" outlineLevel="0" max="67" min="67" style="0" width="10.71"/>
  </cols>
  <sheetData>
    <row r="1" customFormat="false" ht="23.25" hidden="false" customHeight="false" outlineLevel="0" collapsed="false">
      <c r="A1" s="845" t="s">
        <v>363</v>
      </c>
      <c r="B1" s="439"/>
      <c r="C1" s="439"/>
      <c r="D1" s="439"/>
      <c r="E1" s="439"/>
      <c r="F1" s="439"/>
      <c r="H1" s="439"/>
      <c r="I1" s="439"/>
      <c r="J1" s="439"/>
      <c r="K1" s="439"/>
      <c r="L1" s="439"/>
      <c r="DF1" s="846"/>
      <c r="DG1" s="459"/>
      <c r="DH1" s="459"/>
      <c r="DI1" s="459"/>
      <c r="DJ1" s="459"/>
      <c r="DK1" s="459"/>
      <c r="DL1" s="459"/>
      <c r="DM1" s="459"/>
      <c r="DR1" s="783" t="s">
        <v>66</v>
      </c>
      <c r="DX1" s="783" t="s">
        <v>364</v>
      </c>
      <c r="EA1" s="459"/>
      <c r="EB1" s="459"/>
      <c r="EC1" s="459"/>
      <c r="ED1" s="459"/>
      <c r="EE1" s="459"/>
    </row>
    <row r="2" customFormat="false" ht="13.5" hidden="false" customHeight="false" outlineLevel="0" collapsed="false">
      <c r="A2" s="450"/>
      <c r="C2" s="439"/>
      <c r="D2" s="439"/>
      <c r="E2" s="439"/>
      <c r="F2" s="439"/>
      <c r="G2" s="439"/>
      <c r="H2" s="439" t="s">
        <v>60</v>
      </c>
      <c r="I2" s="439"/>
      <c r="J2" s="439"/>
      <c r="K2" s="439"/>
      <c r="L2" s="439"/>
      <c r="DF2" s="459"/>
      <c r="DG2" s="459"/>
      <c r="DH2" s="459"/>
      <c r="DI2" s="459"/>
      <c r="DJ2" s="459"/>
      <c r="DK2" s="459"/>
      <c r="DL2" s="459"/>
      <c r="DM2" s="459"/>
      <c r="DR2" s="0" t="s">
        <v>365</v>
      </c>
      <c r="DX2" s="0" t="s">
        <v>366</v>
      </c>
      <c r="EA2" s="459"/>
      <c r="EB2" s="459"/>
      <c r="EC2" s="459"/>
      <c r="ED2" s="459"/>
      <c r="EE2" s="459"/>
    </row>
    <row r="3" customFormat="false" ht="18.75" hidden="false" customHeight="false" outlineLevel="0" collapsed="false">
      <c r="A3" s="847" t="n">
        <f aca="false">TradeSum!B2</f>
        <v>37141</v>
      </c>
      <c r="C3" s="439"/>
      <c r="D3" s="439"/>
      <c r="E3" s="439"/>
      <c r="F3" s="452"/>
      <c r="G3" s="455" t="s">
        <v>255</v>
      </c>
      <c r="J3" s="848" t="s">
        <v>367</v>
      </c>
      <c r="DF3" s="459"/>
      <c r="DG3" s="459"/>
      <c r="DH3" s="459"/>
      <c r="DI3" s="459"/>
      <c r="DJ3" s="459"/>
      <c r="DK3" s="459"/>
      <c r="DL3" s="459"/>
      <c r="DM3" s="459"/>
      <c r="DU3" s="0" t="n">
        <v>2</v>
      </c>
      <c r="EA3" s="459"/>
      <c r="EB3" s="459"/>
      <c r="EC3" s="459"/>
      <c r="ED3" s="459"/>
      <c r="EE3" s="459"/>
    </row>
    <row r="4" customFormat="false" ht="15.75" hidden="false" customHeight="false" outlineLevel="0" collapsed="false">
      <c r="A4" s="450"/>
      <c r="B4" s="451"/>
      <c r="C4" s="849" t="b">
        <f aca="false">TRUE()</f>
        <v>1</v>
      </c>
      <c r="D4" s="439"/>
      <c r="E4" s="439"/>
      <c r="F4" s="460" t="s">
        <v>176</v>
      </c>
      <c r="G4" s="462" t="n">
        <f aca="false">SUM(J12:J28)</f>
        <v>0</v>
      </c>
      <c r="J4" s="850"/>
      <c r="DF4" s="459"/>
      <c r="DG4" s="459"/>
      <c r="DH4" s="459"/>
      <c r="DI4" s="459"/>
      <c r="DJ4" s="459"/>
      <c r="DK4" s="459"/>
      <c r="DL4" s="459"/>
      <c r="DM4" s="459"/>
      <c r="DQ4" s="822"/>
      <c r="DR4" s="473"/>
      <c r="DS4" s="473"/>
      <c r="DX4" s="851" t="str">
        <f aca="false" t="array" ref="DX4:DX17">DDE("TWINDDE","RSFPage","0#CN: 2 16 5 14")</f>
        <v>--0.6</v>
      </c>
      <c r="DY4" s="852" t="n">
        <f aca="false">IF(ISERROR(DZ4),0,DZ4)</f>
        <v>0</v>
      </c>
      <c r="DZ4" s="852" t="e">
        <f aca="false">VALUE(DX4)</f>
        <v>#VALUE!</v>
      </c>
      <c r="EA4" s="459"/>
      <c r="EB4" s="459"/>
      <c r="EC4" s="459"/>
      <c r="ED4" s="459"/>
      <c r="EE4" s="459"/>
      <c r="EN4" s="0" t="s">
        <v>368</v>
      </c>
      <c r="EO4" s="0" t="n">
        <v>4</v>
      </c>
    </row>
    <row r="5" customFormat="false" ht="16.5" hidden="false" customHeight="false" outlineLevel="0" collapsed="false">
      <c r="A5" s="450"/>
      <c r="B5" s="451" t="s">
        <v>60</v>
      </c>
      <c r="C5" s="439"/>
      <c r="D5" s="439"/>
      <c r="E5" s="450"/>
      <c r="F5" s="460" t="s">
        <v>95</v>
      </c>
      <c r="G5" s="462" t="n">
        <f aca="false">SUM(K12:K28)</f>
        <v>0</v>
      </c>
      <c r="J5" s="853"/>
      <c r="DF5" s="459"/>
      <c r="DG5" s="459"/>
      <c r="DH5" s="459"/>
      <c r="DI5" s="459"/>
      <c r="DJ5" s="459"/>
      <c r="DK5" s="459"/>
      <c r="DL5" s="459"/>
      <c r="DM5" s="459"/>
      <c r="DQ5" s="822" t="n">
        <f aca="false">A12</f>
        <v>37196</v>
      </c>
      <c r="DR5" s="473" t="n">
        <f aca="false">DY5</f>
        <v>0</v>
      </c>
      <c r="DS5" s="473" t="n">
        <f aca="false">VLOOKUP(DQ5,NymexData!$A$12:$B$29,2)-G12</f>
        <v>0</v>
      </c>
      <c r="DX5" s="854" t="str">
        <v>--0.4</v>
      </c>
      <c r="DY5" s="852" t="n">
        <f aca="false">IF(ISERROR(DZ5),0,DZ5)</f>
        <v>0</v>
      </c>
      <c r="DZ5" s="459" t="e">
        <f aca="false">VALUE(DX5)</f>
        <v>#VALUE!</v>
      </c>
      <c r="EA5" s="459"/>
      <c r="EB5" s="459"/>
      <c r="EC5" s="459"/>
      <c r="ED5" s="459"/>
      <c r="EE5" s="459"/>
      <c r="EN5" s="0" t="s">
        <v>369</v>
      </c>
      <c r="EO5" s="0" t="n">
        <v>8</v>
      </c>
    </row>
    <row r="6" customFormat="false" ht="16.5" hidden="false" customHeight="false" outlineLevel="0" collapsed="false">
      <c r="A6" s="450"/>
      <c r="B6" s="451"/>
      <c r="C6" s="439"/>
      <c r="D6" s="530"/>
      <c r="E6" s="439"/>
      <c r="F6" s="452" t="s">
        <v>178</v>
      </c>
      <c r="G6" s="855" t="n">
        <f aca="false">G4+G5</f>
        <v>0</v>
      </c>
      <c r="DF6" s="459"/>
      <c r="DG6" s="459"/>
      <c r="DH6" s="459"/>
      <c r="DI6" s="459"/>
      <c r="DJ6" s="459"/>
      <c r="DK6" s="459"/>
      <c r="DL6" s="459"/>
      <c r="DM6" s="459"/>
      <c r="DQ6" s="822" t="n">
        <f aca="false">A13</f>
        <v>37226</v>
      </c>
      <c r="DR6" s="473" t="n">
        <f aca="false">DY6</f>
        <v>0</v>
      </c>
      <c r="DS6" s="473" t="n">
        <f aca="false">VLOOKUP(DQ6,NymexData!$A$12:$B$29,2)-G13</f>
        <v>0</v>
      </c>
      <c r="DX6" s="854" t="str">
        <v>--0.4</v>
      </c>
      <c r="DY6" s="852" t="n">
        <f aca="false">IF(ISERROR(DZ6),0,DZ6)</f>
        <v>0</v>
      </c>
      <c r="DZ6" s="459" t="e">
        <f aca="false">VALUE(DX6)</f>
        <v>#VALUE!</v>
      </c>
      <c r="EA6" s="459"/>
      <c r="EB6" s="459"/>
      <c r="EC6" s="459"/>
      <c r="ED6" s="459"/>
      <c r="EE6" s="459"/>
      <c r="EN6" s="0" t="s">
        <v>370</v>
      </c>
      <c r="EO6" s="0" t="n">
        <v>12</v>
      </c>
    </row>
    <row r="7" customFormat="false" ht="12.75" hidden="false" customHeight="false" outlineLevel="0" collapsed="false">
      <c r="A7" s="439"/>
      <c r="B7" s="451"/>
      <c r="C7" s="439"/>
      <c r="D7" s="439"/>
      <c r="E7" s="439"/>
      <c r="F7" s="439"/>
      <c r="G7" s="856"/>
      <c r="H7" s="856"/>
      <c r="I7" s="856" t="s">
        <v>60</v>
      </c>
      <c r="J7" s="856"/>
      <c r="K7" s="856"/>
      <c r="L7" s="856"/>
      <c r="DF7" s="459"/>
      <c r="DG7" s="459"/>
      <c r="DH7" s="459"/>
      <c r="DI7" s="459"/>
      <c r="DJ7" s="459"/>
      <c r="DK7" s="459"/>
      <c r="DL7" s="459"/>
      <c r="DM7" s="459"/>
      <c r="DQ7" s="822" t="n">
        <f aca="false">A14</f>
        <v>37257</v>
      </c>
      <c r="DR7" s="473" t="n">
        <f aca="false">DY7</f>
        <v>0</v>
      </c>
      <c r="DS7" s="473" t="n">
        <f aca="false">VLOOKUP(DQ7,NymexData!$A$12:$B$29,2)-G14</f>
        <v>0</v>
      </c>
      <c r="DX7" s="854" t="str">
        <v>--0.2</v>
      </c>
      <c r="DY7" s="852" t="n">
        <f aca="false">IF(ISERROR(DZ7),0,DZ7)</f>
        <v>0</v>
      </c>
      <c r="DZ7" s="459" t="e">
        <f aca="false">VALUE(DX7)</f>
        <v>#VALUE!</v>
      </c>
      <c r="EA7" s="459"/>
      <c r="EB7" s="459"/>
      <c r="EC7" s="459"/>
      <c r="ED7" s="459"/>
      <c r="EE7" s="459"/>
      <c r="EN7" s="0" t="s">
        <v>371</v>
      </c>
      <c r="EO7" s="0" t="n">
        <v>2</v>
      </c>
    </row>
    <row r="8" customFormat="false" ht="20.25" hidden="false" customHeight="false" outlineLevel="0" collapsed="false">
      <c r="A8" s="441"/>
      <c r="B8" s="451"/>
      <c r="C8" s="439"/>
      <c r="D8" s="439"/>
      <c r="E8" s="439"/>
      <c r="F8" s="439"/>
      <c r="G8" s="856"/>
      <c r="H8" s="856"/>
      <c r="I8" s="856"/>
      <c r="J8" s="856"/>
      <c r="DF8" s="459"/>
      <c r="DG8" s="459"/>
      <c r="DH8" s="459"/>
      <c r="DI8" s="459"/>
      <c r="DJ8" s="459"/>
      <c r="DK8" s="459"/>
      <c r="DL8" s="459"/>
      <c r="DM8" s="459"/>
      <c r="DQ8" s="822" t="n">
        <f aca="false">A15</f>
        <v>37288</v>
      </c>
      <c r="DR8" s="473" t="n">
        <f aca="false">DY8</f>
        <v>0</v>
      </c>
      <c r="DS8" s="473" t="n">
        <f aca="false">VLOOKUP(DQ8,NymexData!$A$12:$B$29,2)-G15</f>
        <v>0</v>
      </c>
      <c r="DX8" s="854" t="str">
        <v>--0.2</v>
      </c>
      <c r="DY8" s="852" t="n">
        <f aca="false">IF(ISERROR(DZ8),0,DZ8)</f>
        <v>0</v>
      </c>
      <c r="DZ8" s="459" t="e">
        <f aca="false">VALUE(DX8)</f>
        <v>#VALUE!</v>
      </c>
      <c r="EA8" s="459"/>
      <c r="EB8" s="459"/>
      <c r="EC8" s="459"/>
      <c r="ED8" s="459"/>
      <c r="EE8" s="459"/>
      <c r="EN8" s="0" t="s">
        <v>372</v>
      </c>
      <c r="EO8" s="0" t="n">
        <v>1</v>
      </c>
    </row>
    <row r="9" customFormat="false" ht="13.5" hidden="false" customHeight="false" outlineLevel="0" collapsed="false">
      <c r="A9" s="46"/>
      <c r="B9" s="475"/>
      <c r="C9" s="46"/>
      <c r="D9" s="46"/>
      <c r="E9" s="46"/>
      <c r="F9" s="234"/>
      <c r="G9" s="234"/>
      <c r="H9" s="46"/>
      <c r="I9" s="46"/>
      <c r="J9" s="46"/>
      <c r="K9" s="46"/>
      <c r="L9" s="46"/>
      <c r="DF9" s="459"/>
      <c r="DG9" s="459"/>
      <c r="DH9" s="459"/>
      <c r="DI9" s="459"/>
      <c r="DJ9" s="459"/>
      <c r="DK9" s="459"/>
      <c r="DL9" s="459"/>
      <c r="DM9" s="459"/>
      <c r="DQ9" s="822" t="n">
        <f aca="false">A16</f>
        <v>37316</v>
      </c>
      <c r="DR9" s="473" t="n">
        <f aca="false">DY9</f>
        <v>0</v>
      </c>
      <c r="DS9" s="473" t="n">
        <f aca="false">VLOOKUP(DQ9,NymexData!$A$12:$B$29,2)-G16</f>
        <v>0</v>
      </c>
      <c r="DX9" s="854" t="str">
        <v>--0.2</v>
      </c>
      <c r="DY9" s="852" t="n">
        <f aca="false">IF(ISERROR(DZ9),0,DZ9)</f>
        <v>0</v>
      </c>
      <c r="DZ9" s="459" t="e">
        <f aca="false">VALUE(DX9)</f>
        <v>#VALUE!</v>
      </c>
      <c r="EA9" s="459"/>
      <c r="EB9" s="459"/>
      <c r="EC9" s="459"/>
      <c r="ED9" s="459"/>
      <c r="EE9" s="459"/>
      <c r="EN9" s="0" t="s">
        <v>373</v>
      </c>
      <c r="EO9" s="0" t="n">
        <v>7</v>
      </c>
    </row>
    <row r="10" customFormat="false" ht="12.75" hidden="false" customHeight="false" outlineLevel="0" collapsed="false">
      <c r="A10" s="68"/>
      <c r="B10" s="68" t="s">
        <v>68</v>
      </c>
      <c r="C10" s="68" t="s">
        <v>68</v>
      </c>
      <c r="D10" s="68" t="s">
        <v>69</v>
      </c>
      <c r="E10" s="68" t="s">
        <v>70</v>
      </c>
      <c r="F10" s="68" t="s">
        <v>70</v>
      </c>
      <c r="G10" s="68" t="s">
        <v>155</v>
      </c>
      <c r="H10" s="68" t="s">
        <v>69</v>
      </c>
      <c r="I10" s="68" t="s">
        <v>260</v>
      </c>
      <c r="J10" s="68" t="s">
        <v>72</v>
      </c>
      <c r="K10" s="478" t="s">
        <v>73</v>
      </c>
      <c r="L10" s="478"/>
      <c r="N10" s="857" t="s">
        <v>374</v>
      </c>
      <c r="R10" s="481"/>
      <c r="S10" s="68" t="n">
        <v>1</v>
      </c>
      <c r="T10" s="68"/>
      <c r="U10" s="68" t="n">
        <v>2</v>
      </c>
      <c r="V10" s="68"/>
      <c r="W10" s="68" t="n">
        <v>3</v>
      </c>
      <c r="X10" s="68"/>
      <c r="Y10" s="68" t="n">
        <v>4</v>
      </c>
      <c r="Z10" s="68"/>
      <c r="AA10" s="68" t="n">
        <v>5</v>
      </c>
      <c r="AB10" s="68"/>
      <c r="AC10" s="68" t="n">
        <v>6</v>
      </c>
      <c r="AD10" s="68"/>
      <c r="AE10" s="68" t="n">
        <v>7</v>
      </c>
      <c r="AF10" s="68"/>
      <c r="AG10" s="68" t="n">
        <v>8</v>
      </c>
      <c r="AH10" s="68"/>
      <c r="AI10" s="68" t="n">
        <v>9</v>
      </c>
      <c r="AJ10" s="68"/>
      <c r="AK10" s="68" t="n">
        <v>10</v>
      </c>
      <c r="AL10" s="68"/>
      <c r="AM10" s="68" t="n">
        <v>11</v>
      </c>
      <c r="AN10" s="68"/>
      <c r="AO10" s="68" t="n">
        <v>12</v>
      </c>
      <c r="AP10" s="68"/>
      <c r="AQ10" s="68" t="n">
        <v>13</v>
      </c>
      <c r="AR10" s="68"/>
      <c r="AS10" s="68" t="n">
        <v>14</v>
      </c>
      <c r="AT10" s="68"/>
      <c r="AU10" s="68" t="n">
        <v>15</v>
      </c>
      <c r="AV10" s="68"/>
      <c r="AW10" s="68" t="n">
        <v>16</v>
      </c>
      <c r="AX10" s="68"/>
      <c r="AY10" s="68" t="n">
        <v>17</v>
      </c>
      <c r="AZ10" s="68"/>
      <c r="BA10" s="68" t="n">
        <v>18</v>
      </c>
      <c r="BB10" s="68"/>
      <c r="BC10" s="68" t="n">
        <v>19</v>
      </c>
      <c r="BD10" s="68"/>
      <c r="BE10" s="68" t="n">
        <v>20</v>
      </c>
      <c r="BF10" s="68"/>
      <c r="BG10" s="482" t="s">
        <v>10</v>
      </c>
      <c r="BH10" s="483" t="s">
        <v>375</v>
      </c>
      <c r="BK10" s="858" t="s">
        <v>376</v>
      </c>
      <c r="BL10" s="68"/>
      <c r="BM10" s="859"/>
      <c r="BO10" s="68"/>
      <c r="DF10" s="459"/>
      <c r="DG10" s="459"/>
      <c r="DH10" s="459"/>
      <c r="DI10" s="459"/>
      <c r="DJ10" s="459"/>
      <c r="DK10" s="459"/>
      <c r="DL10" s="459"/>
      <c r="DM10" s="459"/>
      <c r="DQ10" s="822" t="n">
        <f aca="false">A17</f>
        <v>37347</v>
      </c>
      <c r="DR10" s="473" t="n">
        <f aca="false">DY10</f>
        <v>0</v>
      </c>
      <c r="DS10" s="473" t="n">
        <f aca="false">VLOOKUP(DQ10,NymexData!$A$12:$B$29,2)-G17</f>
        <v>0</v>
      </c>
      <c r="DX10" s="854" t="str">
        <v>--0.2</v>
      </c>
      <c r="DY10" s="852" t="n">
        <f aca="false">IF(ISERROR(DZ10),0,DZ10)</f>
        <v>0</v>
      </c>
      <c r="DZ10" s="459" t="e">
        <f aca="false">VALUE(DX10)</f>
        <v>#VALUE!</v>
      </c>
      <c r="EA10" s="459"/>
      <c r="EB10" s="459"/>
      <c r="EC10" s="459"/>
      <c r="ED10" s="459"/>
      <c r="EE10" s="459"/>
      <c r="EN10" s="0" t="s">
        <v>377</v>
      </c>
      <c r="EO10" s="0" t="n">
        <v>6</v>
      </c>
    </row>
    <row r="11" customFormat="false" ht="13.5" hidden="false" customHeight="false" outlineLevel="0" collapsed="false">
      <c r="A11" s="82" t="s">
        <v>79</v>
      </c>
      <c r="B11" s="82" t="s">
        <v>350</v>
      </c>
      <c r="C11" s="82" t="s">
        <v>378</v>
      </c>
      <c r="D11" s="82" t="s">
        <v>82</v>
      </c>
      <c r="E11" s="82" t="s">
        <v>350</v>
      </c>
      <c r="F11" s="82" t="s">
        <v>378</v>
      </c>
      <c r="G11" s="82" t="s">
        <v>275</v>
      </c>
      <c r="H11" s="82" t="s">
        <v>6</v>
      </c>
      <c r="I11" s="82" t="s">
        <v>275</v>
      </c>
      <c r="J11" s="82" t="s">
        <v>85</v>
      </c>
      <c r="K11" s="486" t="s">
        <v>86</v>
      </c>
      <c r="L11" s="486" t="s">
        <v>87</v>
      </c>
      <c r="N11" s="860" t="s">
        <v>14</v>
      </c>
      <c r="O11" s="234"/>
      <c r="R11" s="82" t="s">
        <v>79</v>
      </c>
      <c r="S11" s="861" t="s">
        <v>379</v>
      </c>
      <c r="T11" s="862" t="s">
        <v>380</v>
      </c>
      <c r="U11" s="861" t="s">
        <v>379</v>
      </c>
      <c r="V11" s="862" t="s">
        <v>380</v>
      </c>
      <c r="W11" s="861" t="s">
        <v>379</v>
      </c>
      <c r="X11" s="862" t="s">
        <v>380</v>
      </c>
      <c r="Y11" s="493" t="s">
        <v>379</v>
      </c>
      <c r="Z11" s="486" t="s">
        <v>380</v>
      </c>
      <c r="AA11" s="861" t="s">
        <v>379</v>
      </c>
      <c r="AB11" s="862" t="s">
        <v>380</v>
      </c>
      <c r="AC11" s="861" t="s">
        <v>379</v>
      </c>
      <c r="AD11" s="862" t="s">
        <v>380</v>
      </c>
      <c r="AE11" s="861" t="s">
        <v>379</v>
      </c>
      <c r="AF11" s="862" t="s">
        <v>380</v>
      </c>
      <c r="AG11" s="861" t="s">
        <v>379</v>
      </c>
      <c r="AH11" s="862" t="s">
        <v>380</v>
      </c>
      <c r="AI11" s="861" t="s">
        <v>379</v>
      </c>
      <c r="AJ11" s="862" t="s">
        <v>380</v>
      </c>
      <c r="AK11" s="861" t="s">
        <v>379</v>
      </c>
      <c r="AL11" s="862" t="s">
        <v>380</v>
      </c>
      <c r="AM11" s="861" t="s">
        <v>379</v>
      </c>
      <c r="AN11" s="862" t="s">
        <v>380</v>
      </c>
      <c r="AO11" s="861" t="s">
        <v>379</v>
      </c>
      <c r="AP11" s="862" t="s">
        <v>380</v>
      </c>
      <c r="AQ11" s="861" t="s">
        <v>379</v>
      </c>
      <c r="AR11" s="862" t="s">
        <v>380</v>
      </c>
      <c r="AS11" s="861" t="s">
        <v>379</v>
      </c>
      <c r="AT11" s="862" t="s">
        <v>380</v>
      </c>
      <c r="AU11" s="861" t="s">
        <v>379</v>
      </c>
      <c r="AV11" s="862" t="s">
        <v>380</v>
      </c>
      <c r="AW11" s="861" t="s">
        <v>379</v>
      </c>
      <c r="AX11" s="862" t="s">
        <v>380</v>
      </c>
      <c r="AY11" s="861" t="s">
        <v>379</v>
      </c>
      <c r="AZ11" s="862" t="s">
        <v>380</v>
      </c>
      <c r="BA11" s="861" t="s">
        <v>379</v>
      </c>
      <c r="BB11" s="862" t="s">
        <v>380</v>
      </c>
      <c r="BC11" s="861" t="s">
        <v>379</v>
      </c>
      <c r="BD11" s="862" t="s">
        <v>380</v>
      </c>
      <c r="BE11" s="861" t="s">
        <v>379</v>
      </c>
      <c r="BF11" s="862" t="s">
        <v>380</v>
      </c>
      <c r="BG11" s="494" t="s">
        <v>379</v>
      </c>
      <c r="BH11" s="495" t="s">
        <v>380</v>
      </c>
      <c r="BK11" s="858" t="s">
        <v>381</v>
      </c>
      <c r="BL11" s="82" t="s">
        <v>79</v>
      </c>
      <c r="BM11" s="863" t="s">
        <v>382</v>
      </c>
      <c r="BO11" s="82" t="s">
        <v>383</v>
      </c>
      <c r="DF11" s="459"/>
      <c r="DG11" s="459"/>
      <c r="DH11" s="459"/>
      <c r="DI11" s="459"/>
      <c r="DJ11" s="459"/>
      <c r="DK11" s="459"/>
      <c r="DL11" s="459"/>
      <c r="DM11" s="459"/>
      <c r="DQ11" s="822" t="n">
        <f aca="false">A18</f>
        <v>37377</v>
      </c>
      <c r="DR11" s="473" t="n">
        <f aca="false">DY11</f>
        <v>0</v>
      </c>
      <c r="DS11" s="473" t="n">
        <f aca="false">VLOOKUP(DQ11,NymexData!$A$12:$B$29,2)-G18</f>
        <v>0</v>
      </c>
      <c r="DX11" s="854" t="str">
        <v>     </v>
      </c>
      <c r="DY11" s="852" t="n">
        <f aca="false">IF(ISERROR(DZ11),0,DZ11)</f>
        <v>0</v>
      </c>
      <c r="DZ11" s="459" t="e">
        <f aca="false">VALUE(DX11)</f>
        <v>#VALUE!</v>
      </c>
      <c r="EA11" s="459"/>
      <c r="EB11" s="459"/>
      <c r="EC11" s="459"/>
      <c r="ED11" s="459"/>
      <c r="EE11" s="459"/>
      <c r="EN11" s="0" t="s">
        <v>384</v>
      </c>
      <c r="EO11" s="0" t="n">
        <v>3</v>
      </c>
    </row>
    <row r="12" customFormat="false" ht="18" hidden="false" customHeight="false" outlineLevel="0" collapsed="false">
      <c r="A12" s="537" t="n">
        <f aca="false">[1]Cinergy!D35</f>
        <v>37196</v>
      </c>
      <c r="B12" s="180" t="n">
        <f aca="false">IF(ISERROR(VLOOKUP(A12,NymexData!$O$4:$P$46,2,FALSE())),0,VLOOKUP(A12,NymexData!$O$4:$P$46,2,FALSE()))</f>
        <v>0</v>
      </c>
      <c r="C12" s="538" t="n">
        <f aca="false">B12/736</f>
        <v>0</v>
      </c>
      <c r="D12" s="538" t="n">
        <f aca="false">BG12</f>
        <v>0</v>
      </c>
      <c r="E12" s="160" t="n">
        <f aca="false">B12+(D12*736)</f>
        <v>0</v>
      </c>
      <c r="F12" s="539" t="n">
        <f aca="false">C12+D12</f>
        <v>0</v>
      </c>
      <c r="G12" s="864" t="n">
        <f aca="false">IF(ISERROR(VLOOKUP(A12,NymexData!$A$12:$B$54,2,FALSE())),0,VLOOKUP(A12,NymexData!$A$12:$B$54,2,FALSE()))</f>
        <v>26.1</v>
      </c>
      <c r="H12" s="498" t="n">
        <f aca="false">IF(DU$3=1,DR5,DS5)</f>
        <v>0</v>
      </c>
      <c r="I12" s="865" t="n">
        <f aca="false">G12+H12</f>
        <v>26.1</v>
      </c>
      <c r="J12" s="160" t="n">
        <f aca="false">H12*B12</f>
        <v>0</v>
      </c>
      <c r="K12" s="114" t="n">
        <f aca="false">BH36</f>
        <v>0</v>
      </c>
      <c r="L12" s="114" t="n">
        <f aca="false">J12+K12</f>
        <v>0</v>
      </c>
      <c r="N12" s="866" t="n">
        <f aca="false">TradeSum!I13-I12</f>
        <v>0.100000000000001</v>
      </c>
      <c r="O12" s="473"/>
      <c r="R12" s="512" t="n">
        <f aca="false">A12</f>
        <v>37196</v>
      </c>
      <c r="S12" s="867"/>
      <c r="T12" s="868"/>
      <c r="U12" s="867"/>
      <c r="V12" s="868"/>
      <c r="W12" s="867"/>
      <c r="X12" s="868"/>
      <c r="Y12" s="867"/>
      <c r="Z12" s="868"/>
      <c r="AA12" s="867"/>
      <c r="AB12" s="868"/>
      <c r="AC12" s="868"/>
      <c r="AD12" s="868"/>
      <c r="AE12" s="868"/>
      <c r="AF12" s="868"/>
      <c r="AG12" s="868"/>
      <c r="AH12" s="868"/>
      <c r="AI12" s="868"/>
      <c r="AJ12" s="868"/>
      <c r="AK12" s="868"/>
      <c r="AL12" s="868"/>
      <c r="AM12" s="868"/>
      <c r="AN12" s="868"/>
      <c r="AO12" s="868"/>
      <c r="AP12" s="868"/>
      <c r="AQ12" s="868"/>
      <c r="AR12" s="868"/>
      <c r="AS12" s="868"/>
      <c r="AT12" s="868"/>
      <c r="AU12" s="868"/>
      <c r="AV12" s="868"/>
      <c r="AW12" s="868"/>
      <c r="AX12" s="868"/>
      <c r="AY12" s="868"/>
      <c r="AZ12" s="868"/>
      <c r="BA12" s="868"/>
      <c r="BB12" s="868"/>
      <c r="BC12" s="868"/>
      <c r="BD12" s="868"/>
      <c r="BE12" s="868"/>
      <c r="BF12" s="869"/>
      <c r="BG12" s="870" t="n">
        <f aca="false">S12+U12+W12+Y12+AA12+AC12+AE12+AG12+AI12+AK12+AM12+AO12+AQ12+AS12+AU12+AW12+AY12+BA12+BC12+BE12</f>
        <v>0</v>
      </c>
      <c r="BH12" s="871" t="n">
        <f aca="false">IF(AND(BG12=0,BK12=0),0,(ABS(S12)*T12+ABS(U12)*V12+ABS(W12)*X12+ABS(Y12)*Z12+ABS(AA12)*AB12+ABS(AC12)*AD12+ABS(AE12)*AF12+ABS(AG12)*AH12+ABS(AI12)*AJ12+ABS(AK12)*AL12+ABS(AM12)*AN12+ABS(AO12)*AP12+ABS(AQ12)*AR12+ABS(AS12)*AT12+ABS(AU12)*AV12+ABS(AW12)*AX12+ABS(AY12)*AZ12+ABS(BA12)*BB12+ABS(BC12)*BD12+ABS(BE12)*BF12)/BK12)</f>
        <v>0</v>
      </c>
      <c r="BK12" s="872" t="n">
        <f aca="false">ABS(S12)+ABS(U12)+ABS(W12)+ABS(Y12)+ABS(AA12)+ABS(AC12)+ABS(AE12)+ABS(AG12)+ABS(AI12)+ABS(AI12)+ABS(AK12)+ABS(AM12)+ABS(AO12)+ABS(AQ12)+ABS(AS12)+ABS(AU12)+ABS(AW12)+ABS(AY12)+ABS(BA12)+ABS(BC12)+ABS(BE12)</f>
        <v>0</v>
      </c>
      <c r="BL12" s="537" t="n">
        <f aca="false">A12</f>
        <v>37196</v>
      </c>
      <c r="BM12" s="873" t="n">
        <f aca="false">B12*TradeSum!H13</f>
        <v>0</v>
      </c>
      <c r="BO12" s="874" t="n">
        <f aca="false">VLOOKUP(A12,TradeSum!$CB$12:$CE$47,4)</f>
        <v>0.989694895808596</v>
      </c>
      <c r="DF12" s="459"/>
      <c r="DG12" s="459"/>
      <c r="DH12" s="459"/>
      <c r="DI12" s="459"/>
      <c r="DJ12" s="459"/>
      <c r="DK12" s="459"/>
      <c r="DL12" s="459"/>
      <c r="DM12" s="459"/>
      <c r="DQ12" s="822" t="n">
        <f aca="false">A19</f>
        <v>37408</v>
      </c>
      <c r="DR12" s="473" t="n">
        <f aca="false">DY12</f>
        <v>0</v>
      </c>
      <c r="DS12" s="473" t="n">
        <f aca="false">VLOOKUP(DQ12,NymexData!$A$12:$B$29,2)-G19</f>
        <v>0</v>
      </c>
      <c r="DX12" s="854" t="str">
        <v>--0.2</v>
      </c>
      <c r="DY12" s="852" t="n">
        <f aca="false">IF(ISERROR(DZ12),0,DZ12)</f>
        <v>0</v>
      </c>
      <c r="DZ12" s="459" t="e">
        <f aca="false">VALUE(DX12)</f>
        <v>#VALUE!</v>
      </c>
      <c r="EA12" s="459"/>
      <c r="EB12" s="459"/>
      <c r="EC12" s="459"/>
      <c r="ED12" s="459"/>
      <c r="EE12" s="459"/>
      <c r="EN12" s="0" t="s">
        <v>385</v>
      </c>
      <c r="EO12" s="0" t="n">
        <v>5</v>
      </c>
    </row>
    <row r="13" customFormat="false" ht="18" hidden="false" customHeight="false" outlineLevel="0" collapsed="false">
      <c r="A13" s="95" t="n">
        <f aca="false">[1]Cinergy!D36</f>
        <v>37226</v>
      </c>
      <c r="B13" s="122" t="n">
        <f aca="false">IF(ISERROR(VLOOKUP(A13,NymexData!$O$4:$P$46,2,FALSE())),0,VLOOKUP(A13,NymexData!$O$4:$P$46,2,FALSE()))</f>
        <v>0</v>
      </c>
      <c r="C13" s="496" t="n">
        <f aca="false">B13/736</f>
        <v>0</v>
      </c>
      <c r="D13" s="496" t="n">
        <f aca="false">BG13</f>
        <v>0</v>
      </c>
      <c r="E13" s="163" t="n">
        <f aca="false">B13+(D13*736)</f>
        <v>0</v>
      </c>
      <c r="F13" s="497" t="n">
        <f aca="false">C13+D13</f>
        <v>0</v>
      </c>
      <c r="G13" s="603" t="n">
        <f aca="false">IF(ISERROR(VLOOKUP(A13,NymexData!$A$12:$B$54,2,FALSE())),0,VLOOKUP(A13,NymexData!$A$12:$B$54,2,FALSE()))</f>
        <v>27.6</v>
      </c>
      <c r="H13" s="498" t="n">
        <f aca="false">IF(DU$3=1,DR6,DS6)</f>
        <v>0</v>
      </c>
      <c r="I13" s="875" t="n">
        <f aca="false">G13+H13</f>
        <v>27.6</v>
      </c>
      <c r="J13" s="122" t="n">
        <f aca="false">H13*B13</f>
        <v>0</v>
      </c>
      <c r="K13" s="123" t="n">
        <f aca="false">BH37</f>
        <v>0</v>
      </c>
      <c r="L13" s="123" t="n">
        <f aca="false">J13+K13</f>
        <v>0</v>
      </c>
      <c r="N13" s="866" t="n">
        <f aca="false">TradeSum!I14-I13</f>
        <v>-0.100000000000001</v>
      </c>
      <c r="O13" s="473"/>
      <c r="P13" s="246"/>
      <c r="R13" s="512" t="n">
        <f aca="false">A13</f>
        <v>37226</v>
      </c>
      <c r="S13" s="867"/>
      <c r="T13" s="868"/>
      <c r="U13" s="867"/>
      <c r="V13" s="868"/>
      <c r="W13" s="867"/>
      <c r="X13" s="868"/>
      <c r="Y13" s="867"/>
      <c r="Z13" s="868"/>
      <c r="AA13" s="868"/>
      <c r="AB13" s="868"/>
      <c r="AC13" s="868"/>
      <c r="AD13" s="868"/>
      <c r="AE13" s="868"/>
      <c r="AF13" s="868"/>
      <c r="AG13" s="868"/>
      <c r="AH13" s="868"/>
      <c r="AI13" s="868"/>
      <c r="AJ13" s="868"/>
      <c r="AK13" s="868"/>
      <c r="AL13" s="868"/>
      <c r="AM13" s="868"/>
      <c r="AN13" s="868"/>
      <c r="AO13" s="868"/>
      <c r="AP13" s="868"/>
      <c r="AQ13" s="868"/>
      <c r="AR13" s="868"/>
      <c r="AS13" s="868"/>
      <c r="AT13" s="868"/>
      <c r="AU13" s="868"/>
      <c r="AV13" s="868"/>
      <c r="AW13" s="868"/>
      <c r="AX13" s="868"/>
      <c r="AY13" s="868"/>
      <c r="AZ13" s="868"/>
      <c r="BA13" s="868"/>
      <c r="BB13" s="868"/>
      <c r="BC13" s="868"/>
      <c r="BD13" s="868"/>
      <c r="BE13" s="868"/>
      <c r="BF13" s="869"/>
      <c r="BG13" s="870" t="n">
        <f aca="false">S13+U13+W13+Y13+AA13+AC13+AE13+AG13+AI13+AK13+AM13+AO13+AQ13+AS13+AU13+AW13+AY13+BA13+BC13+BE13</f>
        <v>0</v>
      </c>
      <c r="BH13" s="871" t="n">
        <f aca="false">IF(AND(BG13=0,BK13=0),0,(ABS(S13)*T13+ABS(U13)*V13+ABS(W13)*X13+ABS(Y13)*Z13+ABS(AA13)*AB13+ABS(AC13)*AD13+ABS(AE13)*AF13+ABS(AG13)*AH13+ABS(AI13)*AJ13+ABS(AK13)*AL13+ABS(AM13)*AN13+ABS(AO13)*AP13+ABS(AQ13)*AR13+ABS(AS13)*AT13+ABS(AU13)*AV13+ABS(AW13)*AX13+ABS(AY13)*AZ13+ABS(BA13)*BB13+ABS(BC13)*BD13+ABS(BE13)*BF13)/BK13)</f>
        <v>0</v>
      </c>
      <c r="BK13" s="872" t="n">
        <f aca="false">ABS(S13)+ABS(U13)+ABS(W13)+ABS(Y13)+ABS(AA13)+ABS(AC13)+ABS(AE13)+ABS(AG13)+ABS(AI13)+ABS(AK13)+ABS(AM13)+ABS(AO13)+ABS(AQ13)+ABS(AS13)+ABS(AU13)+ABS(AW13)+ABS(AY13)+ABS(BA13)+ABS(BC13)+ABS(BE13)</f>
        <v>0</v>
      </c>
      <c r="BL13" s="95" t="n">
        <f aca="false">A13</f>
        <v>37226</v>
      </c>
      <c r="BM13" s="873" t="n">
        <f aca="false">B13*TradeSum!H14</f>
        <v>-0</v>
      </c>
      <c r="BO13" s="874" t="n">
        <f aca="false">VLOOKUP(A13,TradeSum!CB13:CE31,4)</f>
        <v>0.986795796514416</v>
      </c>
      <c r="DF13" s="459"/>
      <c r="DG13" s="459"/>
      <c r="DH13" s="459"/>
      <c r="DI13" s="459"/>
      <c r="DJ13" s="459"/>
      <c r="DK13" s="459"/>
      <c r="DL13" s="459"/>
      <c r="DM13" s="459"/>
      <c r="DQ13" s="822" t="n">
        <f aca="false">A20</f>
        <v>37438</v>
      </c>
      <c r="DR13" s="473" t="n">
        <f aca="false">DY13</f>
        <v>0</v>
      </c>
      <c r="DS13" s="473" t="n">
        <f aca="false">VLOOKUP(DQ13,NymexData!$A$12:$B$29,2)-G20</f>
        <v>0</v>
      </c>
      <c r="DX13" s="854" t="str">
        <v>--1.2</v>
      </c>
      <c r="DY13" s="852" t="n">
        <f aca="false">IF(ISERROR(DZ13),0,DZ13)</f>
        <v>0</v>
      </c>
      <c r="DZ13" s="459" t="e">
        <f aca="false">VALUE(DX13)</f>
        <v>#VALUE!</v>
      </c>
      <c r="EA13" s="459"/>
      <c r="EB13" s="459"/>
      <c r="EC13" s="459"/>
      <c r="ED13" s="459"/>
      <c r="EE13" s="459"/>
      <c r="EN13" s="0" t="s">
        <v>386</v>
      </c>
      <c r="EO13" s="0" t="n">
        <v>11</v>
      </c>
    </row>
    <row r="14" customFormat="false" ht="18" hidden="false" customHeight="false" outlineLevel="0" collapsed="false">
      <c r="A14" s="537" t="n">
        <f aca="false">[1]Cinergy!D37</f>
        <v>37257</v>
      </c>
      <c r="B14" s="180" t="n">
        <f aca="false">IF(ISERROR(VLOOKUP(A14,NymexData!$O$4:$P$46,2,FALSE())),0,VLOOKUP(A14,NymexData!$O$4:$P$46,2,FALSE()))</f>
        <v>0</v>
      </c>
      <c r="C14" s="538" t="n">
        <f aca="false">B14/736</f>
        <v>0</v>
      </c>
      <c r="D14" s="538" t="n">
        <f aca="false">BG14</f>
        <v>0</v>
      </c>
      <c r="E14" s="160" t="n">
        <f aca="false">B14+(D14*736)</f>
        <v>0</v>
      </c>
      <c r="F14" s="539" t="n">
        <f aca="false">C14+D14</f>
        <v>0</v>
      </c>
      <c r="G14" s="864" t="n">
        <f aca="false">IF(ISERROR(VLOOKUP(A14,NymexData!$A$12:$B$54,2,FALSE())),0,VLOOKUP(A14,NymexData!$A$12:$B$54,2,FALSE()))</f>
        <v>29.5</v>
      </c>
      <c r="H14" s="498" t="n">
        <f aca="false">IF(DU$3=1,DR7,DS7)</f>
        <v>0</v>
      </c>
      <c r="I14" s="865" t="n">
        <f aca="false">G14+H14</f>
        <v>29.5</v>
      </c>
      <c r="J14" s="160" t="n">
        <f aca="false">H14*B14</f>
        <v>0</v>
      </c>
      <c r="K14" s="114" t="n">
        <f aca="false">BH38</f>
        <v>0</v>
      </c>
      <c r="L14" s="114" t="n">
        <f aca="false">J14+K14</f>
        <v>0</v>
      </c>
      <c r="N14" s="866" t="n">
        <f aca="false">TradeSum!I15-I14</f>
        <v>-0.0833322434198287</v>
      </c>
      <c r="O14" s="473"/>
      <c r="P14" s="246"/>
      <c r="R14" s="512" t="n">
        <f aca="false">A14</f>
        <v>37257</v>
      </c>
      <c r="S14" s="867"/>
      <c r="T14" s="868"/>
      <c r="U14" s="867"/>
      <c r="V14" s="868"/>
      <c r="W14" s="867"/>
      <c r="X14" s="868"/>
      <c r="Y14" s="867"/>
      <c r="Z14" s="868"/>
      <c r="AA14" s="868"/>
      <c r="AB14" s="868"/>
      <c r="AC14" s="868"/>
      <c r="AD14" s="868"/>
      <c r="AE14" s="868"/>
      <c r="AF14" s="868"/>
      <c r="AG14" s="868"/>
      <c r="AH14" s="868"/>
      <c r="AI14" s="868"/>
      <c r="AJ14" s="868"/>
      <c r="AK14" s="868"/>
      <c r="AL14" s="868"/>
      <c r="AM14" s="868"/>
      <c r="AN14" s="868"/>
      <c r="AO14" s="868"/>
      <c r="AP14" s="868"/>
      <c r="AQ14" s="868"/>
      <c r="AR14" s="868"/>
      <c r="AS14" s="868"/>
      <c r="AT14" s="868"/>
      <c r="AU14" s="868"/>
      <c r="AV14" s="868"/>
      <c r="AW14" s="868"/>
      <c r="AX14" s="868"/>
      <c r="AY14" s="868"/>
      <c r="AZ14" s="868"/>
      <c r="BA14" s="868"/>
      <c r="BB14" s="868"/>
      <c r="BC14" s="868"/>
      <c r="BD14" s="868"/>
      <c r="BE14" s="868"/>
      <c r="BF14" s="869"/>
      <c r="BG14" s="870" t="n">
        <f aca="false">S14+U14+W14+Y14+AA14+AC14+AE14+AG14+AI14+AK14+AM14+AO14+AQ14+AS14+AU14+AW14+AY14+BA14+BC14+BE14</f>
        <v>0</v>
      </c>
      <c r="BH14" s="871" t="n">
        <f aca="false">IF(AND(BG14=0,BK14=0),0,(ABS(S14)*T14+ABS(U14)*V14+ABS(W14)*X14+ABS(Y14)*Z14+ABS(AA14)*AB14+ABS(AC14)*AD14+ABS(AE14)*AF14+ABS(AG14)*AH14+ABS(AI14)*AJ14+ABS(AK14)*AL14+ABS(AM14)*AN14+ABS(AO14)*AP14+ABS(AQ14)*AR14+ABS(AS14)*AT14+ABS(AU14)*AV14+ABS(AW14)*AX14+ABS(AY14)*AZ14+ABS(BA14)*BB14+ABS(BC14)*BD14+ABS(BE14)*BF14)/BK14)</f>
        <v>0</v>
      </c>
      <c r="BK14" s="872" t="n">
        <f aca="false">ABS(S14)+ABS(U14)+ABS(W14)+ABS(Y14)+ABS(AA14)+ABS(AC14)+ABS(AE14)+ABS(AG14)+ABS(AI14)+ABS(AI14)+ABS(AK14)+ABS(AM14)+ABS(AO14)+ABS(AQ14)+ABS(AS14)+ABS(AU14)+ABS(AW14)+ABS(AY14)+ABS(BA14)+ABS(BC14)+ABS(BE14)</f>
        <v>0</v>
      </c>
      <c r="BL14" s="537" t="n">
        <f aca="false">A14</f>
        <v>37257</v>
      </c>
      <c r="BM14" s="873" t="n">
        <f aca="false">B14*TradeSum!H15</f>
        <v>-0</v>
      </c>
      <c r="BO14" s="874" t="n">
        <f aca="false">VLOOKUP(A14,TradeSum!CB14:CE32,4)</f>
        <v>0.984077187080641</v>
      </c>
      <c r="DF14" s="459"/>
      <c r="DG14" s="459"/>
      <c r="DH14" s="459"/>
      <c r="DI14" s="459"/>
      <c r="DJ14" s="459"/>
      <c r="DK14" s="459"/>
      <c r="DL14" s="459"/>
      <c r="DM14" s="459"/>
      <c r="DQ14" s="822" t="n">
        <f aca="false">A21</f>
        <v>37469</v>
      </c>
      <c r="DR14" s="473" t="n">
        <f aca="false">DY14</f>
        <v>0</v>
      </c>
      <c r="DS14" s="473" t="n">
        <f aca="false">VLOOKUP(DQ14,NymexData!$A$12:$B$29,2)-G21</f>
        <v>0</v>
      </c>
      <c r="DX14" s="854" t="str">
        <v>--1.2</v>
      </c>
      <c r="DY14" s="852" t="n">
        <f aca="false">IF(ISERROR(DZ14),0,DZ14)</f>
        <v>0</v>
      </c>
      <c r="DZ14" s="459" t="e">
        <f aca="false">VALUE(DX14)</f>
        <v>#VALUE!</v>
      </c>
      <c r="EA14" s="459"/>
      <c r="EB14" s="459"/>
      <c r="EC14" s="459"/>
      <c r="ED14" s="459"/>
      <c r="EE14" s="459"/>
      <c r="EN14" s="0" t="s">
        <v>387</v>
      </c>
      <c r="EO14" s="0" t="n">
        <v>10</v>
      </c>
    </row>
    <row r="15" customFormat="false" ht="18" hidden="false" customHeight="false" outlineLevel="0" collapsed="false">
      <c r="A15" s="95" t="n">
        <f aca="false">[1]Cinergy!D38</f>
        <v>37288</v>
      </c>
      <c r="B15" s="122" t="n">
        <f aca="false">IF(ISERROR(VLOOKUP(A15,NymexData!$O$4:$P$46,2,FALSE())),0,VLOOKUP(A15,NymexData!$O$4:$P$46,2,FALSE()))</f>
        <v>0</v>
      </c>
      <c r="C15" s="496" t="n">
        <f aca="false">B15/736</f>
        <v>0</v>
      </c>
      <c r="D15" s="496" t="n">
        <f aca="false">BG15</f>
        <v>0</v>
      </c>
      <c r="E15" s="163" t="n">
        <f aca="false">B15+(D15*736)</f>
        <v>0</v>
      </c>
      <c r="F15" s="497" t="n">
        <f aca="false">C15+D15</f>
        <v>0</v>
      </c>
      <c r="G15" s="603" t="n">
        <f aca="false">IF(ISERROR(VLOOKUP(A15,NymexData!$A$12:$B$54,2,FALSE())),0,VLOOKUP(A15,NymexData!$A$12:$B$54,2,FALSE()))</f>
        <v>29.5</v>
      </c>
      <c r="H15" s="498" t="n">
        <f aca="false">IF(DU$3=1,DR8,DS8)</f>
        <v>0</v>
      </c>
      <c r="I15" s="875" t="n">
        <f aca="false">G15+H15</f>
        <v>29.5</v>
      </c>
      <c r="J15" s="122" t="n">
        <f aca="false">H15*B15</f>
        <v>0</v>
      </c>
      <c r="K15" s="123" t="n">
        <f aca="false">BH39</f>
        <v>0</v>
      </c>
      <c r="L15" s="123" t="n">
        <f aca="false">J15+K15</f>
        <v>0</v>
      </c>
      <c r="N15" s="866" t="n">
        <f aca="false">TradeSum!I16-I15</f>
        <v>-0.433334532238188</v>
      </c>
      <c r="O15" s="473"/>
      <c r="P15" s="246"/>
      <c r="R15" s="512" t="n">
        <f aca="false">A15</f>
        <v>37288</v>
      </c>
      <c r="S15" s="867"/>
      <c r="T15" s="868"/>
      <c r="U15" s="867"/>
      <c r="V15" s="868"/>
      <c r="W15" s="867"/>
      <c r="X15" s="868"/>
      <c r="Y15" s="867"/>
      <c r="Z15" s="868"/>
      <c r="AA15" s="868"/>
      <c r="AB15" s="868"/>
      <c r="AC15" s="868"/>
      <c r="AD15" s="868"/>
      <c r="AE15" s="868"/>
      <c r="AF15" s="868"/>
      <c r="AG15" s="868"/>
      <c r="AH15" s="868"/>
      <c r="AI15" s="868"/>
      <c r="AJ15" s="868"/>
      <c r="AK15" s="868"/>
      <c r="AL15" s="868"/>
      <c r="AM15" s="868"/>
      <c r="AN15" s="868"/>
      <c r="AO15" s="868"/>
      <c r="AP15" s="868"/>
      <c r="AQ15" s="868"/>
      <c r="AR15" s="868"/>
      <c r="AS15" s="868"/>
      <c r="AT15" s="868"/>
      <c r="AU15" s="868"/>
      <c r="AV15" s="868"/>
      <c r="AW15" s="868"/>
      <c r="AX15" s="868"/>
      <c r="AY15" s="868"/>
      <c r="AZ15" s="868"/>
      <c r="BA15" s="868"/>
      <c r="BB15" s="868"/>
      <c r="BC15" s="868"/>
      <c r="BD15" s="868"/>
      <c r="BE15" s="868"/>
      <c r="BF15" s="869"/>
      <c r="BG15" s="870" t="n">
        <f aca="false">S15+U15+W15+Y15+AA15+AC15+AE15+AG15+AI15+AK15+AM15+AO15+AQ15+AS15+AU15+AW15+AY15+BA15+BC15+BE15</f>
        <v>0</v>
      </c>
      <c r="BH15" s="871" t="n">
        <f aca="false">IF(AND(BG15=0,BK15=0),0,(ABS(S15)*T15+ABS(U15)*V15+ABS(W15)*X15+ABS(Y15)*Z15+ABS(AA15)*AB15+ABS(AC15)*AD15+ABS(AE15)*AF15+ABS(AG15)*AH15+ABS(AI15)*AJ15+ABS(AK15)*AL15+ABS(AM15)*AN15+ABS(AO15)*AP15+ABS(AQ15)*AR15+ABS(AS15)*AT15+ABS(AU15)*AV15+ABS(AW15)*AX15+ABS(AY15)*AZ15+ABS(BA15)*BB15+ABS(BC15)*BD15+ABS(BE15)*BF15)/BK15)</f>
        <v>0</v>
      </c>
      <c r="BK15" s="872" t="n">
        <f aca="false">ABS(S15)+ABS(U15)+ABS(W15)+ABS(Y15)+ABS(AA15)+ABS(AC15)+ABS(AE15)+ABS(AG15)+ABS(AI15)+ABS(AI15)+ABS(AK15)+ABS(AM15)+ABS(AO15)+ABS(AQ15)+ABS(AS15)+ABS(AU15)+ABS(AW15)+ABS(AY15)+ABS(BA15)+ABS(BC15)+ABS(BE15)</f>
        <v>0</v>
      </c>
      <c r="BL15" s="95" t="n">
        <f aca="false">A15</f>
        <v>37288</v>
      </c>
      <c r="BM15" s="873" t="n">
        <f aca="false">B15*TradeSum!H16</f>
        <v>-0</v>
      </c>
      <c r="BO15" s="874" t="n">
        <f aca="false">VLOOKUP(A15,TradeSum!CB15:CE33,4)</f>
        <v>0.981460488623682</v>
      </c>
      <c r="DF15" s="459"/>
      <c r="DG15" s="459"/>
      <c r="DH15" s="459"/>
      <c r="DI15" s="459"/>
      <c r="DJ15" s="459"/>
      <c r="DK15" s="459"/>
      <c r="DL15" s="459"/>
      <c r="DM15" s="459"/>
      <c r="DQ15" s="822" t="n">
        <f aca="false">A22</f>
        <v>37500</v>
      </c>
      <c r="DR15" s="473" t="n">
        <f aca="false">DY15</f>
        <v>0</v>
      </c>
      <c r="DS15" s="473" t="n">
        <f aca="false">VLOOKUP(DQ15,NymexData!$A$12:$B$29,2)-G22</f>
        <v>0</v>
      </c>
      <c r="DX15" s="854" t="str">
        <v>     </v>
      </c>
      <c r="DY15" s="852" t="n">
        <f aca="false">IF(ISERROR(DZ15),0,DZ15)</f>
        <v>0</v>
      </c>
      <c r="DZ15" s="459" t="e">
        <f aca="false">VALUE(DX15)</f>
        <v>#VALUE!</v>
      </c>
      <c r="EA15" s="459"/>
      <c r="EB15" s="459"/>
      <c r="EC15" s="459"/>
      <c r="ED15" s="459"/>
      <c r="EE15" s="459"/>
      <c r="EN15" s="0" t="s">
        <v>388</v>
      </c>
      <c r="EO15" s="0" t="n">
        <v>9</v>
      </c>
    </row>
    <row r="16" customFormat="false" ht="18" hidden="false" customHeight="false" outlineLevel="0" collapsed="false">
      <c r="A16" s="537" t="n">
        <f aca="false">[1]Cinergy!D39</f>
        <v>37316</v>
      </c>
      <c r="B16" s="180" t="n">
        <f aca="false">IF(ISERROR(VLOOKUP(A16,NymexData!$O$4:$P$46,2,FALSE())),0,VLOOKUP(A16,NymexData!$O$4:$P$46,2,FALSE()))</f>
        <v>0</v>
      </c>
      <c r="C16" s="538" t="n">
        <f aca="false">B16/736</f>
        <v>0</v>
      </c>
      <c r="D16" s="538" t="n">
        <f aca="false">BG16</f>
        <v>0</v>
      </c>
      <c r="E16" s="160" t="n">
        <f aca="false">B16+(D16*736)</f>
        <v>0</v>
      </c>
      <c r="F16" s="539" t="n">
        <f aca="false">C16+D16</f>
        <v>0</v>
      </c>
      <c r="G16" s="864" t="n">
        <f aca="false">IF(ISERROR(VLOOKUP(A16,NymexData!$A$12:$B$54,2,FALSE())),0,VLOOKUP(A16,NymexData!$A$12:$B$54,2,FALSE()))</f>
        <v>28</v>
      </c>
      <c r="H16" s="498" t="n">
        <f aca="false">IF(DU$3=1,DR9,DS9)</f>
        <v>0</v>
      </c>
      <c r="I16" s="865" t="n">
        <f aca="false">G16+H16</f>
        <v>28</v>
      </c>
      <c r="J16" s="160" t="n">
        <f aca="false">H16*B16</f>
        <v>0</v>
      </c>
      <c r="K16" s="114" t="n">
        <f aca="false">BH40</f>
        <v>0</v>
      </c>
      <c r="L16" s="114" t="n">
        <f aca="false">J16+K16</f>
        <v>0</v>
      </c>
      <c r="N16" s="866" t="n">
        <f aca="false">TradeSum!I17-I16</f>
        <v>-0.480232948480651</v>
      </c>
      <c r="O16" s="473"/>
      <c r="P16" s="246"/>
      <c r="R16" s="512" t="n">
        <f aca="false">A16</f>
        <v>37316</v>
      </c>
      <c r="S16" s="867"/>
      <c r="T16" s="868"/>
      <c r="U16" s="867"/>
      <c r="V16" s="868"/>
      <c r="W16" s="867"/>
      <c r="X16" s="868"/>
      <c r="Y16" s="867"/>
      <c r="Z16" s="868"/>
      <c r="AA16" s="868"/>
      <c r="AB16" s="868"/>
      <c r="AC16" s="868"/>
      <c r="AD16" s="868"/>
      <c r="AE16" s="868"/>
      <c r="AF16" s="868"/>
      <c r="AG16" s="868"/>
      <c r="AH16" s="868"/>
      <c r="AI16" s="868"/>
      <c r="AJ16" s="868"/>
      <c r="AK16" s="868"/>
      <c r="AL16" s="868"/>
      <c r="AM16" s="868"/>
      <c r="AN16" s="868"/>
      <c r="AO16" s="868"/>
      <c r="AP16" s="868"/>
      <c r="AQ16" s="868"/>
      <c r="AR16" s="868"/>
      <c r="AS16" s="868"/>
      <c r="AT16" s="868"/>
      <c r="AU16" s="868"/>
      <c r="AV16" s="868"/>
      <c r="AW16" s="868"/>
      <c r="AX16" s="868"/>
      <c r="AY16" s="868"/>
      <c r="AZ16" s="868"/>
      <c r="BA16" s="868"/>
      <c r="BB16" s="868"/>
      <c r="BC16" s="868"/>
      <c r="BD16" s="868"/>
      <c r="BE16" s="868"/>
      <c r="BF16" s="869"/>
      <c r="BG16" s="870" t="n">
        <f aca="false">S16+U16+W16+Y16+AA16+AC16+AE16+AG16+AI16+AK16+AM16+AO16+AQ16+AS16+AU16+AW16+AY16+BA16+BC16+BE16</f>
        <v>0</v>
      </c>
      <c r="BH16" s="871" t="n">
        <f aca="false">IF(AND(BG16=0,BK16=0),0,(ABS(S16)*T16+ABS(U16)*V16+ABS(W16)*X16+ABS(Y16)*Z16+ABS(AA16)*AB16+ABS(AC16)*AD16+ABS(AE16)*AF16+ABS(AG16)*AH16+ABS(AI16)*AJ16+ABS(AK16)*AL16+ABS(AM16)*AN16+ABS(AO16)*AP16+ABS(AQ16)*AR16+ABS(AS16)*AT16+ABS(AU16)*AV16+ABS(AW16)*AX16+ABS(AY16)*AZ16+ABS(BA16)*BB16+ABS(BC16)*BD16+ABS(BE16)*BF16)/BK16)</f>
        <v>0</v>
      </c>
      <c r="BK16" s="872" t="n">
        <f aca="false">ABS(S16)+ABS(U16)+ABS(W16)+ABS(Y16)+ABS(AA16)+ABS(AC16)+ABS(AE16)+ABS(AG16)+ABS(AI16)+ABS(AI16)+ABS(AK16)+ABS(AM16)+ABS(AO16)+ABS(AQ16)+ABS(AS16)+ABS(AU16)+ABS(AW16)+ABS(AY16)+ABS(BA16)+ABS(BC16)+ABS(BE16)</f>
        <v>0</v>
      </c>
      <c r="BL16" s="537" t="n">
        <f aca="false">A16</f>
        <v>37316</v>
      </c>
      <c r="BM16" s="873" t="n">
        <f aca="false">B16*TradeSum!H17</f>
        <v>-0</v>
      </c>
      <c r="BO16" s="874" t="n">
        <f aca="false">VLOOKUP(A16,TradeSum!CB16:CE34,4)</f>
        <v>0.978574306199235</v>
      </c>
      <c r="DF16" s="459"/>
      <c r="DG16" s="459"/>
      <c r="DH16" s="459"/>
      <c r="DI16" s="459"/>
      <c r="DJ16" s="459"/>
      <c r="DK16" s="459"/>
      <c r="DL16" s="459"/>
      <c r="DM16" s="459"/>
      <c r="DQ16" s="822" t="n">
        <f aca="false">A23</f>
        <v>37530</v>
      </c>
      <c r="DR16" s="473" t="n">
        <f aca="false">DY16</f>
        <v>0</v>
      </c>
      <c r="DS16" s="473" t="n">
        <f aca="false">VLOOKUP(DQ16,NymexData!$A$12:$B$29,2)-G23</f>
        <v>0</v>
      </c>
      <c r="DX16" s="854" t="str">
        <v>--0.2</v>
      </c>
      <c r="DY16" s="852" t="n">
        <f aca="false">IF(ISERROR(DZ16),0,DZ16)</f>
        <v>0</v>
      </c>
      <c r="DZ16" s="459" t="e">
        <f aca="false">VALUE(DX16)</f>
        <v>#VALUE!</v>
      </c>
      <c r="EA16" s="459"/>
      <c r="EB16" s="459"/>
      <c r="EC16" s="459"/>
      <c r="ED16" s="459"/>
      <c r="EE16" s="459"/>
    </row>
    <row r="17" customFormat="false" ht="18" hidden="false" customHeight="false" outlineLevel="0" collapsed="false">
      <c r="A17" s="95" t="n">
        <f aca="false">[1]Cinergy!D40</f>
        <v>37347</v>
      </c>
      <c r="B17" s="122" t="n">
        <f aca="false">IF(ISERROR(VLOOKUP(A17,NymexData!$O$4:$P$46,2,FALSE())),0,VLOOKUP(A17,NymexData!$O$4:$P$46,2,FALSE()))</f>
        <v>0</v>
      </c>
      <c r="C17" s="496" t="n">
        <f aca="false">B17/736</f>
        <v>0</v>
      </c>
      <c r="D17" s="496" t="n">
        <f aca="false">BG17</f>
        <v>0</v>
      </c>
      <c r="E17" s="163" t="n">
        <f aca="false">B17+(D17*736)</f>
        <v>0</v>
      </c>
      <c r="F17" s="497" t="n">
        <f aca="false">C17+D17</f>
        <v>0</v>
      </c>
      <c r="G17" s="603" t="n">
        <f aca="false">IF(ISERROR(VLOOKUP(A17,NymexData!$A$12:$B$54,2,FALSE())),0,VLOOKUP(A17,NymexData!$A$12:$B$54,2,FALSE()))</f>
        <v>28</v>
      </c>
      <c r="H17" s="498" t="n">
        <f aca="false">IF(DU$3=1,DR10,DS10)</f>
        <v>0</v>
      </c>
      <c r="I17" s="875" t="n">
        <f aca="false">G17+H17</f>
        <v>28</v>
      </c>
      <c r="J17" s="122" t="n">
        <f aca="false">H17*B17</f>
        <v>0</v>
      </c>
      <c r="K17" s="123" t="n">
        <f aca="false">BH41</f>
        <v>0</v>
      </c>
      <c r="L17" s="123" t="n">
        <f aca="false">J17+K17</f>
        <v>0</v>
      </c>
      <c r="N17" s="866" t="n">
        <f aca="false">TradeSum!I18-I17</f>
        <v>-0.0302321855411982</v>
      </c>
      <c r="O17" s="473"/>
      <c r="P17" s="246"/>
      <c r="R17" s="512" t="n">
        <f aca="false">A17</f>
        <v>37347</v>
      </c>
      <c r="S17" s="867"/>
      <c r="T17" s="868"/>
      <c r="U17" s="867"/>
      <c r="V17" s="868"/>
      <c r="W17" s="867"/>
      <c r="X17" s="868"/>
      <c r="Y17" s="867"/>
      <c r="Z17" s="868"/>
      <c r="AA17" s="868"/>
      <c r="AB17" s="868"/>
      <c r="AC17" s="868"/>
      <c r="AD17" s="868"/>
      <c r="AE17" s="868"/>
      <c r="AF17" s="868"/>
      <c r="AG17" s="868"/>
      <c r="AH17" s="868"/>
      <c r="AI17" s="868"/>
      <c r="AJ17" s="868"/>
      <c r="AK17" s="868"/>
      <c r="AL17" s="868"/>
      <c r="AM17" s="868"/>
      <c r="AN17" s="868"/>
      <c r="AO17" s="868"/>
      <c r="AP17" s="868"/>
      <c r="AQ17" s="868"/>
      <c r="AR17" s="868"/>
      <c r="AS17" s="868"/>
      <c r="AT17" s="868"/>
      <c r="AU17" s="868"/>
      <c r="AV17" s="868"/>
      <c r="AW17" s="868"/>
      <c r="AX17" s="868"/>
      <c r="AY17" s="868"/>
      <c r="AZ17" s="868"/>
      <c r="BA17" s="868"/>
      <c r="BB17" s="868"/>
      <c r="BC17" s="868"/>
      <c r="BD17" s="868"/>
      <c r="BE17" s="868"/>
      <c r="BF17" s="869"/>
      <c r="BG17" s="870" t="n">
        <f aca="false">S17+U17+W17+Y17+AA17+AC17+AE17+AG17+AI17+AK17+AM17+AO17+AQ17+AS17+AU17+AW17+AY17+BA17+BC17+BE17</f>
        <v>0</v>
      </c>
      <c r="BH17" s="871" t="n">
        <f aca="false">IF(AND(BG17=0,BK17=0),0,(ABS(S17)*T17+ABS(U17)*V17+ABS(W17)*X17+ABS(Y17)*Z17+ABS(AA17)*AB17+ABS(AC17)*AD17+ABS(AE17)*AF17+ABS(AG17)*AH17+ABS(AI17)*AJ17+ABS(AK17)*AL17+ABS(AM17)*AN17+ABS(AO17)*AP17+ABS(AQ17)*AR17+ABS(AS17)*AT17+ABS(AU17)*AV17+ABS(AW17)*AX17+ABS(AY17)*AZ17+ABS(BA17)*BB17+ABS(BC17)*BD17+ABS(BE17)*BF17)/BK17)</f>
        <v>0</v>
      </c>
      <c r="BK17" s="872" t="n">
        <f aca="false">ABS(S17)+ABS(U17)+ABS(W17)+ABS(Y17)+ABS(AA17)+ABS(AC17)+ABS(AE17)+ABS(AG17)+ABS(AI17)+ABS(AI17)+ABS(AK17)+ABS(AM17)+ABS(AO17)+ABS(AQ17)+ABS(AS17)+ABS(AU17)+ABS(AW17)+ABS(AY17)+ABS(BA17)+ABS(BC17)+ABS(BE17)</f>
        <v>0</v>
      </c>
      <c r="BL17" s="95" t="n">
        <f aca="false">A17</f>
        <v>37347</v>
      </c>
      <c r="BM17" s="873" t="n">
        <f aca="false">B17*TradeSum!H18</f>
        <v>-0</v>
      </c>
      <c r="BO17" s="874" t="n">
        <f aca="false">VLOOKUP(A17,TradeSum!CB17:CE35,4)</f>
        <v>0.975763311881444</v>
      </c>
      <c r="DF17" s="459"/>
      <c r="DG17" s="459"/>
      <c r="DH17" s="459"/>
      <c r="DI17" s="459"/>
      <c r="DJ17" s="459"/>
      <c r="DK17" s="459"/>
      <c r="DL17" s="459"/>
      <c r="DM17" s="459"/>
      <c r="DQ17" s="822" t="n">
        <f aca="false">A24</f>
        <v>37561</v>
      </c>
      <c r="DR17" s="473" t="n">
        <f aca="false">DY17</f>
        <v>0</v>
      </c>
      <c r="DS17" s="473" t="n">
        <f aca="false">VLOOKUP(DQ17,NymexData!$A$12:$B$29,2)-G24</f>
        <v>0</v>
      </c>
      <c r="DX17" s="854" t="str">
        <v>--0.2</v>
      </c>
      <c r="DY17" s="852" t="n">
        <f aca="false">IF(ISERROR(DZ17),0,DZ17)</f>
        <v>0</v>
      </c>
      <c r="DZ17" s="459" t="e">
        <f aca="false">VALUE(DX17)</f>
        <v>#VALUE!</v>
      </c>
      <c r="EA17" s="459"/>
      <c r="EB17" s="459"/>
      <c r="EC17" s="459"/>
      <c r="ED17" s="459"/>
      <c r="EE17" s="459"/>
    </row>
    <row r="18" customFormat="false" ht="18" hidden="false" customHeight="false" outlineLevel="0" collapsed="false">
      <c r="A18" s="537" t="n">
        <f aca="false">[1]Cinergy!D41</f>
        <v>37377</v>
      </c>
      <c r="B18" s="180" t="n">
        <f aca="false">IF(ISERROR(VLOOKUP(A18,NymexData!$O$4:$P$46,2,FALSE())),0,VLOOKUP(A18,NymexData!$O$4:$P$46,2,FALSE()))</f>
        <v>0</v>
      </c>
      <c r="C18" s="538" t="n">
        <f aca="false">B18/736</f>
        <v>0</v>
      </c>
      <c r="D18" s="538" t="n">
        <f aca="false">BG18</f>
        <v>0</v>
      </c>
      <c r="E18" s="160" t="n">
        <f aca="false">B18+(D18*736)</f>
        <v>0</v>
      </c>
      <c r="F18" s="539" t="n">
        <f aca="false">C18+D18</f>
        <v>0</v>
      </c>
      <c r="G18" s="864" t="n">
        <f aca="false">IF(ISERROR(VLOOKUP(A18,NymexData!$A$12:$B$54,2,FALSE())),0,VLOOKUP(A18,NymexData!$A$12:$B$54,2,FALSE()))</f>
        <v>31.25</v>
      </c>
      <c r="H18" s="498" t="n">
        <f aca="false">IF(DU$3=1,DR11,DS11)</f>
        <v>0</v>
      </c>
      <c r="I18" s="865" t="n">
        <f aca="false">G18+H18</f>
        <v>31.25</v>
      </c>
      <c r="J18" s="160" t="n">
        <f aca="false">H18*B18</f>
        <v>0</v>
      </c>
      <c r="K18" s="114" t="n">
        <f aca="false">BH42</f>
        <v>0</v>
      </c>
      <c r="L18" s="114" t="n">
        <f aca="false">J18+K18</f>
        <v>0</v>
      </c>
      <c r="N18" s="866" t="n">
        <f aca="false">TradeSum!I19-I18</f>
        <v>0</v>
      </c>
      <c r="O18" s="473"/>
      <c r="P18" s="246"/>
      <c r="R18" s="512" t="n">
        <f aca="false">A18</f>
        <v>37377</v>
      </c>
      <c r="S18" s="867"/>
      <c r="T18" s="868"/>
      <c r="U18" s="876"/>
      <c r="V18" s="868"/>
      <c r="W18" s="876"/>
      <c r="X18" s="868"/>
      <c r="Y18" s="867"/>
      <c r="Z18" s="868"/>
      <c r="AA18" s="877"/>
      <c r="AB18" s="868"/>
      <c r="AC18" s="877"/>
      <c r="AD18" s="868"/>
      <c r="AE18" s="877"/>
      <c r="AF18" s="868"/>
      <c r="AG18" s="877"/>
      <c r="AH18" s="868"/>
      <c r="AI18" s="877"/>
      <c r="AJ18" s="868"/>
      <c r="AK18" s="877"/>
      <c r="AL18" s="868"/>
      <c r="AM18" s="877"/>
      <c r="AN18" s="868"/>
      <c r="AO18" s="877"/>
      <c r="AP18" s="868"/>
      <c r="AQ18" s="877"/>
      <c r="AR18" s="868"/>
      <c r="AS18" s="877"/>
      <c r="AT18" s="868"/>
      <c r="AU18" s="877"/>
      <c r="AV18" s="868"/>
      <c r="AW18" s="877"/>
      <c r="AX18" s="868"/>
      <c r="AY18" s="877"/>
      <c r="AZ18" s="868"/>
      <c r="BA18" s="877"/>
      <c r="BB18" s="868"/>
      <c r="BC18" s="877"/>
      <c r="BD18" s="868"/>
      <c r="BE18" s="877"/>
      <c r="BF18" s="869"/>
      <c r="BG18" s="870" t="n">
        <f aca="false">S18+U18+W18+Y18+AA18+AC18+AE18+AG18+AI18+AK18+AM18+AO18+AQ18+AS18+AU18+AW18+AY18+BA18+BC18+BE18</f>
        <v>0</v>
      </c>
      <c r="BH18" s="871" t="n">
        <f aca="false">IF(AND(BG18=0,BK18=0),0,(ABS(S18)*T18+ABS(U18)*V18+ABS(W18)*X18+ABS(Y18)*Z18+ABS(AA18)*AB18+ABS(AC18)*AD18+ABS(AE18)*AF18+ABS(AG18)*AH18+ABS(AI18)*AJ18+ABS(AK18)*AL18+ABS(AM18)*AN18+ABS(AO18)*AP18+ABS(AQ18)*AR18+ABS(AS18)*AT18+ABS(AU18)*AV18+ABS(AW18)*AX18+ABS(AY18)*AZ18+ABS(BA18)*BB18+ABS(BC18)*BD18+ABS(BE18)*BF18)/BK18)</f>
        <v>0</v>
      </c>
      <c r="BK18" s="872" t="n">
        <f aca="false">ABS(S18)+ABS(U18)+ABS(W18)+ABS(Y18)+ABS(AA18)+ABS(AC18)+ABS(AE18)+ABS(AG18)+ABS(AI18)+ABS(AI18)+ABS(AK18)+ABS(AM18)+ABS(AO18)+ABS(AQ18)+ABS(AS18)+ABS(AU18)+ABS(AW18)+ABS(AY18)+ABS(BA18)+ABS(BC18)+ABS(BE18)</f>
        <v>0</v>
      </c>
      <c r="BL18" s="537" t="n">
        <f aca="false">A18</f>
        <v>37377</v>
      </c>
      <c r="BM18" s="873" t="n">
        <f aca="false">B18*TradeSum!H19</f>
        <v>0</v>
      </c>
      <c r="BO18" s="874" t="n">
        <f aca="false">VLOOKUP(A18,TradeSum!CB18:CE36,4)</f>
        <v>0.972813010513454</v>
      </c>
      <c r="DF18" s="459"/>
      <c r="DG18" s="459"/>
      <c r="DH18" s="459"/>
      <c r="DI18" s="459"/>
      <c r="DJ18" s="459"/>
      <c r="DK18" s="459"/>
      <c r="DL18" s="459"/>
      <c r="DM18" s="459"/>
      <c r="DQ18" s="822" t="n">
        <f aca="false">A25</f>
        <v>37591</v>
      </c>
      <c r="DR18" s="473" t="n">
        <f aca="false">DY18</f>
        <v>0.25</v>
      </c>
      <c r="DS18" s="473" t="n">
        <f aca="false">VLOOKUP(DQ18,NymexData!$A$12:$B$29,2)-G25</f>
        <v>0</v>
      </c>
      <c r="DX18" s="854" t="str">
        <f aca="false" t="array" ref="DX18:DX22">DDE("TWINDDE","RSFPage","1#CN: 2 18 5 5")</f>
        <v>0.25 </v>
      </c>
      <c r="DY18" s="852" t="n">
        <f aca="false">IF(ISERROR(DZ18),0,DZ18)</f>
        <v>0.25</v>
      </c>
      <c r="DZ18" s="459" t="n">
        <f aca="false">VALUE(DX18)</f>
        <v>0.25</v>
      </c>
      <c r="EA18" s="459"/>
      <c r="EB18" s="459"/>
      <c r="EC18" s="459"/>
      <c r="ED18" s="459"/>
      <c r="EE18" s="459"/>
    </row>
    <row r="19" customFormat="false" ht="18" hidden="false" customHeight="false" outlineLevel="0" collapsed="false">
      <c r="A19" s="95" t="n">
        <f aca="false">[1]Cinergy!D42</f>
        <v>37408</v>
      </c>
      <c r="B19" s="122" t="n">
        <f aca="false">IF(ISERROR(VLOOKUP(A19,NymexData!$O$4:$P$46,2,FALSE())),0,VLOOKUP(A19,NymexData!$O$4:$P$46,2,FALSE()))</f>
        <v>0</v>
      </c>
      <c r="C19" s="496" t="n">
        <f aca="false">B19/736</f>
        <v>0</v>
      </c>
      <c r="D19" s="496" t="n">
        <f aca="false">BG19</f>
        <v>0</v>
      </c>
      <c r="E19" s="163" t="n">
        <f aca="false">B19+(D19*736)</f>
        <v>0</v>
      </c>
      <c r="F19" s="497" t="n">
        <f aca="false">C19+D19</f>
        <v>0</v>
      </c>
      <c r="G19" s="603" t="n">
        <f aca="false">IF(ISERROR(VLOOKUP(A19,NymexData!$A$12:$B$54,2,FALSE())),0,VLOOKUP(A19,NymexData!$A$12:$B$54,2,FALSE()))</f>
        <v>41.25</v>
      </c>
      <c r="H19" s="498" t="n">
        <f aca="false">IF(DU$3=1,DR12,DS12)</f>
        <v>0</v>
      </c>
      <c r="I19" s="875" t="n">
        <f aca="false">G19+H19</f>
        <v>41.25</v>
      </c>
      <c r="J19" s="122" t="n">
        <f aca="false">H19*B19</f>
        <v>0</v>
      </c>
      <c r="K19" s="123" t="n">
        <f aca="false">BH43</f>
        <v>0</v>
      </c>
      <c r="L19" s="123" t="n">
        <f aca="false">J19+K19</f>
        <v>0</v>
      </c>
      <c r="N19" s="866" t="n">
        <f aca="false">TradeSum!I20-I19</f>
        <v>-0.25</v>
      </c>
      <c r="O19" s="473"/>
      <c r="P19" s="246"/>
      <c r="R19" s="512" t="n">
        <f aca="false">A19</f>
        <v>37408</v>
      </c>
      <c r="S19" s="867"/>
      <c r="T19" s="868"/>
      <c r="U19" s="876"/>
      <c r="V19" s="868"/>
      <c r="W19" s="876"/>
      <c r="X19" s="868"/>
      <c r="Y19" s="867"/>
      <c r="Z19" s="868"/>
      <c r="AA19" s="877"/>
      <c r="AB19" s="868"/>
      <c r="AC19" s="877"/>
      <c r="AD19" s="868"/>
      <c r="AE19" s="877"/>
      <c r="AF19" s="868"/>
      <c r="AG19" s="877"/>
      <c r="AH19" s="868"/>
      <c r="AI19" s="877"/>
      <c r="AJ19" s="868"/>
      <c r="AK19" s="877"/>
      <c r="AL19" s="868"/>
      <c r="AM19" s="877"/>
      <c r="AN19" s="868"/>
      <c r="AO19" s="877"/>
      <c r="AP19" s="868"/>
      <c r="AQ19" s="877"/>
      <c r="AR19" s="868"/>
      <c r="AS19" s="877"/>
      <c r="AT19" s="868"/>
      <c r="AU19" s="877"/>
      <c r="AV19" s="868"/>
      <c r="AW19" s="877"/>
      <c r="AX19" s="868"/>
      <c r="AY19" s="877"/>
      <c r="AZ19" s="868"/>
      <c r="BA19" s="877"/>
      <c r="BB19" s="868"/>
      <c r="BC19" s="877"/>
      <c r="BD19" s="868"/>
      <c r="BE19" s="877"/>
      <c r="BF19" s="869"/>
      <c r="BG19" s="870" t="n">
        <f aca="false">S19+U19+W19+Y19+AA19+AC19+AE19+AG19+AI19+AK19+AM19+AO19+AQ19+AS19+AU19+AW19+AY19+BA19+BC19+BE19</f>
        <v>0</v>
      </c>
      <c r="BH19" s="871" t="n">
        <f aca="false">IF(AND(BG19=0,BK19=0),0,(ABS(S19)*T19+ABS(U19)*V19+ABS(W19)*X19+ABS(Y19)*Z19+ABS(AA19)*AB19+ABS(AC19)*AD19+ABS(AE19)*AF19+ABS(AG19)*AH19+ABS(AI19)*AJ19+ABS(AK19)*AL19+ABS(AM19)*AN19+ABS(AO19)*AP19+ABS(AQ19)*AR19+ABS(AS19)*AT19+ABS(AU19)*AV19+ABS(AW19)*AX19+ABS(AY19)*AZ19+ABS(BA19)*BB19+ABS(BC19)*BD19+ABS(BE19)*BF19)/BK19)</f>
        <v>0</v>
      </c>
      <c r="BK19" s="872" t="n">
        <f aca="false">ABS(S19)+ABS(U19)+ABS(W19)+ABS(Y19)+ABS(AA19)+ABS(AC19)+ABS(AE19)+ABS(AG19)+ABS(AI19)+ABS(AI19)+ABS(AK19)+ABS(AM19)+ABS(AO19)+ABS(AQ19)+ABS(AS19)+ABS(AU19)+ABS(AW19)+ABS(AY19)+ABS(BA19)+ABS(BC19)+ABS(BE19)</f>
        <v>0</v>
      </c>
      <c r="BL19" s="95" t="n">
        <f aca="false">A19</f>
        <v>37408</v>
      </c>
      <c r="BM19" s="873" t="n">
        <f aca="false">B19*TradeSum!H20</f>
        <v>-0</v>
      </c>
      <c r="BO19" s="874" t="n">
        <f aca="false">VLOOKUP(A19,TradeSum!CB19:CE37,4)</f>
        <v>0.969950971788438</v>
      </c>
      <c r="DF19" s="459"/>
      <c r="DG19" s="459"/>
      <c r="DH19" s="459"/>
      <c r="DI19" s="459"/>
      <c r="DJ19" s="459"/>
      <c r="DK19" s="459"/>
      <c r="DL19" s="459"/>
      <c r="DM19" s="459"/>
      <c r="DQ19" s="822" t="n">
        <f aca="false">A26</f>
        <v>37622</v>
      </c>
      <c r="DR19" s="473" t="n">
        <f aca="false">DY19</f>
        <v>0.25</v>
      </c>
      <c r="DS19" s="473" t="n">
        <f aca="false">VLOOKUP(DQ19,NymexData!$A$12:$B$29,2)-G26</f>
        <v>0</v>
      </c>
      <c r="DX19" s="854" t="str">
        <v>0.25 </v>
      </c>
      <c r="DY19" s="852" t="n">
        <f aca="false">IF(ISERROR(DZ19),0,DZ19)</f>
        <v>0.25</v>
      </c>
      <c r="DZ19" s="459" t="n">
        <f aca="false">VALUE(DX19)</f>
        <v>0.25</v>
      </c>
      <c r="EA19" s="459"/>
      <c r="EB19" s="459"/>
      <c r="EC19" s="459"/>
      <c r="ED19" s="459"/>
      <c r="EE19" s="459"/>
    </row>
    <row r="20" customFormat="false" ht="18" hidden="false" customHeight="false" outlineLevel="0" collapsed="false">
      <c r="A20" s="537" t="n">
        <f aca="false">[1]Cinergy!D43</f>
        <v>37438</v>
      </c>
      <c r="B20" s="180" t="n">
        <f aca="false">IF(ISERROR(VLOOKUP(A20,NymexData!$O$4:$P$46,2,FALSE())),0,VLOOKUP(A20,NymexData!$O$4:$P$46,2,FALSE()))</f>
        <v>0</v>
      </c>
      <c r="C20" s="538" t="n">
        <f aca="false">B20/736</f>
        <v>0</v>
      </c>
      <c r="D20" s="538" t="n">
        <f aca="false">BG20</f>
        <v>0</v>
      </c>
      <c r="E20" s="160" t="n">
        <f aca="false">B20+(D20*736)</f>
        <v>0</v>
      </c>
      <c r="F20" s="539" t="n">
        <f aca="false">C20+D20</f>
        <v>0</v>
      </c>
      <c r="G20" s="864" t="n">
        <f aca="false">IF(ISERROR(VLOOKUP(A20,NymexData!$A$12:$B$54,2,FALSE())),0,VLOOKUP(A20,NymexData!$A$12:$B$54,2,FALSE()))</f>
        <v>54.75</v>
      </c>
      <c r="H20" s="498" t="n">
        <f aca="false">IF(DU$3=1,DR13,DS13)</f>
        <v>0</v>
      </c>
      <c r="I20" s="865" t="n">
        <f aca="false">G20+H20</f>
        <v>54.75</v>
      </c>
      <c r="J20" s="160" t="n">
        <f aca="false">H20*B20</f>
        <v>0</v>
      </c>
      <c r="K20" s="114" t="n">
        <f aca="false">BH44</f>
        <v>0</v>
      </c>
      <c r="L20" s="114" t="n">
        <f aca="false">J20+K20</f>
        <v>0</v>
      </c>
      <c r="N20" s="866" t="n">
        <f aca="false">TradeSum!I21-I20</f>
        <v>0.125</v>
      </c>
      <c r="O20" s="473"/>
      <c r="P20" s="246"/>
      <c r="R20" s="512" t="n">
        <f aca="false">A20</f>
        <v>37438</v>
      </c>
      <c r="S20" s="867"/>
      <c r="T20" s="868"/>
      <c r="U20" s="876"/>
      <c r="V20" s="868"/>
      <c r="W20" s="876"/>
      <c r="X20" s="868"/>
      <c r="Y20" s="867"/>
      <c r="Z20" s="868"/>
      <c r="AA20" s="877"/>
      <c r="AB20" s="868"/>
      <c r="AC20" s="877"/>
      <c r="AD20" s="868"/>
      <c r="AE20" s="877"/>
      <c r="AF20" s="868"/>
      <c r="AG20" s="877"/>
      <c r="AH20" s="868"/>
      <c r="AI20" s="877"/>
      <c r="AJ20" s="868"/>
      <c r="AK20" s="877"/>
      <c r="AL20" s="868"/>
      <c r="AM20" s="877"/>
      <c r="AN20" s="868"/>
      <c r="AO20" s="877"/>
      <c r="AP20" s="868"/>
      <c r="AQ20" s="877"/>
      <c r="AR20" s="868"/>
      <c r="AS20" s="877"/>
      <c r="AT20" s="868"/>
      <c r="AU20" s="877"/>
      <c r="AV20" s="868"/>
      <c r="AW20" s="877"/>
      <c r="AX20" s="868"/>
      <c r="AY20" s="877"/>
      <c r="AZ20" s="868"/>
      <c r="BA20" s="877"/>
      <c r="BB20" s="868"/>
      <c r="BC20" s="877"/>
      <c r="BD20" s="868"/>
      <c r="BE20" s="877"/>
      <c r="BF20" s="869"/>
      <c r="BG20" s="870" t="n">
        <f aca="false">S20+U20+W20+Y20+AA20+AC20+AE20+AG20+AI20+AK20+AM20+AO20+AQ20+AS20+AU20+AW20+AY20+BA20+BC20+BE20</f>
        <v>0</v>
      </c>
      <c r="BH20" s="871" t="n">
        <f aca="false">IF(AND(BG20=0,BK20=0),0,(ABS(S20)*T20+ABS(U20)*V20+ABS(W20)*X20+ABS(Y20)*Z20+ABS(AA20)*AB20+ABS(AC20)*AD20+ABS(AE20)*AF20+ABS(AG20)*AH20+ABS(AI20)*AJ20+ABS(AK20)*AL20+ABS(AM20)*AN20+ABS(AO20)*AP20+ABS(AQ20)*AR20+ABS(AS20)*AT20+ABS(AU20)*AV20+ABS(AW20)*AX20+ABS(AY20)*AZ20+ABS(BA20)*BB20+ABS(BC20)*BD20+ABS(BE20)*BF20)/BK20)</f>
        <v>0</v>
      </c>
      <c r="BK20" s="872" t="n">
        <f aca="false">ABS(S20)+ABS(U20)+ABS(W20)+ABS(Y20)+ABS(AA20)+ABS(AC20)+ABS(AE20)+ABS(AG20)+ABS(AI20)+ABS(AI20)+ABS(AK20)+ABS(AM20)+ABS(AO20)+ABS(AQ20)+ABS(AS20)+ABS(AU20)+ABS(AW20)+ABS(AY20)+ABS(BA20)+ABS(BC20)+ABS(BE20)</f>
        <v>0</v>
      </c>
      <c r="BL20" s="537" t="n">
        <f aca="false">A20</f>
        <v>37438</v>
      </c>
      <c r="BM20" s="873" t="n">
        <f aca="false">B20*TradeSum!H21</f>
        <v>-0</v>
      </c>
      <c r="BO20" s="874" t="n">
        <f aca="false">VLOOKUP(A20,TradeSum!CB20:CE38,4)</f>
        <v>0.966929766386753</v>
      </c>
      <c r="DF20" s="459"/>
      <c r="DG20" s="459"/>
      <c r="DH20" s="459"/>
      <c r="DI20" s="459"/>
      <c r="DJ20" s="459"/>
      <c r="DK20" s="459"/>
      <c r="DL20" s="459"/>
      <c r="DM20" s="459"/>
      <c r="DQ20" s="822" t="n">
        <f aca="false">A27</f>
        <v>37653</v>
      </c>
      <c r="DR20" s="473" t="n">
        <f aca="false">DY20</f>
        <v>0.25</v>
      </c>
      <c r="DS20" s="473" t="n">
        <f aca="false">VLOOKUP(DQ20,NymexData!$A$12:$B$29,2)-G27</f>
        <v>0</v>
      </c>
      <c r="DX20" s="854" t="str">
        <v>0.25 </v>
      </c>
      <c r="DY20" s="852" t="n">
        <f aca="false">IF(ISERROR(DZ20),0,DZ20)</f>
        <v>0.25</v>
      </c>
      <c r="DZ20" s="459" t="n">
        <f aca="false">VALUE(DX20)</f>
        <v>0.25</v>
      </c>
      <c r="EA20" s="459"/>
      <c r="EB20" s="459"/>
      <c r="EC20" s="459"/>
      <c r="ED20" s="459"/>
      <c r="EE20" s="459"/>
    </row>
    <row r="21" customFormat="false" ht="18" hidden="false" customHeight="false" outlineLevel="0" collapsed="false">
      <c r="A21" s="95" t="n">
        <f aca="false">[1]Cinergy!D44</f>
        <v>37469</v>
      </c>
      <c r="B21" s="122" t="n">
        <f aca="false">IF(ISERROR(VLOOKUP(A21,NymexData!$O$4:$P$46,2,FALSE())),0,VLOOKUP(A21,NymexData!$O$4:$P$46,2,FALSE()))</f>
        <v>0</v>
      </c>
      <c r="C21" s="496" t="n">
        <f aca="false">B21/736</f>
        <v>0</v>
      </c>
      <c r="D21" s="496" t="n">
        <f aca="false">BG21</f>
        <v>0</v>
      </c>
      <c r="E21" s="163" t="n">
        <f aca="false">B21+(D21*736)</f>
        <v>0</v>
      </c>
      <c r="F21" s="497" t="n">
        <f aca="false">C21+D21</f>
        <v>0</v>
      </c>
      <c r="G21" s="603" t="n">
        <f aca="false">IF(ISERROR(VLOOKUP(A21,NymexData!$A$12:$B$54,2,FALSE())),0,VLOOKUP(A21,NymexData!$A$12:$B$54,2,FALSE()))</f>
        <v>54.75</v>
      </c>
      <c r="H21" s="498" t="n">
        <f aca="false">IF(DU$3=1,DR14,DS14)</f>
        <v>0</v>
      </c>
      <c r="I21" s="875" t="n">
        <f aca="false">G21+H21</f>
        <v>54.75</v>
      </c>
      <c r="J21" s="122" t="n">
        <f aca="false">H21*B21</f>
        <v>0</v>
      </c>
      <c r="K21" s="123" t="n">
        <f aca="false">BH45</f>
        <v>0</v>
      </c>
      <c r="L21" s="123" t="n">
        <f aca="false">J21+K21</f>
        <v>0</v>
      </c>
      <c r="N21" s="866" t="n">
        <f aca="false">TradeSum!I22-I21</f>
        <v>0.125</v>
      </c>
      <c r="O21" s="473"/>
      <c r="P21" s="246"/>
      <c r="R21" s="512" t="n">
        <f aca="false">A21</f>
        <v>37469</v>
      </c>
      <c r="S21" s="867"/>
      <c r="T21" s="868"/>
      <c r="U21" s="876"/>
      <c r="V21" s="868"/>
      <c r="W21" s="876"/>
      <c r="X21" s="868"/>
      <c r="Y21" s="867"/>
      <c r="Z21" s="868"/>
      <c r="AA21" s="877"/>
      <c r="AB21" s="868"/>
      <c r="AC21" s="877"/>
      <c r="AD21" s="868"/>
      <c r="AE21" s="877"/>
      <c r="AF21" s="868"/>
      <c r="AG21" s="877"/>
      <c r="AH21" s="868"/>
      <c r="AI21" s="877"/>
      <c r="AJ21" s="868"/>
      <c r="AK21" s="877"/>
      <c r="AL21" s="868"/>
      <c r="AM21" s="877"/>
      <c r="AN21" s="868"/>
      <c r="AO21" s="877"/>
      <c r="AP21" s="868"/>
      <c r="AQ21" s="877"/>
      <c r="AR21" s="868"/>
      <c r="AS21" s="877"/>
      <c r="AT21" s="868"/>
      <c r="AU21" s="877"/>
      <c r="AV21" s="868"/>
      <c r="AW21" s="877"/>
      <c r="AX21" s="868"/>
      <c r="AY21" s="877"/>
      <c r="AZ21" s="868"/>
      <c r="BA21" s="877"/>
      <c r="BB21" s="868"/>
      <c r="BC21" s="877"/>
      <c r="BD21" s="868"/>
      <c r="BE21" s="877"/>
      <c r="BF21" s="869"/>
      <c r="BG21" s="870" t="n">
        <f aca="false">S21+U21+W21+Y21+AA21+AC21+AE21+AG21+AI21+AK21+AM21+AO21+AQ21+AS21+AU21+AW21+AY21+BA21+BC21+BE21</f>
        <v>0</v>
      </c>
      <c r="BH21" s="871" t="n">
        <f aca="false">IF(AND(BG21=0,BK21=0),0,(ABS(S21)*T21+ABS(U21)*V21+ABS(W21)*X21+ABS(Y21)*Z21+ABS(AA21)*AB21+ABS(AC21)*AD21+ABS(AE21)*AF21+ABS(AG21)*AH21+ABS(AI21)*AJ21+ABS(AK21)*AL21+ABS(AM21)*AN21+ABS(AO21)*AP21+ABS(AQ21)*AR21+ABS(AS21)*AT21+ABS(AU21)*AV21+ABS(AW21)*AX21+ABS(AY21)*AZ21+ABS(BA21)*BB21+ABS(BC21)*BD21+ABS(BE21)*BF21)/BK21)</f>
        <v>0</v>
      </c>
      <c r="BK21" s="872" t="n">
        <f aca="false">ABS(S21)+ABS(U21)+ABS(W21)+ABS(Y21)+ABS(AA21)+ABS(AC21)+ABS(AE21)+ABS(AG21)+ABS(AI21)+ABS(AI21)+ABS(AK21)+ABS(AM21)+ABS(AO21)+ABS(AQ21)+ABS(AS21)+ABS(AU21)+ABS(AW21)+ABS(AY21)+ABS(BA21)+ABS(BC21)+ABS(BE21)</f>
        <v>0</v>
      </c>
      <c r="BL21" s="95" t="n">
        <f aca="false">A21</f>
        <v>37469</v>
      </c>
      <c r="BM21" s="873" t="n">
        <f aca="false">B21*TradeSum!H22</f>
        <v>-0</v>
      </c>
      <c r="BO21" s="874" t="n">
        <f aca="false">VLOOKUP(A21,TradeSum!CB21:CE39,4)</f>
        <v>0.963775898189151</v>
      </c>
      <c r="DF21" s="459"/>
      <c r="DG21" s="459"/>
      <c r="DH21" s="459"/>
      <c r="DI21" s="459"/>
      <c r="DJ21" s="459"/>
      <c r="DK21" s="459"/>
      <c r="DL21" s="459"/>
      <c r="DM21" s="459"/>
      <c r="DQ21" s="822" t="n">
        <f aca="false">A28</f>
        <v>37681</v>
      </c>
      <c r="DR21" s="473" t="n">
        <f aca="false">DY21</f>
        <v>0.25</v>
      </c>
      <c r="DS21" s="473" t="n">
        <f aca="false">VLOOKUP(DQ21,NymexData!$A$12:$B$29,2)-G28</f>
        <v>0</v>
      </c>
      <c r="DX21" s="878" t="str">
        <v>0.25 </v>
      </c>
      <c r="DY21" s="852" t="n">
        <f aca="false">IF(ISERROR(DZ21),0,DZ21)</f>
        <v>0.25</v>
      </c>
      <c r="DZ21" s="879" t="n">
        <f aca="false">VALUE(DX21)</f>
        <v>0.25</v>
      </c>
      <c r="EA21" s="459"/>
      <c r="EB21" s="459"/>
      <c r="EC21" s="459"/>
      <c r="ED21" s="459"/>
      <c r="EE21" s="459"/>
    </row>
    <row r="22" customFormat="false" ht="18" hidden="false" customHeight="false" outlineLevel="0" collapsed="false">
      <c r="A22" s="537" t="n">
        <f aca="false">[1]Cinergy!D45</f>
        <v>37500</v>
      </c>
      <c r="B22" s="180" t="n">
        <f aca="false">IF(ISERROR(VLOOKUP(A22,NymexData!$O$4:$P$46,2,FALSE())),0,VLOOKUP(A22,NymexData!$O$4:$P$46,2,FALSE()))</f>
        <v>0</v>
      </c>
      <c r="C22" s="538" t="n">
        <f aca="false">B22/736</f>
        <v>0</v>
      </c>
      <c r="D22" s="538" t="n">
        <f aca="false">BG22</f>
        <v>0</v>
      </c>
      <c r="E22" s="160" t="n">
        <f aca="false">B22+(D22*736)</f>
        <v>0</v>
      </c>
      <c r="F22" s="539" t="n">
        <f aca="false">C22+D22</f>
        <v>0</v>
      </c>
      <c r="G22" s="864" t="n">
        <f aca="false">IF(ISERROR(VLOOKUP(A22,NymexData!$A$12:$B$54,2,FALSE())),0,VLOOKUP(A22,NymexData!$A$12:$B$54,2,FALSE()))</f>
        <v>28</v>
      </c>
      <c r="H22" s="498" t="n">
        <f aca="false">IF(DU$3=1,DR15,DS15)</f>
        <v>0</v>
      </c>
      <c r="I22" s="865" t="n">
        <f aca="false">G22+H22</f>
        <v>28</v>
      </c>
      <c r="J22" s="160" t="n">
        <f aca="false">H22*B22</f>
        <v>0</v>
      </c>
      <c r="K22" s="114" t="n">
        <f aca="false">BH46</f>
        <v>0</v>
      </c>
      <c r="L22" s="114" t="n">
        <f aca="false">J22+K22</f>
        <v>0</v>
      </c>
      <c r="N22" s="866" t="n">
        <f aca="false">TradeSum!I23-I22</f>
        <v>0.25</v>
      </c>
      <c r="O22" s="473"/>
      <c r="P22" s="246"/>
      <c r="R22" s="512" t="n">
        <f aca="false">A22</f>
        <v>37500</v>
      </c>
      <c r="S22" s="867"/>
      <c r="T22" s="868"/>
      <c r="U22" s="876"/>
      <c r="V22" s="868"/>
      <c r="W22" s="876"/>
      <c r="X22" s="868"/>
      <c r="Y22" s="867"/>
      <c r="Z22" s="868"/>
      <c r="AA22" s="877"/>
      <c r="AB22" s="868"/>
      <c r="AC22" s="877"/>
      <c r="AD22" s="868"/>
      <c r="AE22" s="877"/>
      <c r="AF22" s="868"/>
      <c r="AG22" s="877"/>
      <c r="AH22" s="868"/>
      <c r="AI22" s="877"/>
      <c r="AJ22" s="868"/>
      <c r="AK22" s="877"/>
      <c r="AL22" s="868"/>
      <c r="AM22" s="877"/>
      <c r="AN22" s="868"/>
      <c r="AO22" s="877"/>
      <c r="AP22" s="868"/>
      <c r="AQ22" s="877"/>
      <c r="AR22" s="868"/>
      <c r="AS22" s="877"/>
      <c r="AT22" s="868"/>
      <c r="AU22" s="877"/>
      <c r="AV22" s="868"/>
      <c r="AW22" s="877"/>
      <c r="AX22" s="868"/>
      <c r="AY22" s="877"/>
      <c r="AZ22" s="868"/>
      <c r="BA22" s="877"/>
      <c r="BB22" s="868"/>
      <c r="BC22" s="877"/>
      <c r="BD22" s="868"/>
      <c r="BE22" s="877"/>
      <c r="BF22" s="869"/>
      <c r="BG22" s="870" t="n">
        <f aca="false">S22+U22+W22+Y22+AA22+AC22+AE22+AG22+AI22+AK22+AM22+AO22+AQ22+AS22+AU22+AW22+AY22+BA22+BC22+BE22</f>
        <v>0</v>
      </c>
      <c r="BH22" s="871" t="n">
        <f aca="false">IF(AND(BG22=0,BK22=0),0,(ABS(S22)*T22+ABS(U22)*V22+ABS(W22)*X22+ABS(Y22)*Z22+ABS(AA22)*AB22+ABS(AC22)*AD22+ABS(AE22)*AF22+ABS(AG22)*AH22+ABS(AI22)*AJ22+ABS(AK22)*AL22+ABS(AM22)*AN22+ABS(AO22)*AP22+ABS(AQ22)*AR22+ABS(AS22)*AT22+ABS(AU22)*AV22+ABS(AW22)*AX22+ABS(AY22)*AZ22+ABS(BA22)*BB22+ABS(BC22)*BD22+ABS(BE22)*BF22)/BK22)</f>
        <v>0</v>
      </c>
      <c r="BK22" s="872" t="n">
        <f aca="false">ABS(S22)+ABS(U22)+ABS(W22)+ABS(Y22)+ABS(AA22)+ABS(AC22)+ABS(AE22)+ABS(AG22)+ABS(AI22)+ABS(AI22)+ABS(AK22)+ABS(AM22)+ABS(AO22)+ABS(AQ22)+ABS(AS22)+ABS(AU22)+ABS(AW22)+ABS(AY22)+ABS(BA22)+ABS(BC22)+ABS(BE22)</f>
        <v>0</v>
      </c>
      <c r="BL22" s="537" t="n">
        <f aca="false">A22</f>
        <v>37500</v>
      </c>
      <c r="BM22" s="873" t="n">
        <f aca="false">B22*TradeSum!H23</f>
        <v>0</v>
      </c>
      <c r="BO22" s="874" t="n">
        <f aca="false">VLOOKUP(A22,TradeSum!CB22:CE40,4)</f>
        <v>0.960683921746086</v>
      </c>
      <c r="DF22" s="459"/>
      <c r="DG22" s="459"/>
      <c r="DH22" s="459"/>
      <c r="DI22" s="459"/>
      <c r="DJ22" s="459"/>
      <c r="DK22" s="459"/>
      <c r="DL22" s="459"/>
      <c r="DM22" s="459"/>
      <c r="DQ22" s="822" t="n">
        <f aca="false">A29</f>
        <v>37712</v>
      </c>
      <c r="DR22" s="473" t="n">
        <f aca="false">DY22</f>
        <v>0</v>
      </c>
      <c r="DS22" s="473" t="n">
        <f aca="false">VLOOKUP(DQ22,NymexData!$A$12:$B$29,2)-G29</f>
        <v>28.75</v>
      </c>
      <c r="DX22" s="0" t="str">
        <v>0.50 </v>
      </c>
      <c r="EA22" s="459"/>
      <c r="EB22" s="459"/>
      <c r="EC22" s="459"/>
      <c r="ED22" s="459"/>
      <c r="EE22" s="459"/>
    </row>
    <row r="23" customFormat="false" ht="18" hidden="false" customHeight="false" outlineLevel="0" collapsed="false">
      <c r="A23" s="95" t="n">
        <f aca="false">[1]Cinergy!D46</f>
        <v>37530</v>
      </c>
      <c r="B23" s="122" t="n">
        <f aca="false">IF(ISERROR(VLOOKUP(A23,NymexData!$O$4:$P$46,2,FALSE())),0,VLOOKUP(A23,NymexData!$O$4:$P$46,2,FALSE()))</f>
        <v>0</v>
      </c>
      <c r="C23" s="496" t="n">
        <f aca="false">B23/736</f>
        <v>0</v>
      </c>
      <c r="D23" s="496" t="n">
        <f aca="false">BG23</f>
        <v>0</v>
      </c>
      <c r="E23" s="163" t="n">
        <f aca="false">B23+(D23*736)</f>
        <v>0</v>
      </c>
      <c r="F23" s="497" t="n">
        <f aca="false">C23+D23</f>
        <v>0</v>
      </c>
      <c r="G23" s="603" t="n">
        <f aca="false">IF(ISERROR(VLOOKUP(A23,NymexData!$A$12:$B$54,2,FALSE())),0,VLOOKUP(A23,NymexData!$A$12:$B$54,2,FALSE()))</f>
        <v>29</v>
      </c>
      <c r="H23" s="498" t="n">
        <f aca="false">IF(DU$3=1,DR16,DS16)</f>
        <v>0</v>
      </c>
      <c r="I23" s="875" t="n">
        <f aca="false">G23+H23</f>
        <v>29</v>
      </c>
      <c r="J23" s="122" t="n">
        <f aca="false">H23*B23</f>
        <v>0</v>
      </c>
      <c r="K23" s="123" t="n">
        <f aca="false">BH47</f>
        <v>0</v>
      </c>
      <c r="L23" s="123" t="n">
        <f aca="false">J23+K23</f>
        <v>0</v>
      </c>
      <c r="N23" s="866" t="n">
        <f aca="false">TradeSum!I24-I23</f>
        <v>-0.193750709295273</v>
      </c>
      <c r="O23" s="473"/>
      <c r="P23" s="246"/>
      <c r="R23" s="512" t="n">
        <f aca="false">A23</f>
        <v>37530</v>
      </c>
      <c r="S23" s="867"/>
      <c r="T23" s="868"/>
      <c r="U23" s="876"/>
      <c r="V23" s="868"/>
      <c r="W23" s="876"/>
      <c r="X23" s="868"/>
      <c r="Y23" s="867"/>
      <c r="Z23" s="868"/>
      <c r="AA23" s="877"/>
      <c r="AB23" s="868"/>
      <c r="AC23" s="877"/>
      <c r="AD23" s="868"/>
      <c r="AE23" s="877"/>
      <c r="AF23" s="868"/>
      <c r="AG23" s="877"/>
      <c r="AH23" s="868"/>
      <c r="AI23" s="877"/>
      <c r="AJ23" s="868"/>
      <c r="AK23" s="877"/>
      <c r="AL23" s="868"/>
      <c r="AM23" s="877"/>
      <c r="AN23" s="868"/>
      <c r="AO23" s="877"/>
      <c r="AP23" s="868"/>
      <c r="AQ23" s="877"/>
      <c r="AR23" s="868"/>
      <c r="AS23" s="877"/>
      <c r="AT23" s="868"/>
      <c r="AU23" s="877"/>
      <c r="AV23" s="868"/>
      <c r="AW23" s="877"/>
      <c r="AX23" s="868"/>
      <c r="AY23" s="877"/>
      <c r="AZ23" s="868"/>
      <c r="BA23" s="877"/>
      <c r="BB23" s="868"/>
      <c r="BC23" s="877"/>
      <c r="BD23" s="868"/>
      <c r="BE23" s="877"/>
      <c r="BF23" s="869"/>
      <c r="BG23" s="870" t="n">
        <f aca="false">S23+U23+W23+Y23+AA23+AC23+AE23+AG23+AI23+AK23+AM23+AO23+AQ23+AS23+AU23+AW23+AY23+BA23+BC23+BE23</f>
        <v>0</v>
      </c>
      <c r="BH23" s="871" t="n">
        <f aca="false">IF(AND(BG23=0,BK23=0),0,(ABS(S23)*T23+ABS(U23)*V23+ABS(W23)*X23+ABS(Y23)*Z23+ABS(AA23)*AB23+ABS(AC23)*AD23+ABS(AE23)*AF23+ABS(AG23)*AH23+ABS(AI23)*AJ23+ABS(AK23)*AL23+ABS(AM23)*AN23+ABS(AO23)*AP23+ABS(AQ23)*AR23+ABS(AS23)*AT23+ABS(AU23)*AV23+ABS(AW23)*AX23+ABS(AY23)*AZ23+ABS(BA23)*BB23+ABS(BC23)*BD23+ABS(BE23)*BF23)/BK23)</f>
        <v>0</v>
      </c>
      <c r="BK23" s="872" t="n">
        <f aca="false">ABS(S23)+ABS(U23)+ABS(W23)+ABS(Y23)+ABS(AA23)+ABS(AC23)+ABS(AE23)+ABS(AG23)+ABS(AI23)+ABS(AI23)+ABS(AK23)+ABS(AM23)+ABS(AO23)+ABS(AQ23)+ABS(AS23)+ABS(AU23)+ABS(AW23)+ABS(AY23)+ABS(BA23)+ABS(BC23)+ABS(BE23)</f>
        <v>0</v>
      </c>
      <c r="BL23" s="95" t="n">
        <f aca="false">A23</f>
        <v>37530</v>
      </c>
      <c r="BM23" s="873" t="n">
        <f aca="false">B23*TradeSum!H24</f>
        <v>-0</v>
      </c>
      <c r="BO23" s="874" t="n">
        <f aca="false">VLOOKUP(A23,TradeSum!CB23:CE41,4)</f>
        <v>0.957412569646852</v>
      </c>
      <c r="DF23" s="459"/>
      <c r="DG23" s="459"/>
      <c r="DH23" s="459"/>
      <c r="DI23" s="459"/>
      <c r="DJ23" s="459"/>
      <c r="DK23" s="459"/>
      <c r="DL23" s="459"/>
      <c r="DM23" s="459"/>
      <c r="DQ23" s="822"/>
    </row>
    <row r="24" customFormat="false" ht="18" hidden="false" customHeight="false" outlineLevel="0" collapsed="false">
      <c r="A24" s="537" t="n">
        <f aca="false">[1]Cinergy!D47</f>
        <v>37561</v>
      </c>
      <c r="B24" s="180" t="n">
        <f aca="false">IF(ISERROR(VLOOKUP(A24,NymexData!$O$4:$P$46,2,FALSE())),0,VLOOKUP(A24,NymexData!$O$4:$P$46,2,FALSE()))</f>
        <v>0</v>
      </c>
      <c r="C24" s="538" t="n">
        <f aca="false">B24/736</f>
        <v>0</v>
      </c>
      <c r="D24" s="538" t="n">
        <f aca="false">BG24</f>
        <v>0</v>
      </c>
      <c r="E24" s="160" t="n">
        <f aca="false">B24+(D24*736)</f>
        <v>0</v>
      </c>
      <c r="F24" s="539" t="n">
        <f aca="false">C24+D24</f>
        <v>0</v>
      </c>
      <c r="G24" s="864" t="n">
        <f aca="false">IF(ISERROR(VLOOKUP(A24,NymexData!$A$12:$B$54,2,FALSE())),0,VLOOKUP(A24,NymexData!$A$12:$B$54,2,FALSE()))</f>
        <v>29</v>
      </c>
      <c r="H24" s="498" t="n">
        <f aca="false">IF(DU$3=1,DR17,DS17)</f>
        <v>0</v>
      </c>
      <c r="I24" s="865" t="n">
        <f aca="false">G24+H24</f>
        <v>29</v>
      </c>
      <c r="J24" s="160" t="n">
        <f aca="false">H24*B24</f>
        <v>0</v>
      </c>
      <c r="K24" s="114" t="n">
        <f aca="false">BH48</f>
        <v>0</v>
      </c>
      <c r="L24" s="114" t="n">
        <f aca="false">J24+K24</f>
        <v>0</v>
      </c>
      <c r="N24" s="866" t="n">
        <f aca="false">TradeSum!I25-I24</f>
        <v>0.00625196099281311</v>
      </c>
      <c r="O24" s="234"/>
      <c r="R24" s="512" t="n">
        <f aca="false">A24</f>
        <v>37561</v>
      </c>
      <c r="S24" s="876"/>
      <c r="T24" s="868"/>
      <c r="U24" s="876"/>
      <c r="V24" s="868"/>
      <c r="W24" s="876"/>
      <c r="X24" s="868"/>
      <c r="Y24" s="867"/>
      <c r="Z24" s="868"/>
      <c r="AA24" s="877"/>
      <c r="AB24" s="868"/>
      <c r="AC24" s="877"/>
      <c r="AD24" s="868"/>
      <c r="AE24" s="877"/>
      <c r="AF24" s="868"/>
      <c r="AG24" s="877"/>
      <c r="AH24" s="868"/>
      <c r="AI24" s="877"/>
      <c r="AJ24" s="868"/>
      <c r="AK24" s="877"/>
      <c r="AL24" s="868"/>
      <c r="AM24" s="877"/>
      <c r="AN24" s="868"/>
      <c r="AO24" s="877"/>
      <c r="AP24" s="868"/>
      <c r="AQ24" s="877"/>
      <c r="AR24" s="868"/>
      <c r="AS24" s="877"/>
      <c r="AT24" s="868"/>
      <c r="AU24" s="877"/>
      <c r="AV24" s="868"/>
      <c r="AW24" s="877"/>
      <c r="AX24" s="868"/>
      <c r="AY24" s="877"/>
      <c r="AZ24" s="868"/>
      <c r="BA24" s="877"/>
      <c r="BB24" s="868"/>
      <c r="BC24" s="877"/>
      <c r="BD24" s="868"/>
      <c r="BE24" s="877"/>
      <c r="BF24" s="869"/>
      <c r="BG24" s="870" t="n">
        <f aca="false">S24+U24+W24+Y24+AA24+AC24+AE24+AG24+AI24+AK24+AM24+AO24+AQ24+AS24+AU24+AW24+AY24+BA24+BC24+BE24</f>
        <v>0</v>
      </c>
      <c r="BH24" s="871" t="n">
        <f aca="false">IF(AND(BG24=0,BK24=0),0,(ABS(S24)*T24+ABS(U24)*V24+ABS(W24)*X24+ABS(Y24)*Z24+ABS(AA24)*AB24+ABS(AC24)*AD24+ABS(AE24)*AF24+ABS(AG24)*AH24+ABS(AI24)*AJ24+ABS(AK24)*AL24+ABS(AM24)*AN24+ABS(AO24)*AP24+ABS(AQ24)*AR24+ABS(AS24)*AT24+ABS(AU24)*AV24+ABS(AW24)*AX24+ABS(AY24)*AZ24+ABS(BA24)*BB24+ABS(BC24)*BD24+ABS(BE24)*BF24)/BK24)</f>
        <v>0</v>
      </c>
      <c r="BK24" s="872" t="n">
        <f aca="false">ABS(S24)+ABS(U24)+ABS(W24)+ABS(Y24)+ABS(AA24)+ABS(AC24)+ABS(AE24)+ABS(AG24)+ABS(AI24)+ABS(AI24)+ABS(AK24)+ABS(AM24)+ABS(AO24)+ABS(AQ24)+ABS(AS24)+ABS(AU24)+ABS(AW24)+ABS(AY24)+ABS(BA24)+ABS(BC24)+ABS(BE24)</f>
        <v>0</v>
      </c>
      <c r="BL24" s="537" t="n">
        <f aca="false">A24</f>
        <v>37561</v>
      </c>
      <c r="BM24" s="873" t="n">
        <f aca="false">B24*TradeSum!H25</f>
        <v>-0</v>
      </c>
      <c r="BO24" s="874" t="n">
        <f aca="false">VLOOKUP(A24,TradeSum!CB24:CE42,4)</f>
        <v>0.954089178150039</v>
      </c>
      <c r="DF24" s="459"/>
      <c r="DG24" s="459"/>
      <c r="DH24" s="459"/>
      <c r="DI24" s="459"/>
      <c r="DJ24" s="459"/>
      <c r="DK24" s="459"/>
      <c r="DL24" s="459"/>
      <c r="DM24" s="459"/>
    </row>
    <row r="25" customFormat="false" ht="18" hidden="false" customHeight="false" outlineLevel="0" collapsed="false">
      <c r="A25" s="95" t="n">
        <f aca="false">[1]Cinergy!D48</f>
        <v>37591</v>
      </c>
      <c r="B25" s="122" t="n">
        <f aca="false">IF(ISERROR(VLOOKUP(A25,NymexData!$O$4:$P$46,2,FALSE())),0,VLOOKUP(A25,NymexData!$O$4:$P$46,2,FALSE()))</f>
        <v>0</v>
      </c>
      <c r="C25" s="496" t="n">
        <f aca="false">B25/736</f>
        <v>0</v>
      </c>
      <c r="D25" s="496" t="n">
        <f aca="false">BG25</f>
        <v>0</v>
      </c>
      <c r="E25" s="163" t="n">
        <f aca="false">B25+(D25*736)</f>
        <v>0</v>
      </c>
      <c r="F25" s="497" t="n">
        <f aca="false">C25+D25</f>
        <v>0</v>
      </c>
      <c r="G25" s="603" t="n">
        <f aca="false">IF(ISERROR(VLOOKUP(A25,NymexData!$A$12:$B$54,2,FALSE())),0,VLOOKUP(A25,NymexData!$A$12:$B$54,2,FALSE()))</f>
        <v>29</v>
      </c>
      <c r="H25" s="498" t="n">
        <f aca="false">IF(DU$3=1,DR18,DS18)</f>
        <v>0</v>
      </c>
      <c r="I25" s="875" t="n">
        <f aca="false">G25+H25</f>
        <v>29</v>
      </c>
      <c r="J25" s="122" t="n">
        <f aca="false">H25*B25</f>
        <v>0</v>
      </c>
      <c r="K25" s="123" t="n">
        <f aca="false">BH49</f>
        <v>0</v>
      </c>
      <c r="L25" s="123" t="n">
        <f aca="false">J25+K25</f>
        <v>0</v>
      </c>
      <c r="N25" s="866" t="n">
        <f aca="false">TradeSum!I26-I25</f>
        <v>0.206248909235001</v>
      </c>
      <c r="O25" s="234"/>
      <c r="R25" s="512" t="n">
        <f aca="false">A25</f>
        <v>37591</v>
      </c>
      <c r="S25" s="876"/>
      <c r="T25" s="868"/>
      <c r="U25" s="876"/>
      <c r="V25" s="868"/>
      <c r="W25" s="876"/>
      <c r="X25" s="868"/>
      <c r="Y25" s="867"/>
      <c r="Z25" s="868"/>
      <c r="AA25" s="877"/>
      <c r="AB25" s="868"/>
      <c r="AC25" s="877"/>
      <c r="AD25" s="868"/>
      <c r="AE25" s="877"/>
      <c r="AF25" s="868"/>
      <c r="AG25" s="877"/>
      <c r="AH25" s="868"/>
      <c r="AI25" s="877"/>
      <c r="AJ25" s="868"/>
      <c r="AK25" s="877"/>
      <c r="AL25" s="868"/>
      <c r="AM25" s="877"/>
      <c r="AN25" s="868"/>
      <c r="AO25" s="877"/>
      <c r="AP25" s="868"/>
      <c r="AQ25" s="877"/>
      <c r="AR25" s="868"/>
      <c r="AS25" s="877"/>
      <c r="AT25" s="868"/>
      <c r="AU25" s="877"/>
      <c r="AV25" s="868"/>
      <c r="AW25" s="877"/>
      <c r="AX25" s="868"/>
      <c r="AY25" s="877"/>
      <c r="AZ25" s="868"/>
      <c r="BA25" s="877"/>
      <c r="BB25" s="868"/>
      <c r="BC25" s="877"/>
      <c r="BD25" s="868"/>
      <c r="BE25" s="877"/>
      <c r="BF25" s="869"/>
      <c r="BG25" s="870" t="n">
        <f aca="false">S25+U25+W25+Y25+AA25+AC25+AE25+AG25+AI25+AK25+AM25+AO25+AQ25+AS25+AU25+AW25+AY25+BA25+BC25+BE25</f>
        <v>0</v>
      </c>
      <c r="BH25" s="871" t="n">
        <f aca="false">IF(AND(BG25=0,BK25=0),0,(ABS(S25)*T25+ABS(U25)*V25+ABS(W25)*X25+ABS(Y25)*Z25+ABS(AA25)*AB25+ABS(AC25)*AD25+ABS(AE25)*AF25+ABS(AG25)*AH25+ABS(AI25)*AJ25+ABS(AK25)*AL25+ABS(AM25)*AN25+ABS(AO25)*AP25+ABS(AQ25)*AR25+ABS(AS25)*AT25+ABS(AU25)*AV25+ABS(AW25)*AX25+ABS(AY25)*AZ25+ABS(BA25)*BB25+ABS(BC25)*BD25+ABS(BE25)*BF25)/BK25)</f>
        <v>0</v>
      </c>
      <c r="BK25" s="872" t="n">
        <f aca="false">ABS(S25)+ABS(U25)+ABS(W25)+ABS(Y25)+ABS(AA25)+ABS(AC25)+ABS(AE25)+ABS(AG25)+ABS(AI25)+ABS(AI25)+ABS(AK25)+ABS(AM25)+ABS(AO25)+ABS(AQ25)+ABS(AS25)+ABS(AU25)+ABS(AW25)+ABS(AY25)+ABS(BA25)+ABS(BC25)+ABS(BE25)</f>
        <v>0</v>
      </c>
      <c r="BL25" s="95" t="n">
        <f aca="false">A25</f>
        <v>37591</v>
      </c>
      <c r="BM25" s="873" t="n">
        <f aca="false">B25*TradeSum!H26</f>
        <v>-0</v>
      </c>
      <c r="BO25" s="874" t="n">
        <f aca="false">VLOOKUP(A25,TradeSum!CB25:CE43,4)</f>
        <v>0.950636103476229</v>
      </c>
      <c r="DF25" s="459"/>
      <c r="DG25" s="459"/>
      <c r="DH25" s="459"/>
      <c r="DI25" s="459"/>
      <c r="DJ25" s="459"/>
      <c r="DK25" s="459"/>
      <c r="DL25" s="459"/>
      <c r="DM25" s="459"/>
    </row>
    <row r="26" customFormat="false" ht="18" hidden="false" customHeight="false" outlineLevel="0" collapsed="false">
      <c r="A26" s="537" t="n">
        <f aca="false">[1]Cinergy!D49</f>
        <v>37622</v>
      </c>
      <c r="B26" s="180" t="n">
        <f aca="false">IF(ISERROR(VLOOKUP(A26,NymexData!$O$4:$P$46,2,FALSE())),0,VLOOKUP(A26,NymexData!$O$4:$P$46,2,FALSE()))</f>
        <v>0</v>
      </c>
      <c r="C26" s="538" t="n">
        <f aca="false">B26/736</f>
        <v>0</v>
      </c>
      <c r="D26" s="538" t="n">
        <f aca="false">BG26</f>
        <v>0</v>
      </c>
      <c r="E26" s="160" t="n">
        <f aca="false">B26+(D26*736)</f>
        <v>0</v>
      </c>
      <c r="F26" s="539" t="n">
        <f aca="false">C26+D26</f>
        <v>0</v>
      </c>
      <c r="G26" s="864" t="n">
        <f aca="false">IF(ISERROR(VLOOKUP(A26,NymexData!$A$12:$B$54,2,FALSE())),0,VLOOKUP(A26,NymexData!$A$12:$B$54,2,FALSE()))</f>
        <v>30</v>
      </c>
      <c r="H26" s="498" t="n">
        <f aca="false">IF(DU$3=1,DR19,DS19)</f>
        <v>0</v>
      </c>
      <c r="I26" s="865" t="n">
        <f aca="false">G26+H26</f>
        <v>30</v>
      </c>
      <c r="J26" s="160" t="n">
        <f aca="false">H26*B26</f>
        <v>0</v>
      </c>
      <c r="K26" s="114" t="n">
        <f aca="false">BH50</f>
        <v>0</v>
      </c>
      <c r="L26" s="114" t="n">
        <f aca="false">J26+K26</f>
        <v>0</v>
      </c>
      <c r="N26" s="866" t="n">
        <f aca="false">TradeSum!I27-I26</f>
        <v>0.285717192150297</v>
      </c>
      <c r="O26" s="234"/>
      <c r="R26" s="512" t="n">
        <f aca="false">A26</f>
        <v>37622</v>
      </c>
      <c r="S26" s="876"/>
      <c r="T26" s="868"/>
      <c r="U26" s="876"/>
      <c r="V26" s="868"/>
      <c r="W26" s="876"/>
      <c r="X26" s="868"/>
      <c r="Y26" s="867"/>
      <c r="Z26" s="868"/>
      <c r="AA26" s="877"/>
      <c r="AB26" s="868"/>
      <c r="AC26" s="877"/>
      <c r="AD26" s="868"/>
      <c r="AE26" s="877"/>
      <c r="AF26" s="868"/>
      <c r="AG26" s="877"/>
      <c r="AH26" s="868"/>
      <c r="AI26" s="877"/>
      <c r="AJ26" s="868"/>
      <c r="AK26" s="877"/>
      <c r="AL26" s="868"/>
      <c r="AM26" s="877"/>
      <c r="AN26" s="868"/>
      <c r="AO26" s="877"/>
      <c r="AP26" s="868"/>
      <c r="AQ26" s="877"/>
      <c r="AR26" s="868"/>
      <c r="AS26" s="877"/>
      <c r="AT26" s="868"/>
      <c r="AU26" s="877"/>
      <c r="AV26" s="868"/>
      <c r="AW26" s="877"/>
      <c r="AX26" s="868"/>
      <c r="AY26" s="877"/>
      <c r="AZ26" s="868"/>
      <c r="BA26" s="877"/>
      <c r="BB26" s="868"/>
      <c r="BC26" s="877"/>
      <c r="BD26" s="868"/>
      <c r="BE26" s="877"/>
      <c r="BF26" s="869"/>
      <c r="BG26" s="870" t="n">
        <f aca="false">S26+U26+W26+Y26+AA26+AC26+AE26+AG26+AI26+AK26+AM26+AO26+AQ26+AS26+AU26+AW26+AY26+BA26+BC26+BE26</f>
        <v>0</v>
      </c>
      <c r="BH26" s="871" t="n">
        <f aca="false">IF(AND(BG26=0,BK26=0),0,(ABS(S26)*T26+ABS(U26)*V26+ABS(W26)*X26+ABS(Y26)*Z26+ABS(AA26)*AB26+ABS(AC26)*AD26+ABS(AE26)*AF26+ABS(AG26)*AH26+ABS(AI26)*AJ26+ABS(AK26)*AL26+ABS(AM26)*AN26+ABS(AO26)*AP26+ABS(AQ26)*AR26+ABS(AS26)*AT26+ABS(AU26)*AV26+ABS(AW26)*AX26+ABS(AY26)*AZ26+ABS(BA26)*BB26+ABS(BC26)*BD26+ABS(BE26)*BF26)/BK26)</f>
        <v>0</v>
      </c>
      <c r="BK26" s="872" t="n">
        <f aca="false">ABS(S26)+ABS(U26)+ABS(W26)+ABS(Y26)+ABS(AA26)+ABS(AC26)+ABS(AE26)+ABS(AG26)+ABS(AI26)+ABS(AI26)+ABS(AK26)+ABS(AM26)+ABS(AO26)+ABS(AQ26)+ABS(AS26)+ABS(AU26)+ABS(AW26)+ABS(AY26)+ABS(BA26)+ABS(BC26)+ABS(BE26)</f>
        <v>0</v>
      </c>
      <c r="BL26" s="537" t="n">
        <f aca="false">A26</f>
        <v>37622</v>
      </c>
      <c r="BM26" s="873" t="n">
        <f aca="false">B26*TradeSum!H27</f>
        <v>0</v>
      </c>
      <c r="BO26" s="874" t="n">
        <f aca="false">VLOOKUP(A26,TradeSum!CB26:CE44,4)</f>
        <v>0.947058501643835</v>
      </c>
      <c r="DF26" s="459"/>
      <c r="DG26" s="459"/>
      <c r="DH26" s="459"/>
      <c r="DI26" s="459"/>
      <c r="DJ26" s="459"/>
      <c r="DK26" s="459"/>
      <c r="DL26" s="459"/>
      <c r="DM26" s="459"/>
    </row>
    <row r="27" customFormat="false" ht="18" hidden="false" customHeight="false" outlineLevel="0" collapsed="false">
      <c r="A27" s="95" t="n">
        <f aca="false">[1]Cinergy!D50</f>
        <v>37653</v>
      </c>
      <c r="B27" s="122" t="n">
        <f aca="false">IF(ISERROR(VLOOKUP(A27,NymexData!$O$4:$P$46,2,FALSE())),0,VLOOKUP(A27,NymexData!$O$4:$P$46,2,FALSE()))</f>
        <v>0</v>
      </c>
      <c r="C27" s="496" t="n">
        <f aca="false">B27/736</f>
        <v>0</v>
      </c>
      <c r="D27" s="496" t="n">
        <f aca="false">BG27</f>
        <v>0</v>
      </c>
      <c r="E27" s="163" t="n">
        <f aca="false">B27+(D27*736)</f>
        <v>0</v>
      </c>
      <c r="F27" s="497" t="n">
        <f aca="false">C27+D27</f>
        <v>0</v>
      </c>
      <c r="G27" s="603" t="n">
        <f aca="false">IF(ISERROR(VLOOKUP(A27,NymexData!$A$12:$B$54,2,FALSE())),0,VLOOKUP(A27,NymexData!$A$12:$B$54,2,FALSE()))</f>
        <v>30</v>
      </c>
      <c r="H27" s="498" t="n">
        <f aca="false">IF(DU$3=1,DR20,DS20)</f>
        <v>0</v>
      </c>
      <c r="I27" s="875" t="n">
        <f aca="false">G27+H27</f>
        <v>30</v>
      </c>
      <c r="J27" s="122" t="n">
        <f aca="false">H27*B27</f>
        <v>0</v>
      </c>
      <c r="K27" s="123" t="n">
        <f aca="false">BH51</f>
        <v>0</v>
      </c>
      <c r="L27" s="123" t="n">
        <f aca="false">J27+K27</f>
        <v>0</v>
      </c>
      <c r="N27" s="866" t="n">
        <f aca="false">TradeSum!I28-I27</f>
        <v>-0.314288911365328</v>
      </c>
      <c r="O27" s="234"/>
      <c r="R27" s="512" t="n">
        <f aca="false">A27</f>
        <v>37653</v>
      </c>
      <c r="S27" s="876"/>
      <c r="T27" s="868"/>
      <c r="U27" s="876"/>
      <c r="V27" s="868"/>
      <c r="W27" s="876"/>
      <c r="X27" s="868"/>
      <c r="Y27" s="867"/>
      <c r="Z27" s="868"/>
      <c r="AA27" s="877"/>
      <c r="AB27" s="868"/>
      <c r="AC27" s="877"/>
      <c r="AD27" s="868"/>
      <c r="AE27" s="877"/>
      <c r="AF27" s="868"/>
      <c r="AG27" s="877"/>
      <c r="AH27" s="868"/>
      <c r="AI27" s="877"/>
      <c r="AJ27" s="868"/>
      <c r="AK27" s="877"/>
      <c r="AL27" s="868"/>
      <c r="AM27" s="877"/>
      <c r="AN27" s="868"/>
      <c r="AO27" s="877"/>
      <c r="AP27" s="868"/>
      <c r="AQ27" s="877"/>
      <c r="AR27" s="868"/>
      <c r="AS27" s="877"/>
      <c r="AT27" s="868"/>
      <c r="AU27" s="877"/>
      <c r="AV27" s="868"/>
      <c r="AW27" s="877"/>
      <c r="AX27" s="868"/>
      <c r="AY27" s="877"/>
      <c r="AZ27" s="868"/>
      <c r="BA27" s="877"/>
      <c r="BB27" s="868"/>
      <c r="BC27" s="877"/>
      <c r="BD27" s="868"/>
      <c r="BE27" s="877"/>
      <c r="BF27" s="869"/>
      <c r="BG27" s="870" t="n">
        <f aca="false">S27+U27+W27+Y27+AA27+AC27+AE27+AG27+AI27+AK27+AM27+AO27+AQ27+AS27+AU27+AW27+AY27+BA27+BC27+BE27</f>
        <v>0</v>
      </c>
      <c r="BH27" s="871" t="n">
        <f aca="false">IF(AND(BG27=0,BK27=0),0,(ABS(S27)*T27+ABS(U27)*V27+ABS(W27)*X27+ABS(Y27)*Z27+ABS(AA27)*AB27+ABS(AC27)*AD27+ABS(AE27)*AF27+ABS(AG27)*AH27+ABS(AI27)*AJ27+ABS(AK27)*AL27+ABS(AM27)*AN27+ABS(AO27)*AP27+ABS(AQ27)*AR27+ABS(AS27)*AT27+ABS(AU27)*AV27+ABS(AW27)*AX27+ABS(AY27)*AZ27+ABS(BA27)*BB27+ABS(BC27)*BD27+ABS(BE27)*BF27)/BK27)</f>
        <v>0</v>
      </c>
      <c r="BK27" s="872" t="n">
        <f aca="false">ABS(S27)+ABS(U27)+ABS(W27)+ABS(Y27)+ABS(AA27)+ABS(AC27)+ABS(AE27)+ABS(AG27)+ABS(AI27)+ABS(AI27)+ABS(AK27)+ABS(AM27)+ABS(AO27)+ABS(AQ27)+ABS(AS27)+ABS(AU27)+ABS(AW27)+ABS(AY27)+ABS(BA27)+ABS(BC27)+ABS(BE27)</f>
        <v>0</v>
      </c>
      <c r="BL27" s="95" t="n">
        <f aca="false">A27</f>
        <v>37653</v>
      </c>
      <c r="BM27" s="873" t="n">
        <f aca="false">B27*TradeSum!H28</f>
        <v>0</v>
      </c>
      <c r="BO27" s="874" t="n">
        <f aca="false">VLOOKUP(A27,TradeSum!CB27:CE45,4)</f>
        <v>0.943643503396813</v>
      </c>
      <c r="DF27" s="459"/>
      <c r="DG27" s="459"/>
      <c r="DH27" s="459"/>
      <c r="DI27" s="459"/>
      <c r="DJ27" s="459"/>
      <c r="DK27" s="459"/>
      <c r="DL27" s="459"/>
      <c r="DM27" s="459"/>
    </row>
    <row r="28" customFormat="false" ht="18.75" hidden="false" customHeight="false" outlineLevel="0" collapsed="false">
      <c r="A28" s="537" t="n">
        <f aca="false">[1]Cinergy!D51</f>
        <v>37681</v>
      </c>
      <c r="B28" s="180" t="n">
        <f aca="false">IF(ISERROR(VLOOKUP(A28,NymexData!$O$4:$P$46,2,FALSE())),0,VLOOKUP(A28,NymexData!$O$4:$P$46,2,FALSE()))</f>
        <v>0</v>
      </c>
      <c r="C28" s="538" t="n">
        <f aca="false">B28/736</f>
        <v>0</v>
      </c>
      <c r="D28" s="538" t="n">
        <f aca="false">BG28</f>
        <v>0</v>
      </c>
      <c r="E28" s="160" t="n">
        <f aca="false">B28+(D28*736)</f>
        <v>0</v>
      </c>
      <c r="F28" s="539" t="n">
        <f aca="false">C28+D28</f>
        <v>0</v>
      </c>
      <c r="G28" s="864" t="n">
        <f aca="false">IF(ISERROR(VLOOKUP(A28,NymexData!$A$12:$B$54,2,FALSE())),0,VLOOKUP(A28,NymexData!$A$12:$B$54,2,FALSE()))</f>
        <v>28.75</v>
      </c>
      <c r="H28" s="498" t="n">
        <f aca="false">IF(DU$3=1,DR21,DS21)</f>
        <v>0</v>
      </c>
      <c r="I28" s="865" t="n">
        <f aca="false">G28+H28</f>
        <v>28.75</v>
      </c>
      <c r="J28" s="160" t="n">
        <f aca="false">H28*B28</f>
        <v>0</v>
      </c>
      <c r="K28" s="114" t="n">
        <f aca="false">BH52</f>
        <v>0</v>
      </c>
      <c r="L28" s="114" t="n">
        <f aca="false">J28+K28</f>
        <v>0</v>
      </c>
      <c r="N28" s="866" t="n">
        <f aca="false">TradeSum!I29-I28</f>
        <v>-0.352322068325307</v>
      </c>
      <c r="O28" s="234"/>
      <c r="R28" s="681" t="n">
        <f aca="false">A28</f>
        <v>37681</v>
      </c>
      <c r="S28" s="880"/>
      <c r="T28" s="881"/>
      <c r="U28" s="880"/>
      <c r="V28" s="881"/>
      <c r="W28" s="880"/>
      <c r="X28" s="881"/>
      <c r="Y28" s="882"/>
      <c r="Z28" s="881"/>
      <c r="AA28" s="883"/>
      <c r="AB28" s="881"/>
      <c r="AC28" s="883"/>
      <c r="AD28" s="881"/>
      <c r="AE28" s="883"/>
      <c r="AF28" s="881"/>
      <c r="AG28" s="883"/>
      <c r="AH28" s="881"/>
      <c r="AI28" s="883"/>
      <c r="AJ28" s="881"/>
      <c r="AK28" s="883"/>
      <c r="AL28" s="881"/>
      <c r="AM28" s="883"/>
      <c r="AN28" s="881"/>
      <c r="AO28" s="883"/>
      <c r="AP28" s="881"/>
      <c r="AQ28" s="883"/>
      <c r="AR28" s="881"/>
      <c r="AS28" s="883"/>
      <c r="AT28" s="881"/>
      <c r="AU28" s="883"/>
      <c r="AV28" s="881"/>
      <c r="AW28" s="883"/>
      <c r="AX28" s="881"/>
      <c r="AY28" s="883"/>
      <c r="AZ28" s="881"/>
      <c r="BA28" s="883"/>
      <c r="BB28" s="881"/>
      <c r="BC28" s="883"/>
      <c r="BD28" s="881"/>
      <c r="BE28" s="883"/>
      <c r="BF28" s="884"/>
      <c r="BG28" s="870" t="n">
        <f aca="false">S28+U28+W28+Y28+AA28+AC28+AE28+AG28+AI28+AK28+AM28+AO28+AQ28+AS28+AU28+AW28+AY28+BA28+BC28+BE28</f>
        <v>0</v>
      </c>
      <c r="BH28" s="871" t="n">
        <f aca="false">IF(AND(BG28=0,BK28=0),0,(ABS(S28)*T28+ABS(U28)*V28+ABS(W28)*X28+ABS(Y28)*Z28+ABS(AA28)*AB28+ABS(AC28)*AD28+ABS(AE28)*AF28+ABS(AG28)*AH28+ABS(AI28)*AJ28+ABS(AK28)*AL28+ABS(AM28)*AN28+ABS(AO28)*AP28+ABS(AQ28)*AR28+ABS(AS28)*AT28+ABS(AU28)*AV28+ABS(AW28)*AX28+ABS(AY28)*AZ28+ABS(BA28)*BB28+ABS(BC28)*BD28+ABS(BE28)*BF28)/BK28)</f>
        <v>0</v>
      </c>
      <c r="BK28" s="872" t="n">
        <f aca="false">ABS(S28)+ABS(U28)+ABS(W28)+ABS(Y28)+ABS(AA28)+ABS(AC28)+ABS(AE28)+ABS(AG28)+ABS(AI28)+ABS(AI28)+ABS(AK28)+ABS(AM28)+ABS(AO28)+ABS(AQ28)+ABS(AS28)+ABS(AU28)+ABS(AW28)+ABS(AY28)+ABS(BA28)+ABS(BC28)+ABS(BE28)</f>
        <v>0</v>
      </c>
      <c r="BL28" s="885" t="n">
        <f aca="false">A28</f>
        <v>37681</v>
      </c>
      <c r="BM28" s="886" t="n">
        <f aca="false">B28*TradeSum!H29</f>
        <v>-0</v>
      </c>
      <c r="BO28" s="887" t="n">
        <f aca="false">VLOOKUP(A28,TradeSum!CB28:CE46,4)</f>
        <v>0.939946567398907</v>
      </c>
      <c r="DF28" s="459"/>
      <c r="DG28" s="459"/>
      <c r="DH28" s="459"/>
      <c r="DI28" s="459"/>
      <c r="DJ28" s="459"/>
      <c r="DK28" s="459"/>
      <c r="DL28" s="459"/>
      <c r="DM28" s="459"/>
    </row>
    <row r="29" customFormat="false" ht="18.75" hidden="false" customHeight="false" outlineLevel="0" collapsed="false">
      <c r="A29" s="141" t="n">
        <f aca="false">[1]Cinergy!D52</f>
        <v>37712</v>
      </c>
      <c r="B29" s="888" t="n">
        <f aca="false">IF(ISERROR(VLOOKUP(A29,NymexData!$O$4:$P$46,2,FALSE())),0,VLOOKUP(A29,NymexData!$O$4:$P$46,2,FALSE()))</f>
        <v>0</v>
      </c>
      <c r="C29" s="889" t="n">
        <f aca="false">B29/736</f>
        <v>0</v>
      </c>
      <c r="D29" s="889" t="n">
        <f aca="false">BG29</f>
        <v>0</v>
      </c>
      <c r="E29" s="890" t="n">
        <f aca="false">B29+(D29*736)</f>
        <v>0</v>
      </c>
      <c r="F29" s="891" t="n">
        <f aca="false">C29+D29</f>
        <v>0</v>
      </c>
      <c r="G29" s="892" t="n">
        <f aca="false">IF(ISERROR(VLOOKUP(A29,NymexData!$A$12:$B$54,2,FALSE())),0,VLOOKUP(A29,NymexData!$A$12:$B$54,2,FALSE()))</f>
        <v>0</v>
      </c>
      <c r="H29" s="893" t="n">
        <f aca="false">IF(DU$3=1,DR22,DS22)</f>
        <v>28.75</v>
      </c>
      <c r="I29" s="894" t="n">
        <f aca="false">G29+H29</f>
        <v>28.75</v>
      </c>
      <c r="J29" s="888" t="n">
        <f aca="false">H29*B29</f>
        <v>0</v>
      </c>
      <c r="K29" s="895" t="n">
        <f aca="false">BH53</f>
        <v>0</v>
      </c>
      <c r="L29" s="895" t="n">
        <f aca="false">J29+K29</f>
        <v>0</v>
      </c>
      <c r="N29" s="896" t="n">
        <f aca="false">TradeSum!I30-I29</f>
        <v>-0.152328934780385</v>
      </c>
      <c r="DF29" s="459"/>
      <c r="DG29" s="459"/>
      <c r="DH29" s="459"/>
      <c r="DI29" s="459"/>
      <c r="DJ29" s="459"/>
      <c r="DK29" s="459"/>
      <c r="DL29" s="459"/>
      <c r="DM29" s="459"/>
    </row>
    <row r="30" customFormat="false" ht="12.75" hidden="false" customHeight="false" outlineLevel="0" collapsed="false">
      <c r="DF30" s="459"/>
      <c r="DG30" s="459"/>
      <c r="DH30" s="459"/>
      <c r="DI30" s="459"/>
      <c r="DJ30" s="459"/>
      <c r="DK30" s="459"/>
      <c r="DL30" s="459"/>
      <c r="DM30" s="459"/>
    </row>
    <row r="31" customFormat="false" ht="12.75" hidden="false" customHeight="false" outlineLevel="0" collapsed="false">
      <c r="DF31" s="459"/>
      <c r="DG31" s="459"/>
      <c r="DH31" s="459"/>
      <c r="DI31" s="459"/>
      <c r="DJ31" s="459"/>
      <c r="DK31" s="459"/>
      <c r="DL31" s="459"/>
      <c r="DM31" s="459"/>
    </row>
    <row r="32" customFormat="false" ht="13.5" hidden="false" customHeight="false" outlineLevel="0" collapsed="false">
      <c r="DF32" s="459"/>
      <c r="DG32" s="459"/>
      <c r="DH32" s="459"/>
      <c r="DI32" s="459"/>
      <c r="DJ32" s="459"/>
      <c r="DK32" s="459"/>
      <c r="DL32" s="459"/>
      <c r="DM32" s="459"/>
    </row>
    <row r="33" customFormat="false" ht="12.75" hidden="false" customHeight="false" outlineLevel="0" collapsed="false">
      <c r="D33" s="897"/>
      <c r="E33" s="898"/>
      <c r="R33" s="68" t="s">
        <v>351</v>
      </c>
      <c r="S33" s="68" t="n">
        <v>1</v>
      </c>
      <c r="T33" s="68"/>
      <c r="U33" s="68" t="n">
        <v>2</v>
      </c>
      <c r="V33" s="68"/>
      <c r="W33" s="68" t="n">
        <v>3</v>
      </c>
      <c r="X33" s="68"/>
      <c r="Y33" s="68" t="n">
        <v>4</v>
      </c>
      <c r="Z33" s="68"/>
      <c r="AA33" s="68" t="n">
        <v>5</v>
      </c>
      <c r="AB33" s="68"/>
      <c r="AC33" s="68" t="n">
        <v>6</v>
      </c>
      <c r="AD33" s="68"/>
      <c r="AE33" s="68" t="n">
        <v>7</v>
      </c>
      <c r="AF33" s="68"/>
      <c r="AG33" s="68" t="n">
        <v>8</v>
      </c>
      <c r="AH33" s="68"/>
      <c r="AI33" s="68" t="n">
        <v>9</v>
      </c>
      <c r="AJ33" s="68"/>
      <c r="AK33" s="68" t="n">
        <v>10</v>
      </c>
      <c r="AL33" s="68"/>
      <c r="AM33" s="68" t="n">
        <v>11</v>
      </c>
      <c r="AN33" s="68"/>
      <c r="AO33" s="68" t="n">
        <v>12</v>
      </c>
      <c r="AP33" s="68"/>
      <c r="AQ33" s="68" t="n">
        <v>13</v>
      </c>
      <c r="AR33" s="68"/>
      <c r="AS33" s="68" t="n">
        <v>14</v>
      </c>
      <c r="AT33" s="68"/>
      <c r="AU33" s="68" t="n">
        <v>15</v>
      </c>
      <c r="AV33" s="68"/>
      <c r="AW33" s="68" t="n">
        <v>16</v>
      </c>
      <c r="AX33" s="68"/>
      <c r="AY33" s="68" t="n">
        <v>17</v>
      </c>
      <c r="AZ33" s="68"/>
      <c r="BA33" s="68" t="n">
        <v>18</v>
      </c>
      <c r="BB33" s="68"/>
      <c r="BC33" s="68" t="n">
        <v>19</v>
      </c>
      <c r="BD33" s="68"/>
      <c r="BE33" s="68" t="n">
        <v>20</v>
      </c>
      <c r="BF33" s="68"/>
      <c r="BG33" s="482"/>
      <c r="BH33" s="483"/>
      <c r="DF33" s="459"/>
      <c r="DG33" s="459"/>
      <c r="DH33" s="459"/>
      <c r="DI33" s="459"/>
      <c r="DJ33" s="459"/>
      <c r="DK33" s="459"/>
      <c r="DL33" s="459"/>
      <c r="DM33" s="459"/>
    </row>
    <row r="34" customFormat="false" ht="13.5" hidden="false" customHeight="false" outlineLevel="0" collapsed="false">
      <c r="R34" s="82" t="s">
        <v>79</v>
      </c>
      <c r="S34" s="493"/>
      <c r="T34" s="486" t="s">
        <v>380</v>
      </c>
      <c r="U34" s="493"/>
      <c r="V34" s="486" t="s">
        <v>380</v>
      </c>
      <c r="W34" s="493"/>
      <c r="X34" s="486" t="s">
        <v>380</v>
      </c>
      <c r="Y34" s="493"/>
      <c r="Z34" s="486" t="s">
        <v>380</v>
      </c>
      <c r="AA34" s="493"/>
      <c r="AB34" s="486" t="s">
        <v>380</v>
      </c>
      <c r="AC34" s="493"/>
      <c r="AD34" s="486" t="s">
        <v>380</v>
      </c>
      <c r="AE34" s="493"/>
      <c r="AF34" s="486" t="s">
        <v>380</v>
      </c>
      <c r="AG34" s="493"/>
      <c r="AH34" s="486" t="s">
        <v>380</v>
      </c>
      <c r="AI34" s="493"/>
      <c r="AJ34" s="486" t="s">
        <v>380</v>
      </c>
      <c r="AK34" s="493"/>
      <c r="AL34" s="486" t="s">
        <v>380</v>
      </c>
      <c r="AM34" s="493"/>
      <c r="AN34" s="486" t="s">
        <v>380</v>
      </c>
      <c r="AO34" s="493"/>
      <c r="AP34" s="486" t="s">
        <v>380</v>
      </c>
      <c r="AQ34" s="493"/>
      <c r="AR34" s="486" t="s">
        <v>380</v>
      </c>
      <c r="AS34" s="493"/>
      <c r="AT34" s="486" t="s">
        <v>380</v>
      </c>
      <c r="AU34" s="493"/>
      <c r="AV34" s="486" t="s">
        <v>380</v>
      </c>
      <c r="AW34" s="493"/>
      <c r="AX34" s="486" t="s">
        <v>380</v>
      </c>
      <c r="AY34" s="493"/>
      <c r="AZ34" s="486" t="s">
        <v>380</v>
      </c>
      <c r="BA34" s="493"/>
      <c r="BB34" s="486" t="s">
        <v>380</v>
      </c>
      <c r="BC34" s="493"/>
      <c r="BD34" s="486" t="s">
        <v>380</v>
      </c>
      <c r="BE34" s="493"/>
      <c r="BF34" s="486" t="s">
        <v>380</v>
      </c>
      <c r="BG34" s="494"/>
      <c r="BH34" s="495" t="s">
        <v>380</v>
      </c>
      <c r="DF34" s="459"/>
      <c r="DG34" s="459"/>
      <c r="DH34" s="459"/>
      <c r="DI34" s="459"/>
      <c r="DJ34" s="459"/>
      <c r="DK34" s="459"/>
      <c r="DL34" s="459"/>
      <c r="DM34" s="459"/>
    </row>
    <row r="35" customFormat="false" ht="12.75" hidden="false" customHeight="false" outlineLevel="0" collapsed="false">
      <c r="D35" s="897"/>
      <c r="E35" s="898"/>
      <c r="R35" s="512" t="e">
        <f aca="false">#REF!</f>
        <v>#REF!</v>
      </c>
      <c r="S35" s="899"/>
      <c r="T35" s="900" t="e">
        <f aca="false">(736*#REF!)*(#REF!-#REF!)</f>
        <v>#REF!</v>
      </c>
      <c r="U35" s="899"/>
      <c r="V35" s="900" t="e">
        <f aca="false">(736*#REF!)*(#REF!-#REF!)</f>
        <v>#REF!</v>
      </c>
      <c r="W35" s="899"/>
      <c r="X35" s="900" t="e">
        <f aca="false">(736*#REF!)*(#REF!-#REF!)</f>
        <v>#REF!</v>
      </c>
      <c r="Y35" s="899"/>
      <c r="Z35" s="900" t="e">
        <f aca="false">(736*#REF!)*(#REF!-#REF!)</f>
        <v>#REF!</v>
      </c>
      <c r="AA35" s="899"/>
      <c r="AB35" s="900" t="e">
        <f aca="false">(736*#REF!)*(#REF!-#REF!)</f>
        <v>#REF!</v>
      </c>
      <c r="AC35" s="899"/>
      <c r="AD35" s="900" t="e">
        <f aca="false">(736*#REF!)*(#REF!-#REF!)</f>
        <v>#REF!</v>
      </c>
      <c r="AE35" s="899"/>
      <c r="AF35" s="900" t="e">
        <f aca="false">(736*#REF!)*(#REF!-#REF!)</f>
        <v>#REF!</v>
      </c>
      <c r="AG35" s="899"/>
      <c r="AH35" s="900" t="e">
        <f aca="false">(736*#REF!)*(#REF!-#REF!)</f>
        <v>#REF!</v>
      </c>
      <c r="AI35" s="899"/>
      <c r="AJ35" s="900" t="e">
        <f aca="false">(736*#REF!)*(#REF!-#REF!)</f>
        <v>#REF!</v>
      </c>
      <c r="AK35" s="899"/>
      <c r="AL35" s="900" t="e">
        <f aca="false">(736*#REF!)*(#REF!-#REF!)</f>
        <v>#REF!</v>
      </c>
      <c r="AM35" s="899"/>
      <c r="AN35" s="900" t="e">
        <f aca="false">(736*#REF!)*(#REF!-#REF!)</f>
        <v>#REF!</v>
      </c>
      <c r="AO35" s="899"/>
      <c r="AP35" s="900" t="e">
        <f aca="false">(736*#REF!)*(#REF!-#REF!)</f>
        <v>#REF!</v>
      </c>
      <c r="AQ35" s="899"/>
      <c r="AR35" s="900" t="e">
        <f aca="false">(736*#REF!)*(#REF!-#REF!)</f>
        <v>#REF!</v>
      </c>
      <c r="AS35" s="899"/>
      <c r="AT35" s="900" t="e">
        <f aca="false">(736*#REF!)*(#REF!-#REF!)</f>
        <v>#REF!</v>
      </c>
      <c r="AU35" s="899"/>
      <c r="AV35" s="900" t="e">
        <f aca="false">(736*#REF!)*(#REF!-#REF!)</f>
        <v>#REF!</v>
      </c>
      <c r="AW35" s="899"/>
      <c r="AX35" s="900" t="e">
        <f aca="false">(736*#REF!)*(#REF!-#REF!)</f>
        <v>#REF!</v>
      </c>
      <c r="AY35" s="899"/>
      <c r="AZ35" s="900" t="e">
        <f aca="false">(736*#REF!)*(#REF!-#REF!)</f>
        <v>#REF!</v>
      </c>
      <c r="BA35" s="899"/>
      <c r="BB35" s="900" t="e">
        <f aca="false">(736*#REF!)*(#REF!-#REF!)</f>
        <v>#REF!</v>
      </c>
      <c r="BC35" s="899"/>
      <c r="BD35" s="900" t="e">
        <f aca="false">(736*#REF!)*(#REF!-#REF!)</f>
        <v>#REF!</v>
      </c>
      <c r="BE35" s="899"/>
      <c r="BF35" s="900" t="e">
        <f aca="false">(736*#REF!)*(#REF!-#REF!)</f>
        <v>#REF!</v>
      </c>
      <c r="BG35" s="901"/>
      <c r="BH35" s="902" t="e">
        <f aca="false">SUM(S35:BF35)</f>
        <v>#REF!</v>
      </c>
      <c r="DF35" s="459"/>
      <c r="DG35" s="459"/>
      <c r="DH35" s="459"/>
      <c r="DI35" s="459"/>
      <c r="DJ35" s="459"/>
      <c r="DK35" s="459"/>
      <c r="DL35" s="459"/>
      <c r="DM35" s="459"/>
    </row>
    <row r="36" customFormat="false" ht="12.75" hidden="false" customHeight="false" outlineLevel="0" collapsed="false">
      <c r="D36" s="897"/>
      <c r="E36" s="898"/>
      <c r="R36" s="512" t="n">
        <f aca="false">R12</f>
        <v>37196</v>
      </c>
      <c r="S36" s="899"/>
      <c r="T36" s="900" t="n">
        <f aca="false">(736*S12)*($I12-T12)</f>
        <v>0</v>
      </c>
      <c r="U36" s="899"/>
      <c r="V36" s="900" t="n">
        <f aca="false">(736*U12)*($I12-V12)</f>
        <v>0</v>
      </c>
      <c r="W36" s="899"/>
      <c r="X36" s="900" t="n">
        <f aca="false">(736*W12)*($I12-X12)</f>
        <v>0</v>
      </c>
      <c r="Y36" s="899"/>
      <c r="Z36" s="900" t="n">
        <f aca="false">(736*Y12)*($I12-Z12)</f>
        <v>0</v>
      </c>
      <c r="AA36" s="899"/>
      <c r="AB36" s="900" t="n">
        <f aca="false">(736*AA12)*($I12-AB12)</f>
        <v>0</v>
      </c>
      <c r="AC36" s="899"/>
      <c r="AD36" s="900" t="n">
        <f aca="false">(736*AC12)*($I12-AD12)</f>
        <v>0</v>
      </c>
      <c r="AE36" s="899"/>
      <c r="AF36" s="900" t="n">
        <f aca="false">(736*AE12)*($I12-AF12)</f>
        <v>0</v>
      </c>
      <c r="AG36" s="899"/>
      <c r="AH36" s="900" t="n">
        <f aca="false">(736*AG12)*($I12-AH12)</f>
        <v>0</v>
      </c>
      <c r="AI36" s="899"/>
      <c r="AJ36" s="900" t="n">
        <f aca="false">(736*AI12)*($I12-AJ12)</f>
        <v>0</v>
      </c>
      <c r="AK36" s="899"/>
      <c r="AL36" s="900" t="n">
        <f aca="false">(736*AK12)*($I12-AL12)</f>
        <v>0</v>
      </c>
      <c r="AM36" s="899"/>
      <c r="AN36" s="900" t="n">
        <f aca="false">(736*AM12)*($I12-AN12)</f>
        <v>0</v>
      </c>
      <c r="AO36" s="899"/>
      <c r="AP36" s="900" t="n">
        <f aca="false">(736*AO12)*($I12-AP12)</f>
        <v>0</v>
      </c>
      <c r="AQ36" s="899"/>
      <c r="AR36" s="900" t="n">
        <f aca="false">(736*AQ12)*($I12-AR12)</f>
        <v>0</v>
      </c>
      <c r="AS36" s="899"/>
      <c r="AT36" s="900" t="n">
        <f aca="false">(736*AS12)*($I12-AT12)</f>
        <v>0</v>
      </c>
      <c r="AU36" s="899"/>
      <c r="AV36" s="900" t="n">
        <f aca="false">(736*AU12)*($I12-AV12)</f>
        <v>0</v>
      </c>
      <c r="AW36" s="899"/>
      <c r="AX36" s="900" t="n">
        <f aca="false">(736*AW12)*($I12-AX12)</f>
        <v>0</v>
      </c>
      <c r="AY36" s="899"/>
      <c r="AZ36" s="900" t="n">
        <f aca="false">(736*AY12)*($I12-AZ12)</f>
        <v>0</v>
      </c>
      <c r="BA36" s="899"/>
      <c r="BB36" s="900" t="n">
        <f aca="false">(736*BA12)*($I12-BB12)</f>
        <v>0</v>
      </c>
      <c r="BC36" s="899"/>
      <c r="BD36" s="900" t="n">
        <f aca="false">(736*BC12)*($I12-BD12)</f>
        <v>0</v>
      </c>
      <c r="BE36" s="899"/>
      <c r="BF36" s="900" t="n">
        <f aca="false">(736*BE12)*($I12-BF12)</f>
        <v>0</v>
      </c>
      <c r="BG36" s="901"/>
      <c r="BH36" s="902" t="n">
        <f aca="false">SUM(S36:BF36)</f>
        <v>0</v>
      </c>
      <c r="DF36" s="459"/>
      <c r="DG36" s="459"/>
      <c r="DH36" s="459"/>
      <c r="DI36" s="459"/>
      <c r="DJ36" s="459"/>
      <c r="DK36" s="459"/>
      <c r="DL36" s="459"/>
      <c r="DM36" s="459"/>
    </row>
    <row r="37" customFormat="false" ht="12.75" hidden="false" customHeight="false" outlineLevel="0" collapsed="false">
      <c r="D37" s="897"/>
      <c r="E37" s="898"/>
      <c r="R37" s="512" t="n">
        <f aca="false">R13</f>
        <v>37226</v>
      </c>
      <c r="S37" s="899"/>
      <c r="T37" s="900" t="n">
        <f aca="false">(736*S13)*($I13-T13)</f>
        <v>0</v>
      </c>
      <c r="U37" s="899"/>
      <c r="V37" s="900" t="n">
        <f aca="false">(736*U13)*($I13-V13)</f>
        <v>0</v>
      </c>
      <c r="W37" s="899"/>
      <c r="X37" s="900" t="n">
        <f aca="false">(736*W13)*($I13-X13)</f>
        <v>0</v>
      </c>
      <c r="Y37" s="899"/>
      <c r="Z37" s="900" t="n">
        <f aca="false">(736*Y13)*($I13-Z13)</f>
        <v>0</v>
      </c>
      <c r="AA37" s="899"/>
      <c r="AB37" s="900" t="n">
        <f aca="false">(736*AA13)*($I13-AB13)</f>
        <v>0</v>
      </c>
      <c r="AC37" s="899"/>
      <c r="AD37" s="900" t="n">
        <f aca="false">(736*AC13)*($I13-AD13)</f>
        <v>0</v>
      </c>
      <c r="AE37" s="899"/>
      <c r="AF37" s="900" t="n">
        <f aca="false">(736*AE13)*($I13-AF13)</f>
        <v>0</v>
      </c>
      <c r="AG37" s="899"/>
      <c r="AH37" s="900" t="n">
        <f aca="false">(736*AG13)*($I13-AH13)</f>
        <v>0</v>
      </c>
      <c r="AI37" s="899"/>
      <c r="AJ37" s="900" t="n">
        <f aca="false">(736*AI13)*($I13-AJ13)</f>
        <v>0</v>
      </c>
      <c r="AK37" s="899"/>
      <c r="AL37" s="900" t="n">
        <f aca="false">(736*AK13)*($I13-AL13)</f>
        <v>0</v>
      </c>
      <c r="AM37" s="899"/>
      <c r="AN37" s="900" t="n">
        <f aca="false">(736*AM13)*($I13-AN13)</f>
        <v>0</v>
      </c>
      <c r="AO37" s="899"/>
      <c r="AP37" s="900" t="n">
        <f aca="false">(736*AO13)*($I13-AP13)</f>
        <v>0</v>
      </c>
      <c r="AQ37" s="899"/>
      <c r="AR37" s="900" t="n">
        <f aca="false">(736*AQ13)*($I13-AR13)</f>
        <v>0</v>
      </c>
      <c r="AS37" s="899"/>
      <c r="AT37" s="900" t="n">
        <f aca="false">(736*AS13)*($I13-AT13)</f>
        <v>0</v>
      </c>
      <c r="AU37" s="899"/>
      <c r="AV37" s="900" t="n">
        <f aca="false">(736*AU13)*($I13-AV13)</f>
        <v>0</v>
      </c>
      <c r="AW37" s="899"/>
      <c r="AX37" s="900" t="n">
        <f aca="false">(736*AW13)*($I13-AX13)</f>
        <v>0</v>
      </c>
      <c r="AY37" s="899"/>
      <c r="AZ37" s="900" t="n">
        <f aca="false">(736*AY13)*($I13-AZ13)</f>
        <v>0</v>
      </c>
      <c r="BA37" s="899"/>
      <c r="BB37" s="900" t="n">
        <f aca="false">(736*BA13)*($I13-BB13)</f>
        <v>0</v>
      </c>
      <c r="BC37" s="899"/>
      <c r="BD37" s="900" t="n">
        <f aca="false">(736*BC13)*($I13-BD13)</f>
        <v>0</v>
      </c>
      <c r="BE37" s="899"/>
      <c r="BF37" s="900" t="n">
        <f aca="false">(736*BE13)*($I13-BF13)</f>
        <v>0</v>
      </c>
      <c r="BG37" s="901"/>
      <c r="BH37" s="902" t="n">
        <f aca="false">SUM(S37:BF37)</f>
        <v>0</v>
      </c>
      <c r="DF37" s="459"/>
      <c r="DG37" s="459"/>
      <c r="DH37" s="459"/>
      <c r="DI37" s="459"/>
      <c r="DJ37" s="459"/>
      <c r="DK37" s="459"/>
      <c r="DL37" s="459"/>
      <c r="DM37" s="459"/>
    </row>
    <row r="38" customFormat="false" ht="12.75" hidden="false" customHeight="false" outlineLevel="0" collapsed="false">
      <c r="D38" s="897"/>
      <c r="E38" s="898"/>
      <c r="R38" s="512" t="n">
        <f aca="false">R14</f>
        <v>37257</v>
      </c>
      <c r="S38" s="899"/>
      <c r="T38" s="900" t="n">
        <f aca="false">(736*S14)*($I14-T14)</f>
        <v>0</v>
      </c>
      <c r="U38" s="899"/>
      <c r="V38" s="900" t="n">
        <f aca="false">(736*U14)*($I14-V14)</f>
        <v>0</v>
      </c>
      <c r="W38" s="899"/>
      <c r="X38" s="900" t="n">
        <f aca="false">(736*W14)*($I14-X14)</f>
        <v>0</v>
      </c>
      <c r="Y38" s="899"/>
      <c r="Z38" s="900" t="n">
        <f aca="false">(736*Y14)*($I14-Z14)</f>
        <v>0</v>
      </c>
      <c r="AA38" s="899"/>
      <c r="AB38" s="900" t="n">
        <f aca="false">(736*AA14)*($I14-AB14)</f>
        <v>0</v>
      </c>
      <c r="AC38" s="899"/>
      <c r="AD38" s="900" t="n">
        <f aca="false">(736*AC14)*($I14-AD14)</f>
        <v>0</v>
      </c>
      <c r="AE38" s="899"/>
      <c r="AF38" s="900" t="n">
        <f aca="false">(736*AE14)*($I14-AF14)</f>
        <v>0</v>
      </c>
      <c r="AG38" s="899"/>
      <c r="AH38" s="900" t="n">
        <f aca="false">(736*AG14)*($I14-AH14)</f>
        <v>0</v>
      </c>
      <c r="AI38" s="899"/>
      <c r="AJ38" s="900" t="n">
        <f aca="false">(736*AI14)*($I14-AJ14)</f>
        <v>0</v>
      </c>
      <c r="AK38" s="899"/>
      <c r="AL38" s="900" t="n">
        <f aca="false">(736*AK14)*($I14-AL14)</f>
        <v>0</v>
      </c>
      <c r="AM38" s="899"/>
      <c r="AN38" s="900" t="n">
        <f aca="false">(736*AM14)*($I14-AN14)</f>
        <v>0</v>
      </c>
      <c r="AO38" s="899"/>
      <c r="AP38" s="900" t="n">
        <f aca="false">(736*AO14)*($I14-AP14)</f>
        <v>0</v>
      </c>
      <c r="AQ38" s="899"/>
      <c r="AR38" s="900" t="n">
        <f aca="false">(736*AQ14)*($I14-AR14)</f>
        <v>0</v>
      </c>
      <c r="AS38" s="899"/>
      <c r="AT38" s="900" t="n">
        <f aca="false">(736*AS14)*($I14-AT14)</f>
        <v>0</v>
      </c>
      <c r="AU38" s="899"/>
      <c r="AV38" s="900" t="n">
        <f aca="false">(736*AU14)*($I14-AV14)</f>
        <v>0</v>
      </c>
      <c r="AW38" s="899"/>
      <c r="AX38" s="900" t="n">
        <f aca="false">(736*AW14)*($I14-AX14)</f>
        <v>0</v>
      </c>
      <c r="AY38" s="899"/>
      <c r="AZ38" s="900" t="n">
        <f aca="false">(736*AY14)*($I14-AZ14)</f>
        <v>0</v>
      </c>
      <c r="BA38" s="899"/>
      <c r="BB38" s="900" t="n">
        <f aca="false">(736*BA14)*($I14-BB14)</f>
        <v>0</v>
      </c>
      <c r="BC38" s="899"/>
      <c r="BD38" s="900" t="n">
        <f aca="false">(736*BC14)*($I14-BD14)</f>
        <v>0</v>
      </c>
      <c r="BE38" s="899"/>
      <c r="BF38" s="900" t="n">
        <f aca="false">(736*BE14)*($I14-BF14)</f>
        <v>0</v>
      </c>
      <c r="BG38" s="901"/>
      <c r="BH38" s="902" t="n">
        <f aca="false">SUM(S38:BF38)</f>
        <v>0</v>
      </c>
      <c r="DF38" s="459"/>
      <c r="DG38" s="459"/>
      <c r="DH38" s="459"/>
      <c r="DI38" s="459"/>
      <c r="DJ38" s="459"/>
      <c r="DK38" s="459"/>
      <c r="DL38" s="459"/>
      <c r="DM38" s="459"/>
    </row>
    <row r="39" customFormat="false" ht="12.75" hidden="false" customHeight="false" outlineLevel="0" collapsed="false">
      <c r="R39" s="512" t="n">
        <f aca="false">R15</f>
        <v>37288</v>
      </c>
      <c r="S39" s="899"/>
      <c r="T39" s="900" t="n">
        <f aca="false">(736*S15)*($I15-T15)</f>
        <v>0</v>
      </c>
      <c r="U39" s="899"/>
      <c r="V39" s="900" t="n">
        <f aca="false">(736*U15)*($I15-V15)</f>
        <v>0</v>
      </c>
      <c r="W39" s="899"/>
      <c r="X39" s="900" t="n">
        <f aca="false">(736*W15)*($I15-X15)</f>
        <v>0</v>
      </c>
      <c r="Y39" s="899"/>
      <c r="Z39" s="900" t="n">
        <f aca="false">(736*Y15)*($I15-Z15)</f>
        <v>0</v>
      </c>
      <c r="AA39" s="899"/>
      <c r="AB39" s="900" t="n">
        <f aca="false">(736*AA15)*($I15-AB15)</f>
        <v>0</v>
      </c>
      <c r="AC39" s="899"/>
      <c r="AD39" s="900" t="n">
        <f aca="false">(736*AC15)*($I15-AD15)</f>
        <v>0</v>
      </c>
      <c r="AE39" s="899"/>
      <c r="AF39" s="900" t="n">
        <f aca="false">(736*AE15)*($I15-AF15)</f>
        <v>0</v>
      </c>
      <c r="AG39" s="899"/>
      <c r="AH39" s="900" t="n">
        <f aca="false">(736*AG15)*($I15-AH15)</f>
        <v>0</v>
      </c>
      <c r="AI39" s="899"/>
      <c r="AJ39" s="900" t="n">
        <f aca="false">(736*AI15)*($I15-AJ15)</f>
        <v>0</v>
      </c>
      <c r="AK39" s="899"/>
      <c r="AL39" s="900" t="n">
        <f aca="false">(736*AK15)*($I15-AL15)</f>
        <v>0</v>
      </c>
      <c r="AM39" s="899"/>
      <c r="AN39" s="900" t="n">
        <f aca="false">(736*AM15)*($I15-AN15)</f>
        <v>0</v>
      </c>
      <c r="AO39" s="899"/>
      <c r="AP39" s="900" t="n">
        <f aca="false">(736*AO15)*($I15-AP15)</f>
        <v>0</v>
      </c>
      <c r="AQ39" s="899"/>
      <c r="AR39" s="900" t="n">
        <f aca="false">(736*AQ15)*($I15-AR15)</f>
        <v>0</v>
      </c>
      <c r="AS39" s="899"/>
      <c r="AT39" s="900" t="n">
        <f aca="false">(736*AS15)*($I15-AT15)</f>
        <v>0</v>
      </c>
      <c r="AU39" s="899"/>
      <c r="AV39" s="900" t="n">
        <f aca="false">(736*AU15)*($I15-AV15)</f>
        <v>0</v>
      </c>
      <c r="AW39" s="899"/>
      <c r="AX39" s="900" t="n">
        <f aca="false">(736*AW15)*($I15-AX15)</f>
        <v>0</v>
      </c>
      <c r="AY39" s="899"/>
      <c r="AZ39" s="900" t="n">
        <f aca="false">(736*AY15)*($I15-AZ15)</f>
        <v>0</v>
      </c>
      <c r="BA39" s="899"/>
      <c r="BB39" s="900" t="n">
        <f aca="false">(736*BA15)*($I15-BB15)</f>
        <v>0</v>
      </c>
      <c r="BC39" s="899"/>
      <c r="BD39" s="900" t="n">
        <f aca="false">(736*BC15)*($I15-BD15)</f>
        <v>0</v>
      </c>
      <c r="BE39" s="899"/>
      <c r="BF39" s="900" t="n">
        <f aca="false">(736*BE15)*($I15-BF15)</f>
        <v>0</v>
      </c>
      <c r="BG39" s="901"/>
      <c r="BH39" s="902" t="n">
        <f aca="false">SUM(S39:BF39)</f>
        <v>0</v>
      </c>
    </row>
    <row r="40" customFormat="false" ht="12.75" hidden="false" customHeight="false" outlineLevel="0" collapsed="false">
      <c r="D40" s="897"/>
      <c r="E40" s="898"/>
      <c r="R40" s="512" t="n">
        <f aca="false">R16</f>
        <v>37316</v>
      </c>
      <c r="S40" s="899"/>
      <c r="T40" s="900" t="n">
        <f aca="false">(736*S16)*($I16-T16)</f>
        <v>0</v>
      </c>
      <c r="U40" s="899"/>
      <c r="V40" s="900" t="n">
        <f aca="false">(736*U16)*($I16-V16)</f>
        <v>0</v>
      </c>
      <c r="W40" s="899"/>
      <c r="X40" s="900" t="n">
        <f aca="false">(736*W16)*($I16-X16)</f>
        <v>0</v>
      </c>
      <c r="Y40" s="899"/>
      <c r="Z40" s="900" t="n">
        <f aca="false">(736*Y16)*($I16-Z16)</f>
        <v>0</v>
      </c>
      <c r="AA40" s="899"/>
      <c r="AB40" s="900" t="n">
        <f aca="false">(736*AA16)*($I16-AB16)</f>
        <v>0</v>
      </c>
      <c r="AC40" s="899"/>
      <c r="AD40" s="900" t="n">
        <f aca="false">(736*AC16)*($I16-AD16)</f>
        <v>0</v>
      </c>
      <c r="AE40" s="899"/>
      <c r="AF40" s="900" t="n">
        <f aca="false">(736*AE16)*($I16-AF16)</f>
        <v>0</v>
      </c>
      <c r="AG40" s="899"/>
      <c r="AH40" s="900" t="n">
        <f aca="false">(736*AG16)*($I16-AH16)</f>
        <v>0</v>
      </c>
      <c r="AI40" s="899"/>
      <c r="AJ40" s="900" t="n">
        <f aca="false">(736*AI16)*($I16-AJ16)</f>
        <v>0</v>
      </c>
      <c r="AK40" s="899"/>
      <c r="AL40" s="900" t="n">
        <f aca="false">(736*AK16)*($I16-AL16)</f>
        <v>0</v>
      </c>
      <c r="AM40" s="899"/>
      <c r="AN40" s="900" t="n">
        <f aca="false">(736*AM16)*($I16-AN16)</f>
        <v>0</v>
      </c>
      <c r="AO40" s="899"/>
      <c r="AP40" s="900" t="n">
        <f aca="false">(736*AO16)*($I16-AP16)</f>
        <v>0</v>
      </c>
      <c r="AQ40" s="899"/>
      <c r="AR40" s="900" t="n">
        <f aca="false">(736*AQ16)*($I16-AR16)</f>
        <v>0</v>
      </c>
      <c r="AS40" s="899"/>
      <c r="AT40" s="900" t="n">
        <f aca="false">(736*AS16)*($I16-AT16)</f>
        <v>0</v>
      </c>
      <c r="AU40" s="899"/>
      <c r="AV40" s="900" t="n">
        <f aca="false">(736*AU16)*($I16-AV16)</f>
        <v>0</v>
      </c>
      <c r="AW40" s="899"/>
      <c r="AX40" s="900" t="n">
        <f aca="false">(736*AW16)*($I16-AX16)</f>
        <v>0</v>
      </c>
      <c r="AY40" s="899"/>
      <c r="AZ40" s="900" t="n">
        <f aca="false">(736*AY16)*($I16-AZ16)</f>
        <v>0</v>
      </c>
      <c r="BA40" s="899"/>
      <c r="BB40" s="900" t="n">
        <f aca="false">(736*BA16)*($I16-BB16)</f>
        <v>0</v>
      </c>
      <c r="BC40" s="899"/>
      <c r="BD40" s="900" t="n">
        <f aca="false">(736*BC16)*($I16-BD16)</f>
        <v>0</v>
      </c>
      <c r="BE40" s="899"/>
      <c r="BF40" s="900" t="n">
        <f aca="false">(736*BE16)*($I16-BF16)</f>
        <v>0</v>
      </c>
      <c r="BG40" s="901"/>
      <c r="BH40" s="902" t="n">
        <f aca="false">SUM(S40:BF40)</f>
        <v>0</v>
      </c>
    </row>
    <row r="41" customFormat="false" ht="12.75" hidden="false" customHeight="false" outlineLevel="0" collapsed="false">
      <c r="D41" s="897"/>
      <c r="E41" s="898"/>
      <c r="R41" s="512" t="n">
        <f aca="false">R17</f>
        <v>37347</v>
      </c>
      <c r="S41" s="899"/>
      <c r="T41" s="900" t="n">
        <f aca="false">(736*S17)*($I17-T17)</f>
        <v>0</v>
      </c>
      <c r="U41" s="899"/>
      <c r="V41" s="900" t="n">
        <f aca="false">(736*U17)*($I17-V17)</f>
        <v>0</v>
      </c>
      <c r="W41" s="899"/>
      <c r="X41" s="900" t="n">
        <f aca="false">(736*W17)*($I17-X17)</f>
        <v>0</v>
      </c>
      <c r="Y41" s="899"/>
      <c r="Z41" s="900" t="n">
        <f aca="false">(736*Y17)*($I17-Z17)</f>
        <v>0</v>
      </c>
      <c r="AA41" s="899"/>
      <c r="AB41" s="900" t="n">
        <f aca="false">(736*AA17)*($I17-AB17)</f>
        <v>0</v>
      </c>
      <c r="AC41" s="899"/>
      <c r="AD41" s="900" t="n">
        <f aca="false">(736*AC17)*($I17-AD17)</f>
        <v>0</v>
      </c>
      <c r="AE41" s="899"/>
      <c r="AF41" s="900" t="n">
        <f aca="false">(736*AE17)*($I17-AF17)</f>
        <v>0</v>
      </c>
      <c r="AG41" s="899"/>
      <c r="AH41" s="900" t="n">
        <f aca="false">(736*AG17)*($I17-AH17)</f>
        <v>0</v>
      </c>
      <c r="AI41" s="899"/>
      <c r="AJ41" s="900" t="n">
        <f aca="false">(736*AI17)*($I17-AJ17)</f>
        <v>0</v>
      </c>
      <c r="AK41" s="899"/>
      <c r="AL41" s="900" t="n">
        <f aca="false">(736*AK17)*($I17-AL17)</f>
        <v>0</v>
      </c>
      <c r="AM41" s="899"/>
      <c r="AN41" s="900" t="n">
        <f aca="false">(736*AM17)*($I17-AN17)</f>
        <v>0</v>
      </c>
      <c r="AO41" s="899"/>
      <c r="AP41" s="900" t="n">
        <f aca="false">(736*AO17)*($I17-AP17)</f>
        <v>0</v>
      </c>
      <c r="AQ41" s="899"/>
      <c r="AR41" s="900" t="n">
        <f aca="false">(736*AQ17)*($I17-AR17)</f>
        <v>0</v>
      </c>
      <c r="AS41" s="899"/>
      <c r="AT41" s="900" t="n">
        <f aca="false">(736*AS17)*($I17-AT17)</f>
        <v>0</v>
      </c>
      <c r="AU41" s="899"/>
      <c r="AV41" s="900" t="n">
        <f aca="false">(736*AU17)*($I17-AV17)</f>
        <v>0</v>
      </c>
      <c r="AW41" s="899"/>
      <c r="AX41" s="900" t="n">
        <f aca="false">(736*AW17)*($I17-AX17)</f>
        <v>0</v>
      </c>
      <c r="AY41" s="899"/>
      <c r="AZ41" s="900" t="n">
        <f aca="false">(736*AY17)*($I17-AZ17)</f>
        <v>0</v>
      </c>
      <c r="BA41" s="899"/>
      <c r="BB41" s="900" t="n">
        <f aca="false">(736*BA17)*($I17-BB17)</f>
        <v>0</v>
      </c>
      <c r="BC41" s="899"/>
      <c r="BD41" s="900" t="n">
        <f aca="false">(736*BC17)*($I17-BD17)</f>
        <v>0</v>
      </c>
      <c r="BE41" s="899"/>
      <c r="BF41" s="900" t="n">
        <f aca="false">(736*BE17)*($I17-BF17)</f>
        <v>0</v>
      </c>
      <c r="BG41" s="901"/>
      <c r="BH41" s="902" t="n">
        <f aca="false">SUM(S41:BF41)</f>
        <v>0</v>
      </c>
    </row>
    <row r="42" customFormat="false" ht="12.75" hidden="false" customHeight="false" outlineLevel="0" collapsed="false">
      <c r="R42" s="512" t="n">
        <f aca="false">R18</f>
        <v>37377</v>
      </c>
      <c r="S42" s="899"/>
      <c r="T42" s="900" t="n">
        <f aca="false">(736*S18)*($I18-T18)</f>
        <v>0</v>
      </c>
      <c r="U42" s="899"/>
      <c r="V42" s="900" t="n">
        <f aca="false">(736*U18)*($I18-V18)</f>
        <v>0</v>
      </c>
      <c r="W42" s="899"/>
      <c r="X42" s="900" t="n">
        <f aca="false">(736*W18)*($I18-X18)</f>
        <v>0</v>
      </c>
      <c r="Y42" s="899"/>
      <c r="Z42" s="900" t="n">
        <f aca="false">(736*Y18)*($I18-Z18)</f>
        <v>0</v>
      </c>
      <c r="AA42" s="899"/>
      <c r="AB42" s="900" t="n">
        <f aca="false">(736*AA18)*($I18-AB18)</f>
        <v>0</v>
      </c>
      <c r="AC42" s="899"/>
      <c r="AD42" s="900" t="n">
        <f aca="false">(736*AC18)*($I18-AD18)</f>
        <v>0</v>
      </c>
      <c r="AE42" s="899"/>
      <c r="AF42" s="900" t="n">
        <f aca="false">(736*AE18)*($I18-AF18)</f>
        <v>0</v>
      </c>
      <c r="AG42" s="899"/>
      <c r="AH42" s="900" t="n">
        <f aca="false">(736*AG18)*($I18-AH18)</f>
        <v>0</v>
      </c>
      <c r="AI42" s="899"/>
      <c r="AJ42" s="900" t="n">
        <f aca="false">(736*AI18)*($I18-AJ18)</f>
        <v>0</v>
      </c>
      <c r="AK42" s="899"/>
      <c r="AL42" s="900" t="n">
        <f aca="false">(736*AK18)*($I18-AL18)</f>
        <v>0</v>
      </c>
      <c r="AM42" s="899"/>
      <c r="AN42" s="900" t="n">
        <f aca="false">(736*AM18)*($I18-AN18)</f>
        <v>0</v>
      </c>
      <c r="AO42" s="899"/>
      <c r="AP42" s="900" t="n">
        <f aca="false">(736*AO18)*($I18-AP18)</f>
        <v>0</v>
      </c>
      <c r="AQ42" s="899"/>
      <c r="AR42" s="900" t="n">
        <f aca="false">(736*AQ18)*($I18-AR18)</f>
        <v>0</v>
      </c>
      <c r="AS42" s="899"/>
      <c r="AT42" s="900" t="n">
        <f aca="false">(736*AS18)*($I18-AT18)</f>
        <v>0</v>
      </c>
      <c r="AU42" s="899"/>
      <c r="AV42" s="900" t="n">
        <f aca="false">(736*AU18)*($I18-AV18)</f>
        <v>0</v>
      </c>
      <c r="AW42" s="899"/>
      <c r="AX42" s="900" t="n">
        <f aca="false">(736*AW18)*($I18-AX18)</f>
        <v>0</v>
      </c>
      <c r="AY42" s="899"/>
      <c r="AZ42" s="900" t="n">
        <f aca="false">(736*AY18)*($I18-AZ18)</f>
        <v>0</v>
      </c>
      <c r="BA42" s="899"/>
      <c r="BB42" s="900" t="n">
        <f aca="false">(736*BA18)*($I18-BB18)</f>
        <v>0</v>
      </c>
      <c r="BC42" s="899"/>
      <c r="BD42" s="900" t="n">
        <f aca="false">(736*BC18)*($I18-BD18)</f>
        <v>0</v>
      </c>
      <c r="BE42" s="899"/>
      <c r="BF42" s="900" t="n">
        <f aca="false">(736*BE18)*($I18-BF18)</f>
        <v>0</v>
      </c>
      <c r="BG42" s="901"/>
      <c r="BH42" s="902" t="n">
        <f aca="false">SUM(S42:BF42)</f>
        <v>0</v>
      </c>
    </row>
    <row r="43" customFormat="false" ht="12.75" hidden="false" customHeight="false" outlineLevel="0" collapsed="false">
      <c r="D43" s="897"/>
      <c r="E43" s="898"/>
      <c r="I43" s="897"/>
      <c r="J43" s="898"/>
      <c r="R43" s="512" t="n">
        <f aca="false">R19</f>
        <v>37408</v>
      </c>
      <c r="S43" s="899"/>
      <c r="T43" s="900" t="n">
        <f aca="false">(736*S19)*($I19-T19)</f>
        <v>0</v>
      </c>
      <c r="U43" s="899"/>
      <c r="V43" s="900" t="n">
        <f aca="false">(736*U19)*($I19-V19)</f>
        <v>0</v>
      </c>
      <c r="W43" s="899"/>
      <c r="X43" s="900" t="n">
        <f aca="false">(736*W19)*($I19-X19)</f>
        <v>0</v>
      </c>
      <c r="Y43" s="899"/>
      <c r="Z43" s="900" t="n">
        <f aca="false">(736*Y19)*($I19-Z19)</f>
        <v>0</v>
      </c>
      <c r="AA43" s="899"/>
      <c r="AB43" s="900" t="n">
        <f aca="false">(736*AA19)*($I19-AB19)</f>
        <v>0</v>
      </c>
      <c r="AC43" s="899"/>
      <c r="AD43" s="900" t="n">
        <f aca="false">(736*AC19)*($I19-AD19)</f>
        <v>0</v>
      </c>
      <c r="AE43" s="899"/>
      <c r="AF43" s="900" t="n">
        <f aca="false">(736*AE19)*($I19-AF19)</f>
        <v>0</v>
      </c>
      <c r="AG43" s="899"/>
      <c r="AH43" s="900" t="n">
        <f aca="false">(736*AG19)*($I19-AH19)</f>
        <v>0</v>
      </c>
      <c r="AI43" s="899"/>
      <c r="AJ43" s="900" t="n">
        <f aca="false">(736*AI19)*($I19-AJ19)</f>
        <v>0</v>
      </c>
      <c r="AK43" s="899"/>
      <c r="AL43" s="900" t="n">
        <f aca="false">(736*AK19)*($I19-AL19)</f>
        <v>0</v>
      </c>
      <c r="AM43" s="899"/>
      <c r="AN43" s="900" t="n">
        <f aca="false">(736*AM19)*($I19-AN19)</f>
        <v>0</v>
      </c>
      <c r="AO43" s="899"/>
      <c r="AP43" s="900" t="n">
        <f aca="false">(736*AO19)*($I19-AP19)</f>
        <v>0</v>
      </c>
      <c r="AQ43" s="899"/>
      <c r="AR43" s="900" t="n">
        <f aca="false">(736*AQ19)*($I19-AR19)</f>
        <v>0</v>
      </c>
      <c r="AS43" s="899"/>
      <c r="AT43" s="900" t="n">
        <f aca="false">(736*AS19)*($I19-AT19)</f>
        <v>0</v>
      </c>
      <c r="AU43" s="899"/>
      <c r="AV43" s="900" t="n">
        <f aca="false">(736*AU19)*($I19-AV19)</f>
        <v>0</v>
      </c>
      <c r="AW43" s="899"/>
      <c r="AX43" s="900" t="n">
        <f aca="false">(736*AW19)*($I19-AX19)</f>
        <v>0</v>
      </c>
      <c r="AY43" s="899"/>
      <c r="AZ43" s="900" t="n">
        <f aca="false">(736*AY19)*($I19-AZ19)</f>
        <v>0</v>
      </c>
      <c r="BA43" s="899"/>
      <c r="BB43" s="900" t="n">
        <f aca="false">(736*BA19)*($I19-BB19)</f>
        <v>0</v>
      </c>
      <c r="BC43" s="899"/>
      <c r="BD43" s="900" t="n">
        <f aca="false">(736*BC19)*($I19-BD19)</f>
        <v>0</v>
      </c>
      <c r="BE43" s="899"/>
      <c r="BF43" s="900" t="n">
        <f aca="false">(736*BE19)*($I19-BF19)</f>
        <v>0</v>
      </c>
      <c r="BG43" s="901"/>
      <c r="BH43" s="902" t="n">
        <f aca="false">SUM(S43:BF43)</f>
        <v>0</v>
      </c>
    </row>
    <row r="44" customFormat="false" ht="12.75" hidden="false" customHeight="false" outlineLevel="0" collapsed="false">
      <c r="D44" s="897"/>
      <c r="E44" s="898"/>
      <c r="I44" s="897"/>
      <c r="J44" s="898"/>
      <c r="R44" s="512" t="n">
        <f aca="false">R20</f>
        <v>37438</v>
      </c>
      <c r="S44" s="899"/>
      <c r="T44" s="900"/>
      <c r="U44" s="899"/>
      <c r="V44" s="900" t="n">
        <f aca="false">(736*U20)*($I20-V20)</f>
        <v>0</v>
      </c>
      <c r="W44" s="899"/>
      <c r="X44" s="900" t="n">
        <f aca="false">(736*W20)*($I20-X20)</f>
        <v>0</v>
      </c>
      <c r="Y44" s="899"/>
      <c r="Z44" s="900" t="n">
        <f aca="false">(736*Y20)*($I20-Z20)</f>
        <v>0</v>
      </c>
      <c r="AA44" s="899"/>
      <c r="AB44" s="900" t="n">
        <f aca="false">(736*AA20)*($I20-AB20)</f>
        <v>0</v>
      </c>
      <c r="AC44" s="899"/>
      <c r="AD44" s="900" t="n">
        <f aca="false">(736*AC20)*($I20-AD20)</f>
        <v>0</v>
      </c>
      <c r="AE44" s="899"/>
      <c r="AF44" s="900" t="n">
        <f aca="false">(736*AE20)*($I20-AF20)</f>
        <v>0</v>
      </c>
      <c r="AG44" s="899"/>
      <c r="AH44" s="900" t="n">
        <f aca="false">(736*AG20)*($I20-AH20)</f>
        <v>0</v>
      </c>
      <c r="AI44" s="899"/>
      <c r="AJ44" s="900" t="n">
        <f aca="false">(736*AI20)*($I20-AJ20)</f>
        <v>0</v>
      </c>
      <c r="AK44" s="899"/>
      <c r="AL44" s="900" t="n">
        <f aca="false">(736*AK20)*($I20-AL20)</f>
        <v>0</v>
      </c>
      <c r="AM44" s="899"/>
      <c r="AN44" s="900" t="n">
        <f aca="false">(736*AM20)*($I20-AN20)</f>
        <v>0</v>
      </c>
      <c r="AO44" s="899"/>
      <c r="AP44" s="900" t="n">
        <f aca="false">(736*AO20)*($I20-AP20)</f>
        <v>0</v>
      </c>
      <c r="AQ44" s="899"/>
      <c r="AR44" s="900" t="n">
        <f aca="false">(736*AQ20)*($I20-AR20)</f>
        <v>0</v>
      </c>
      <c r="AS44" s="899"/>
      <c r="AT44" s="900" t="n">
        <f aca="false">(736*AS20)*($I20-AT20)</f>
        <v>0</v>
      </c>
      <c r="AU44" s="899"/>
      <c r="AV44" s="900" t="n">
        <f aca="false">(736*AU20)*($I20-AV20)</f>
        <v>0</v>
      </c>
      <c r="AW44" s="899"/>
      <c r="AX44" s="900" t="n">
        <f aca="false">(736*AW20)*($I20-AX20)</f>
        <v>0</v>
      </c>
      <c r="AY44" s="899"/>
      <c r="AZ44" s="900" t="n">
        <f aca="false">(736*AY20)*($I20-AZ20)</f>
        <v>0</v>
      </c>
      <c r="BA44" s="899"/>
      <c r="BB44" s="900" t="n">
        <f aca="false">(736*BA20)*($I20-BB20)</f>
        <v>0</v>
      </c>
      <c r="BC44" s="899"/>
      <c r="BD44" s="900" t="n">
        <f aca="false">(736*BC20)*($I20-BD20)</f>
        <v>0</v>
      </c>
      <c r="BE44" s="899"/>
      <c r="BF44" s="900" t="n">
        <f aca="false">(736*BE20)*($I20-BF20)</f>
        <v>0</v>
      </c>
      <c r="BG44" s="901"/>
      <c r="BH44" s="902" t="n">
        <f aca="false">SUM(S44:BF44)</f>
        <v>0</v>
      </c>
    </row>
    <row r="45" customFormat="false" ht="12.75" hidden="false" customHeight="false" outlineLevel="0" collapsed="false">
      <c r="D45" s="897"/>
      <c r="E45" s="898"/>
      <c r="I45" s="897"/>
      <c r="J45" s="898"/>
      <c r="R45" s="512" t="n">
        <f aca="false">R21</f>
        <v>37469</v>
      </c>
      <c r="S45" s="899"/>
      <c r="T45" s="900" t="n">
        <f aca="false">(736*S21)*($I21-T21)</f>
        <v>0</v>
      </c>
      <c r="U45" s="899"/>
      <c r="V45" s="900" t="n">
        <f aca="false">(736*U21)*($I21-V21)</f>
        <v>0</v>
      </c>
      <c r="W45" s="899"/>
      <c r="X45" s="900" t="n">
        <f aca="false">(736*W21)*($I21-X21)</f>
        <v>0</v>
      </c>
      <c r="Y45" s="899"/>
      <c r="Z45" s="900" t="n">
        <f aca="false">(736*Y21)*($I21-Z21)</f>
        <v>0</v>
      </c>
      <c r="AA45" s="899"/>
      <c r="AB45" s="900" t="n">
        <f aca="false">(736*AA21)*($I21-AB21)</f>
        <v>0</v>
      </c>
      <c r="AC45" s="899"/>
      <c r="AD45" s="900" t="n">
        <f aca="false">(736*AC21)*($I21-AD21)</f>
        <v>0</v>
      </c>
      <c r="AE45" s="899"/>
      <c r="AF45" s="900" t="n">
        <f aca="false">(736*AE21)*($I21-AF21)</f>
        <v>0</v>
      </c>
      <c r="AG45" s="899"/>
      <c r="AH45" s="900" t="n">
        <f aca="false">(736*AG21)*($I21-AH21)</f>
        <v>0</v>
      </c>
      <c r="AI45" s="899"/>
      <c r="AJ45" s="900" t="n">
        <f aca="false">(736*AI21)*($I21-AJ21)</f>
        <v>0</v>
      </c>
      <c r="AK45" s="899"/>
      <c r="AL45" s="900" t="n">
        <f aca="false">(736*AK21)*($I21-AL21)</f>
        <v>0</v>
      </c>
      <c r="AM45" s="899"/>
      <c r="AN45" s="900" t="n">
        <f aca="false">(736*AM21)*($I21-AN21)</f>
        <v>0</v>
      </c>
      <c r="AO45" s="899"/>
      <c r="AP45" s="900" t="n">
        <f aca="false">(736*AO21)*($I21-AP21)</f>
        <v>0</v>
      </c>
      <c r="AQ45" s="899"/>
      <c r="AR45" s="900" t="n">
        <f aca="false">(736*AQ21)*($I21-AR21)</f>
        <v>0</v>
      </c>
      <c r="AS45" s="899"/>
      <c r="AT45" s="900" t="n">
        <f aca="false">(736*AS21)*($I21-AT21)</f>
        <v>0</v>
      </c>
      <c r="AU45" s="899"/>
      <c r="AV45" s="900" t="n">
        <f aca="false">(736*AU21)*($I21-AV21)</f>
        <v>0</v>
      </c>
      <c r="AW45" s="899"/>
      <c r="AX45" s="900" t="n">
        <f aca="false">(736*AW21)*($I21-AX21)</f>
        <v>0</v>
      </c>
      <c r="AY45" s="899"/>
      <c r="AZ45" s="900" t="n">
        <f aca="false">(736*AY21)*($I21-AZ21)</f>
        <v>0</v>
      </c>
      <c r="BA45" s="899"/>
      <c r="BB45" s="900" t="n">
        <f aca="false">(736*BA21)*($I21-BB21)</f>
        <v>0</v>
      </c>
      <c r="BC45" s="899"/>
      <c r="BD45" s="900" t="n">
        <f aca="false">(736*BC21)*($I21-BD21)</f>
        <v>0</v>
      </c>
      <c r="BE45" s="899"/>
      <c r="BF45" s="900" t="n">
        <f aca="false">(736*BE21)*($I21-BF21)</f>
        <v>0</v>
      </c>
      <c r="BG45" s="901"/>
      <c r="BH45" s="902" t="n">
        <f aca="false">SUM(S45:BF45)</f>
        <v>0</v>
      </c>
    </row>
    <row r="46" customFormat="false" ht="12.75" hidden="false" customHeight="false" outlineLevel="0" collapsed="false">
      <c r="I46" s="897"/>
      <c r="J46" s="898"/>
      <c r="R46" s="512" t="n">
        <f aca="false">R22</f>
        <v>37500</v>
      </c>
      <c r="S46" s="899"/>
      <c r="T46" s="900" t="n">
        <f aca="false">(736*S22)*($I22-T22)</f>
        <v>0</v>
      </c>
      <c r="U46" s="899"/>
      <c r="V46" s="900" t="n">
        <f aca="false">(736*U22)*($I22-V22)</f>
        <v>0</v>
      </c>
      <c r="W46" s="899"/>
      <c r="X46" s="900" t="n">
        <f aca="false">(736*W22)*($I22-X22)</f>
        <v>0</v>
      </c>
      <c r="Y46" s="899"/>
      <c r="Z46" s="900" t="n">
        <f aca="false">(736*Y22)*($I22-Z22)</f>
        <v>0</v>
      </c>
      <c r="AA46" s="899"/>
      <c r="AB46" s="900" t="n">
        <f aca="false">(736*AA22)*($I22-AB22)</f>
        <v>0</v>
      </c>
      <c r="AC46" s="899"/>
      <c r="AD46" s="900" t="n">
        <f aca="false">(736*AC22)*($I22-AD22)</f>
        <v>0</v>
      </c>
      <c r="AE46" s="899"/>
      <c r="AF46" s="900" t="n">
        <f aca="false">(736*AE22)*($I22-AF22)</f>
        <v>0</v>
      </c>
      <c r="AG46" s="899"/>
      <c r="AH46" s="900" t="n">
        <f aca="false">(736*AG22)*($I22-AH22)</f>
        <v>0</v>
      </c>
      <c r="AI46" s="899"/>
      <c r="AJ46" s="900" t="n">
        <f aca="false">(736*AI22)*($I22-AJ22)</f>
        <v>0</v>
      </c>
      <c r="AK46" s="899"/>
      <c r="AL46" s="900" t="n">
        <f aca="false">(736*AK22)*($I22-AL22)</f>
        <v>0</v>
      </c>
      <c r="AM46" s="899"/>
      <c r="AN46" s="900" t="n">
        <f aca="false">(736*AM22)*($I22-AN22)</f>
        <v>0</v>
      </c>
      <c r="AO46" s="899"/>
      <c r="AP46" s="900" t="n">
        <f aca="false">(736*AO22)*($I22-AP22)</f>
        <v>0</v>
      </c>
      <c r="AQ46" s="899"/>
      <c r="AR46" s="900" t="n">
        <f aca="false">(736*AQ22)*($I22-AR22)</f>
        <v>0</v>
      </c>
      <c r="AS46" s="899"/>
      <c r="AT46" s="900" t="n">
        <f aca="false">(736*AS22)*($I22-AT22)</f>
        <v>0</v>
      </c>
      <c r="AU46" s="899"/>
      <c r="AV46" s="900" t="n">
        <f aca="false">(736*AU22)*($I22-AV22)</f>
        <v>0</v>
      </c>
      <c r="AW46" s="899"/>
      <c r="AX46" s="900" t="n">
        <f aca="false">(736*AW22)*($I22-AX22)</f>
        <v>0</v>
      </c>
      <c r="AY46" s="899"/>
      <c r="AZ46" s="900" t="n">
        <f aca="false">(736*AY22)*($I22-AZ22)</f>
        <v>0</v>
      </c>
      <c r="BA46" s="899"/>
      <c r="BB46" s="900" t="n">
        <f aca="false">(736*BA22)*($I22-BB22)</f>
        <v>0</v>
      </c>
      <c r="BC46" s="899"/>
      <c r="BD46" s="900" t="n">
        <f aca="false">(736*BC22)*($I22-BD22)</f>
        <v>0</v>
      </c>
      <c r="BE46" s="899"/>
      <c r="BF46" s="900" t="n">
        <f aca="false">(736*BE22)*($I22-BF22)</f>
        <v>0</v>
      </c>
      <c r="BG46" s="901"/>
      <c r="BH46" s="902" t="n">
        <f aca="false">SUM(S46:BF46)</f>
        <v>0</v>
      </c>
    </row>
    <row r="47" customFormat="false" ht="12.75" hidden="false" customHeight="false" outlineLevel="0" collapsed="false">
      <c r="I47" s="897"/>
      <c r="J47" s="898"/>
      <c r="R47" s="512" t="n">
        <f aca="false">R23</f>
        <v>37530</v>
      </c>
      <c r="S47" s="899"/>
      <c r="T47" s="900" t="n">
        <f aca="false">(736*S23)*($I23-T23)</f>
        <v>0</v>
      </c>
      <c r="U47" s="899"/>
      <c r="V47" s="900" t="n">
        <f aca="false">(736*U23)*($I23-V23)</f>
        <v>0</v>
      </c>
      <c r="W47" s="899"/>
      <c r="X47" s="900" t="n">
        <f aca="false">(736*W23)*($I23-X23)</f>
        <v>0</v>
      </c>
      <c r="Y47" s="899"/>
      <c r="Z47" s="900" t="n">
        <f aca="false">(736*Y23)*($I23-Z23)</f>
        <v>0</v>
      </c>
      <c r="AA47" s="899"/>
      <c r="AB47" s="900" t="n">
        <f aca="false">(736*AA23)*($I23-AB23)</f>
        <v>0</v>
      </c>
      <c r="AC47" s="899"/>
      <c r="AD47" s="900" t="n">
        <f aca="false">(736*AC23)*($I23-AD23)</f>
        <v>0</v>
      </c>
      <c r="AE47" s="899"/>
      <c r="AF47" s="900" t="n">
        <f aca="false">(736*AE23)*($I23-AF23)</f>
        <v>0</v>
      </c>
      <c r="AG47" s="899"/>
      <c r="AH47" s="900" t="n">
        <f aca="false">(736*AG23)*($I23-AH23)</f>
        <v>0</v>
      </c>
      <c r="AI47" s="899"/>
      <c r="AJ47" s="900" t="n">
        <f aca="false">(736*AI23)*($I23-AJ23)</f>
        <v>0</v>
      </c>
      <c r="AK47" s="899"/>
      <c r="AL47" s="900" t="n">
        <f aca="false">(736*AK23)*($I23-AL23)</f>
        <v>0</v>
      </c>
      <c r="AM47" s="899"/>
      <c r="AN47" s="900" t="n">
        <f aca="false">(736*AM23)*($I23-AN23)</f>
        <v>0</v>
      </c>
      <c r="AO47" s="899"/>
      <c r="AP47" s="900" t="n">
        <f aca="false">(736*AO23)*($I23-AP23)</f>
        <v>0</v>
      </c>
      <c r="AQ47" s="899"/>
      <c r="AR47" s="900" t="n">
        <f aca="false">(736*AQ23)*($I23-AR23)</f>
        <v>0</v>
      </c>
      <c r="AS47" s="899"/>
      <c r="AT47" s="900" t="n">
        <f aca="false">(736*AS23)*($I23-AT23)</f>
        <v>0</v>
      </c>
      <c r="AU47" s="899"/>
      <c r="AV47" s="900" t="n">
        <f aca="false">(736*AU23)*($I23-AV23)</f>
        <v>0</v>
      </c>
      <c r="AW47" s="899"/>
      <c r="AX47" s="900" t="n">
        <f aca="false">(736*AW23)*($I23-AX23)</f>
        <v>0</v>
      </c>
      <c r="AY47" s="899"/>
      <c r="AZ47" s="900" t="n">
        <f aca="false">(736*AY23)*($I23-AZ23)</f>
        <v>0</v>
      </c>
      <c r="BA47" s="899"/>
      <c r="BB47" s="900" t="n">
        <f aca="false">(736*BA23)*($I23-BB23)</f>
        <v>0</v>
      </c>
      <c r="BC47" s="899"/>
      <c r="BD47" s="900" t="n">
        <f aca="false">(736*BC23)*($I23-BD23)</f>
        <v>0</v>
      </c>
      <c r="BE47" s="899"/>
      <c r="BF47" s="900" t="n">
        <f aca="false">(736*BE23)*($I23-BF23)</f>
        <v>0</v>
      </c>
      <c r="BG47" s="901"/>
      <c r="BH47" s="902" t="n">
        <f aca="false">SUM(S47:BF47)</f>
        <v>0</v>
      </c>
    </row>
    <row r="48" customFormat="false" ht="12.75" hidden="false" customHeight="false" outlineLevel="0" collapsed="false">
      <c r="I48" s="897"/>
      <c r="J48" s="898"/>
      <c r="R48" s="512" t="n">
        <f aca="false">R24</f>
        <v>37561</v>
      </c>
      <c r="S48" s="899"/>
      <c r="T48" s="900" t="n">
        <f aca="false">(736*S24)*($I24-T24)</f>
        <v>0</v>
      </c>
      <c r="U48" s="899"/>
      <c r="V48" s="900" t="n">
        <f aca="false">(736*U24)*($I24-V24)</f>
        <v>0</v>
      </c>
      <c r="W48" s="899"/>
      <c r="X48" s="900" t="n">
        <f aca="false">(736*W24)*($I24-X24)</f>
        <v>0</v>
      </c>
      <c r="Y48" s="899"/>
      <c r="Z48" s="900" t="n">
        <f aca="false">(736*Y24)*($I24-Z24)</f>
        <v>0</v>
      </c>
      <c r="AA48" s="899"/>
      <c r="AB48" s="900" t="n">
        <f aca="false">(736*AA24)*($I24-AB24)</f>
        <v>0</v>
      </c>
      <c r="AC48" s="899"/>
      <c r="AD48" s="900" t="n">
        <f aca="false">(736*AC24)*($I24-AD24)</f>
        <v>0</v>
      </c>
      <c r="AE48" s="899"/>
      <c r="AF48" s="900" t="n">
        <f aca="false">(736*AE24)*($I24-AF24)</f>
        <v>0</v>
      </c>
      <c r="AG48" s="899"/>
      <c r="AH48" s="900" t="n">
        <f aca="false">(736*AG24)*($I24-AH24)</f>
        <v>0</v>
      </c>
      <c r="AI48" s="899"/>
      <c r="AJ48" s="900" t="n">
        <f aca="false">(736*AI24)*($I24-AJ24)</f>
        <v>0</v>
      </c>
      <c r="AK48" s="899"/>
      <c r="AL48" s="900" t="n">
        <f aca="false">(736*AK24)*($I24-AL24)</f>
        <v>0</v>
      </c>
      <c r="AM48" s="899"/>
      <c r="AN48" s="900" t="n">
        <f aca="false">(736*AM24)*($I24-AN24)</f>
        <v>0</v>
      </c>
      <c r="AO48" s="899"/>
      <c r="AP48" s="900" t="n">
        <f aca="false">(736*AO24)*($I24-AP24)</f>
        <v>0</v>
      </c>
      <c r="AQ48" s="899"/>
      <c r="AR48" s="900" t="n">
        <f aca="false">(736*AQ24)*($I24-AR24)</f>
        <v>0</v>
      </c>
      <c r="AS48" s="899"/>
      <c r="AT48" s="900" t="n">
        <f aca="false">(736*AS24)*($I24-AT24)</f>
        <v>0</v>
      </c>
      <c r="AU48" s="899"/>
      <c r="AV48" s="900" t="n">
        <f aca="false">(736*AU24)*($I24-AV24)</f>
        <v>0</v>
      </c>
      <c r="AW48" s="899"/>
      <c r="AX48" s="900" t="n">
        <f aca="false">(736*AW24)*($I24-AX24)</f>
        <v>0</v>
      </c>
      <c r="AY48" s="899"/>
      <c r="AZ48" s="900" t="n">
        <f aca="false">(736*AY24)*($I24-AZ24)</f>
        <v>0</v>
      </c>
      <c r="BA48" s="899"/>
      <c r="BB48" s="900" t="n">
        <f aca="false">(736*BA24)*($I24-BB24)</f>
        <v>0</v>
      </c>
      <c r="BC48" s="899"/>
      <c r="BD48" s="900" t="n">
        <f aca="false">(736*BC24)*($I24-BD24)</f>
        <v>0</v>
      </c>
      <c r="BE48" s="899"/>
      <c r="BF48" s="900" t="n">
        <f aca="false">(736*BE24)*($I24-BF24)</f>
        <v>0</v>
      </c>
      <c r="BG48" s="901"/>
      <c r="BH48" s="902" t="n">
        <f aca="false">SUM(S48:BF48)</f>
        <v>0</v>
      </c>
    </row>
    <row r="49" customFormat="false" ht="12.75" hidden="false" customHeight="false" outlineLevel="0" collapsed="false">
      <c r="I49" s="897"/>
      <c r="J49" s="898"/>
      <c r="R49" s="512" t="n">
        <f aca="false">R25</f>
        <v>37591</v>
      </c>
      <c r="S49" s="899"/>
      <c r="T49" s="900"/>
      <c r="U49" s="899"/>
      <c r="V49" s="900" t="n">
        <f aca="false">(736*U25)*($I25-V25)</f>
        <v>0</v>
      </c>
      <c r="W49" s="899"/>
      <c r="X49" s="900" t="n">
        <f aca="false">(736*W25)*($I25-X25)</f>
        <v>0</v>
      </c>
      <c r="Y49" s="899"/>
      <c r="Z49" s="900" t="n">
        <f aca="false">(736*Y25)*($I25-Z25)</f>
        <v>0</v>
      </c>
      <c r="AA49" s="899"/>
      <c r="AB49" s="900" t="n">
        <f aca="false">(736*AA25)*($I25-AB25)</f>
        <v>0</v>
      </c>
      <c r="AC49" s="899"/>
      <c r="AD49" s="900" t="n">
        <f aca="false">(736*AC25)*($I25-AD25)</f>
        <v>0</v>
      </c>
      <c r="AE49" s="899"/>
      <c r="AF49" s="900" t="n">
        <f aca="false">(736*AE25)*($I25-AF25)</f>
        <v>0</v>
      </c>
      <c r="AG49" s="899"/>
      <c r="AH49" s="900" t="n">
        <f aca="false">(736*AG25)*($I25-AH25)</f>
        <v>0</v>
      </c>
      <c r="AI49" s="899"/>
      <c r="AJ49" s="900" t="n">
        <f aca="false">(736*AI25)*($I25-AJ25)</f>
        <v>0</v>
      </c>
      <c r="AK49" s="899"/>
      <c r="AL49" s="900" t="n">
        <f aca="false">(736*AK25)*($I25-AL25)</f>
        <v>0</v>
      </c>
      <c r="AM49" s="899"/>
      <c r="AN49" s="900" t="n">
        <f aca="false">(736*AM25)*($I25-AN25)</f>
        <v>0</v>
      </c>
      <c r="AO49" s="899"/>
      <c r="AP49" s="900" t="n">
        <f aca="false">(736*AO25)*($I25-AP25)</f>
        <v>0</v>
      </c>
      <c r="AQ49" s="899"/>
      <c r="AR49" s="900" t="n">
        <f aca="false">(736*AQ25)*($I25-AR25)</f>
        <v>0</v>
      </c>
      <c r="AS49" s="899"/>
      <c r="AT49" s="900" t="n">
        <f aca="false">(736*AS25)*($I25-AT25)</f>
        <v>0</v>
      </c>
      <c r="AU49" s="899"/>
      <c r="AV49" s="900" t="n">
        <f aca="false">(736*AU25)*($I25-AV25)</f>
        <v>0</v>
      </c>
      <c r="AW49" s="899"/>
      <c r="AX49" s="900" t="n">
        <f aca="false">(736*AW25)*($I25-AX25)</f>
        <v>0</v>
      </c>
      <c r="AY49" s="899"/>
      <c r="AZ49" s="900" t="n">
        <f aca="false">(736*AY25)*($I25-AZ25)</f>
        <v>0</v>
      </c>
      <c r="BA49" s="899"/>
      <c r="BB49" s="900" t="n">
        <f aca="false">(736*BA25)*($I25-BB25)</f>
        <v>0</v>
      </c>
      <c r="BC49" s="899"/>
      <c r="BD49" s="900" t="n">
        <f aca="false">(736*BC25)*($I25-BD25)</f>
        <v>0</v>
      </c>
      <c r="BE49" s="899"/>
      <c r="BF49" s="900" t="n">
        <f aca="false">(736*BE25)*($I25-BF25)</f>
        <v>0</v>
      </c>
      <c r="BG49" s="901"/>
      <c r="BH49" s="902" t="n">
        <f aca="false">SUM(S49:BF49)</f>
        <v>0</v>
      </c>
    </row>
    <row r="50" customFormat="false" ht="12.75" hidden="false" customHeight="false" outlineLevel="0" collapsed="false">
      <c r="I50" s="897"/>
      <c r="J50" s="898"/>
      <c r="R50" s="512" t="n">
        <f aca="false">R26</f>
        <v>37622</v>
      </c>
      <c r="S50" s="899"/>
      <c r="T50" s="900" t="n">
        <f aca="false">(736*S26)*($I26-T26)</f>
        <v>0</v>
      </c>
      <c r="U50" s="899"/>
      <c r="V50" s="900" t="n">
        <f aca="false">(736*U26)*($I26-V26)</f>
        <v>0</v>
      </c>
      <c r="W50" s="899"/>
      <c r="X50" s="900" t="n">
        <f aca="false">(736*W26)*($I26-X26)</f>
        <v>0</v>
      </c>
      <c r="Y50" s="899"/>
      <c r="Z50" s="900" t="n">
        <f aca="false">(736*Y26)*($I26-Z26)</f>
        <v>0</v>
      </c>
      <c r="AA50" s="899"/>
      <c r="AB50" s="900" t="n">
        <f aca="false">(736*AA26)*($I26-AB26)</f>
        <v>0</v>
      </c>
      <c r="AC50" s="899"/>
      <c r="AD50" s="900" t="n">
        <f aca="false">(736*AC26)*($I26-AD26)</f>
        <v>0</v>
      </c>
      <c r="AE50" s="899"/>
      <c r="AF50" s="900" t="n">
        <f aca="false">(736*AE26)*($I26-AF26)</f>
        <v>0</v>
      </c>
      <c r="AG50" s="899"/>
      <c r="AH50" s="900" t="n">
        <f aca="false">(736*AG26)*($I26-AH26)</f>
        <v>0</v>
      </c>
      <c r="AI50" s="899"/>
      <c r="AJ50" s="900" t="n">
        <f aca="false">(736*AI26)*($I26-AJ26)</f>
        <v>0</v>
      </c>
      <c r="AK50" s="899"/>
      <c r="AL50" s="900" t="n">
        <f aca="false">(736*AK26)*($I26-AL26)</f>
        <v>0</v>
      </c>
      <c r="AM50" s="899"/>
      <c r="AN50" s="900" t="n">
        <f aca="false">(736*AM26)*($I26-AN26)</f>
        <v>0</v>
      </c>
      <c r="AO50" s="899"/>
      <c r="AP50" s="900" t="n">
        <f aca="false">(736*AO26)*($I26-AP26)</f>
        <v>0</v>
      </c>
      <c r="AQ50" s="899"/>
      <c r="AR50" s="900" t="n">
        <f aca="false">(736*AQ26)*($I26-AR26)</f>
        <v>0</v>
      </c>
      <c r="AS50" s="899"/>
      <c r="AT50" s="900" t="n">
        <f aca="false">(736*AS26)*($I26-AT26)</f>
        <v>0</v>
      </c>
      <c r="AU50" s="899"/>
      <c r="AV50" s="900" t="n">
        <f aca="false">(736*AU26)*($I26-AV26)</f>
        <v>0</v>
      </c>
      <c r="AW50" s="899"/>
      <c r="AX50" s="900" t="n">
        <f aca="false">(736*AW26)*($I26-AX26)</f>
        <v>0</v>
      </c>
      <c r="AY50" s="899"/>
      <c r="AZ50" s="900" t="n">
        <f aca="false">(736*AY26)*($I26-AZ26)</f>
        <v>0</v>
      </c>
      <c r="BA50" s="899"/>
      <c r="BB50" s="900" t="n">
        <f aca="false">(736*BA26)*($I26-BB26)</f>
        <v>0</v>
      </c>
      <c r="BC50" s="899"/>
      <c r="BD50" s="900" t="n">
        <f aca="false">(736*BC26)*($I26-BD26)</f>
        <v>0</v>
      </c>
      <c r="BE50" s="899"/>
      <c r="BF50" s="900" t="n">
        <f aca="false">(736*BE26)*($I26-BF26)</f>
        <v>0</v>
      </c>
      <c r="BG50" s="901"/>
      <c r="BH50" s="902" t="n">
        <f aca="false">SUM(S50:BF50)</f>
        <v>0</v>
      </c>
    </row>
    <row r="51" customFormat="false" ht="12.75" hidden="false" customHeight="false" outlineLevel="0" collapsed="false">
      <c r="R51" s="512" t="n">
        <f aca="false">R27</f>
        <v>37653</v>
      </c>
      <c r="S51" s="899"/>
      <c r="T51" s="900" t="n">
        <f aca="false">(736*S27)*($I27-T27)</f>
        <v>0</v>
      </c>
      <c r="U51" s="899"/>
      <c r="V51" s="900" t="n">
        <f aca="false">(736*U27)*($I27-V27)</f>
        <v>0</v>
      </c>
      <c r="W51" s="899"/>
      <c r="X51" s="900" t="n">
        <f aca="false">(736*W27)*($I27-X27)</f>
        <v>0</v>
      </c>
      <c r="Y51" s="899"/>
      <c r="Z51" s="900" t="n">
        <f aca="false">(736*Y27)*($I27-Z27)</f>
        <v>0</v>
      </c>
      <c r="AA51" s="899"/>
      <c r="AB51" s="900" t="n">
        <f aca="false">(736*AA27)*($I27-AB27)</f>
        <v>0</v>
      </c>
      <c r="AC51" s="899"/>
      <c r="AD51" s="900" t="n">
        <f aca="false">(736*AC27)*($I27-AD27)</f>
        <v>0</v>
      </c>
      <c r="AE51" s="899"/>
      <c r="AF51" s="900" t="n">
        <f aca="false">(736*AE27)*($I27-AF27)</f>
        <v>0</v>
      </c>
      <c r="AG51" s="899"/>
      <c r="AH51" s="900" t="n">
        <f aca="false">(736*AG27)*($I27-AH27)</f>
        <v>0</v>
      </c>
      <c r="AI51" s="899"/>
      <c r="AJ51" s="900" t="n">
        <f aca="false">(736*AI27)*($I27-AJ27)</f>
        <v>0</v>
      </c>
      <c r="AK51" s="899"/>
      <c r="AL51" s="900" t="n">
        <f aca="false">(736*AK27)*($I27-AL27)</f>
        <v>0</v>
      </c>
      <c r="AM51" s="899"/>
      <c r="AN51" s="900" t="n">
        <f aca="false">(736*AM27)*($I27-AN27)</f>
        <v>0</v>
      </c>
      <c r="AO51" s="899"/>
      <c r="AP51" s="900" t="n">
        <f aca="false">(736*AO27)*($I27-AP27)</f>
        <v>0</v>
      </c>
      <c r="AQ51" s="899"/>
      <c r="AR51" s="900" t="n">
        <f aca="false">(736*AQ27)*($I27-AR27)</f>
        <v>0</v>
      </c>
      <c r="AS51" s="899"/>
      <c r="AT51" s="900" t="n">
        <f aca="false">(736*AS27)*($I27-AT27)</f>
        <v>0</v>
      </c>
      <c r="AU51" s="899"/>
      <c r="AV51" s="900" t="n">
        <f aca="false">(736*AU27)*($I27-AV27)</f>
        <v>0</v>
      </c>
      <c r="AW51" s="899"/>
      <c r="AX51" s="900" t="n">
        <f aca="false">(736*AW27)*($I27-AX27)</f>
        <v>0</v>
      </c>
      <c r="AY51" s="899"/>
      <c r="AZ51" s="900" t="n">
        <f aca="false">(736*AY27)*($I27-AZ27)</f>
        <v>0</v>
      </c>
      <c r="BA51" s="899"/>
      <c r="BB51" s="900" t="n">
        <f aca="false">(736*BA27)*($I27-BB27)</f>
        <v>0</v>
      </c>
      <c r="BC51" s="899"/>
      <c r="BD51" s="900" t="n">
        <f aca="false">(736*BC27)*($I27-BD27)</f>
        <v>0</v>
      </c>
      <c r="BE51" s="899"/>
      <c r="BF51" s="900" t="n">
        <f aca="false">(736*BE27)*($I27-BF27)</f>
        <v>0</v>
      </c>
      <c r="BG51" s="901"/>
      <c r="BH51" s="902" t="n">
        <f aca="false">SUM(S51:BF51)</f>
        <v>0</v>
      </c>
    </row>
    <row r="52" customFormat="false" ht="12.75" hidden="false" customHeight="false" outlineLevel="0" collapsed="false">
      <c r="R52" s="512" t="n">
        <f aca="false">R28</f>
        <v>37681</v>
      </c>
      <c r="S52" s="899"/>
      <c r="T52" s="900" t="n">
        <f aca="false">(736*S28)*($I28-T28)</f>
        <v>0</v>
      </c>
      <c r="U52" s="899"/>
      <c r="V52" s="900" t="n">
        <f aca="false">(736*U28)*($I28-V28)</f>
        <v>0</v>
      </c>
      <c r="W52" s="899"/>
      <c r="X52" s="900" t="n">
        <f aca="false">(736*W28)*($I28-X28)</f>
        <v>0</v>
      </c>
      <c r="Y52" s="899"/>
      <c r="Z52" s="900" t="n">
        <f aca="false">(736*Y28)*($I28-Z28)</f>
        <v>0</v>
      </c>
      <c r="AA52" s="899"/>
      <c r="AB52" s="900" t="n">
        <f aca="false">(736*AA28)*($I28-AB28)</f>
        <v>0</v>
      </c>
      <c r="AC52" s="899"/>
      <c r="AD52" s="900" t="n">
        <f aca="false">(736*AC28)*($I28-AD28)</f>
        <v>0</v>
      </c>
      <c r="AE52" s="899"/>
      <c r="AF52" s="900" t="n">
        <f aca="false">(736*AE28)*($I28-AF28)</f>
        <v>0</v>
      </c>
      <c r="AG52" s="899"/>
      <c r="AH52" s="900" t="n">
        <f aca="false">(736*AG28)*($I28-AH28)</f>
        <v>0</v>
      </c>
      <c r="AI52" s="899"/>
      <c r="AJ52" s="900" t="n">
        <f aca="false">(736*AI28)*($I28-AJ28)</f>
        <v>0</v>
      </c>
      <c r="AK52" s="899"/>
      <c r="AL52" s="900" t="n">
        <f aca="false">(736*AK28)*($I28-AL28)</f>
        <v>0</v>
      </c>
      <c r="AM52" s="899"/>
      <c r="AN52" s="900" t="n">
        <f aca="false">(736*AM28)*($I28-AN28)</f>
        <v>0</v>
      </c>
      <c r="AO52" s="899"/>
      <c r="AP52" s="900" t="n">
        <f aca="false">(736*AO28)*($I28-AP28)</f>
        <v>0</v>
      </c>
      <c r="AQ52" s="899"/>
      <c r="AR52" s="900" t="n">
        <f aca="false">(736*AQ28)*($I28-AR28)</f>
        <v>0</v>
      </c>
      <c r="AS52" s="899"/>
      <c r="AT52" s="900" t="n">
        <f aca="false">(736*AS28)*($I28-AT28)</f>
        <v>0</v>
      </c>
      <c r="AU52" s="899"/>
      <c r="AV52" s="900" t="n">
        <f aca="false">(736*AU28)*($I28-AV28)</f>
        <v>0</v>
      </c>
      <c r="AW52" s="899"/>
      <c r="AX52" s="900" t="n">
        <f aca="false">(736*AW28)*($I28-AX28)</f>
        <v>0</v>
      </c>
      <c r="AY52" s="899"/>
      <c r="AZ52" s="900" t="n">
        <f aca="false">(736*AY28)*($I28-AZ28)</f>
        <v>0</v>
      </c>
      <c r="BA52" s="899"/>
      <c r="BB52" s="900" t="n">
        <f aca="false">(736*BA28)*($I28-BB28)</f>
        <v>0</v>
      </c>
      <c r="BC52" s="899"/>
      <c r="BD52" s="900" t="n">
        <f aca="false">(736*BC28)*($I28-BD28)</f>
        <v>0</v>
      </c>
      <c r="BE52" s="899"/>
      <c r="BF52" s="900" t="n">
        <f aca="false">(736*BE28)*($I28-BF28)</f>
        <v>0</v>
      </c>
      <c r="BG52" s="901"/>
      <c r="BH52" s="902" t="n">
        <f aca="false">SUM(S52:BF52)</f>
        <v>0</v>
      </c>
    </row>
    <row r="62" customFormat="false" ht="13.5" hidden="false" customHeight="false" outlineLevel="0" collapsed="false"/>
    <row r="63" customFormat="false" ht="12.75" hidden="false" customHeight="false" outlineLevel="0" collapsed="false">
      <c r="R63" s="68" t="s">
        <v>351</v>
      </c>
      <c r="S63" s="68" t="n">
        <v>1</v>
      </c>
      <c r="T63" s="68"/>
      <c r="U63" s="68" t="n">
        <v>2</v>
      </c>
      <c r="V63" s="68"/>
      <c r="W63" s="68" t="n">
        <v>3</v>
      </c>
      <c r="X63" s="68"/>
      <c r="Y63" s="68" t="n">
        <v>4</v>
      </c>
      <c r="Z63" s="68"/>
      <c r="AA63" s="68" t="n">
        <v>5</v>
      </c>
      <c r="AB63" s="68"/>
      <c r="AC63" s="68" t="n">
        <v>6</v>
      </c>
      <c r="AD63" s="68"/>
      <c r="AE63" s="68" t="n">
        <v>7</v>
      </c>
      <c r="AF63" s="68"/>
      <c r="AG63" s="68" t="n">
        <v>8</v>
      </c>
      <c r="AH63" s="68"/>
      <c r="AI63" s="68" t="n">
        <v>9</v>
      </c>
      <c r="AJ63" s="68"/>
      <c r="AK63" s="68" t="n">
        <v>10</v>
      </c>
      <c r="AL63" s="68"/>
      <c r="AM63" s="68" t="n">
        <v>11</v>
      </c>
      <c r="AN63" s="68"/>
      <c r="AO63" s="68" t="n">
        <v>12</v>
      </c>
      <c r="AP63" s="68"/>
      <c r="AQ63" s="68" t="n">
        <v>13</v>
      </c>
      <c r="AR63" s="68"/>
      <c r="AS63" s="68" t="n">
        <v>14</v>
      </c>
      <c r="AT63" s="68"/>
      <c r="AU63" s="68" t="n">
        <v>15</v>
      </c>
      <c r="AV63" s="68"/>
      <c r="AW63" s="68" t="n">
        <v>16</v>
      </c>
      <c r="AX63" s="68"/>
      <c r="AY63" s="68" t="n">
        <v>17</v>
      </c>
      <c r="AZ63" s="68"/>
      <c r="BA63" s="68" t="n">
        <v>18</v>
      </c>
      <c r="BB63" s="68"/>
      <c r="BC63" s="68" t="n">
        <v>19</v>
      </c>
      <c r="BD63" s="68"/>
      <c r="BE63" s="68" t="n">
        <v>20</v>
      </c>
      <c r="BF63" s="68"/>
      <c r="BG63" s="482"/>
      <c r="BH63" s="483"/>
    </row>
    <row r="64" customFormat="false" ht="13.5" hidden="false" customHeight="false" outlineLevel="0" collapsed="false">
      <c r="R64" s="82" t="s">
        <v>79</v>
      </c>
      <c r="S64" s="493"/>
      <c r="T64" s="486" t="s">
        <v>380</v>
      </c>
      <c r="U64" s="493"/>
      <c r="V64" s="486" t="s">
        <v>380</v>
      </c>
      <c r="W64" s="493"/>
      <c r="X64" s="486" t="s">
        <v>380</v>
      </c>
      <c r="Y64" s="493"/>
      <c r="Z64" s="486" t="s">
        <v>380</v>
      </c>
      <c r="AA64" s="493"/>
      <c r="AB64" s="486" t="s">
        <v>380</v>
      </c>
      <c r="AC64" s="493"/>
      <c r="AD64" s="486" t="s">
        <v>380</v>
      </c>
      <c r="AE64" s="493"/>
      <c r="AF64" s="486" t="s">
        <v>380</v>
      </c>
      <c r="AG64" s="493"/>
      <c r="AH64" s="486" t="s">
        <v>380</v>
      </c>
      <c r="AI64" s="493"/>
      <c r="AJ64" s="486" t="s">
        <v>380</v>
      </c>
      <c r="AK64" s="493"/>
      <c r="AL64" s="486" t="s">
        <v>380</v>
      </c>
      <c r="AM64" s="493"/>
      <c r="AN64" s="486" t="s">
        <v>380</v>
      </c>
      <c r="AO64" s="493"/>
      <c r="AP64" s="486" t="s">
        <v>380</v>
      </c>
      <c r="AQ64" s="493"/>
      <c r="AR64" s="486" t="s">
        <v>380</v>
      </c>
      <c r="AS64" s="493"/>
      <c r="AT64" s="486" t="s">
        <v>380</v>
      </c>
      <c r="AU64" s="493"/>
      <c r="AV64" s="486" t="s">
        <v>380</v>
      </c>
      <c r="AW64" s="493"/>
      <c r="AX64" s="486" t="s">
        <v>380</v>
      </c>
      <c r="AY64" s="493"/>
      <c r="AZ64" s="486" t="s">
        <v>380</v>
      </c>
      <c r="BA64" s="493"/>
      <c r="BB64" s="486" t="s">
        <v>380</v>
      </c>
      <c r="BC64" s="493"/>
      <c r="BD64" s="486" t="s">
        <v>380</v>
      </c>
      <c r="BE64" s="493"/>
      <c r="BF64" s="486" t="s">
        <v>380</v>
      </c>
      <c r="BG64" s="494"/>
      <c r="BH64" s="495" t="s">
        <v>380</v>
      </c>
    </row>
    <row r="65" customFormat="false" ht="12.75" hidden="false" customHeight="false" outlineLevel="0" collapsed="false">
      <c r="R65" s="512" t="n">
        <f aca="false">R41</f>
        <v>37347</v>
      </c>
      <c r="S65" s="899"/>
      <c r="T65" s="900" t="e">
        <f aca="false">(736*#REF!)*(TradeSum!$I12-#REF!)</f>
        <v>#REF!</v>
      </c>
      <c r="U65" s="899"/>
      <c r="V65" s="900" t="e">
        <f aca="false">(736*#REF!)*(TradeSum!$I12-#REF!)</f>
        <v>#REF!</v>
      </c>
      <c r="W65" s="899"/>
      <c r="X65" s="900" t="e">
        <f aca="false">(736*#REF!)*(TradeSum!$I12-#REF!)</f>
        <v>#REF!</v>
      </c>
      <c r="Y65" s="899"/>
      <c r="Z65" s="900" t="e">
        <f aca="false">(736*#REF!)*(TradeSum!$I12-#REF!)</f>
        <v>#REF!</v>
      </c>
      <c r="AA65" s="899"/>
      <c r="AB65" s="900" t="e">
        <f aca="false">(736*#REF!)*(TradeSum!$I12-#REF!)</f>
        <v>#REF!</v>
      </c>
      <c r="AC65" s="899"/>
      <c r="AD65" s="900" t="e">
        <f aca="false">(736*#REF!)*(TradeSum!$I12-#REF!)</f>
        <v>#REF!</v>
      </c>
      <c r="AE65" s="899"/>
      <c r="AF65" s="900" t="e">
        <f aca="false">(736*#REF!)*(TradeSum!$I12-#REF!)</f>
        <v>#REF!</v>
      </c>
      <c r="AG65" s="899"/>
      <c r="AH65" s="900" t="e">
        <f aca="false">(736*#REF!)*(TradeSum!$I12-#REF!)</f>
        <v>#REF!</v>
      </c>
      <c r="AI65" s="899"/>
      <c r="AJ65" s="900" t="e">
        <f aca="false">(736*#REF!)*(TradeSum!$I12-#REF!)</f>
        <v>#REF!</v>
      </c>
      <c r="AK65" s="899"/>
      <c r="AL65" s="900" t="e">
        <f aca="false">(736*#REF!)*(TradeSum!$I12-#REF!)</f>
        <v>#REF!</v>
      </c>
      <c r="AM65" s="899"/>
      <c r="AN65" s="900" t="e">
        <f aca="false">(736*#REF!)*(TradeSum!$I12-#REF!)</f>
        <v>#REF!</v>
      </c>
      <c r="AO65" s="899"/>
      <c r="AP65" s="900" t="e">
        <f aca="false">(736*#REF!)*(TradeSum!$I12-#REF!)</f>
        <v>#REF!</v>
      </c>
      <c r="AQ65" s="899"/>
      <c r="AR65" s="900" t="e">
        <f aca="false">(736*#REF!)*(TradeSum!$I12-#REF!)</f>
        <v>#REF!</v>
      </c>
      <c r="AS65" s="899"/>
      <c r="AT65" s="900" t="e">
        <f aca="false">(736*#REF!)*(TradeSum!$I12-#REF!)</f>
        <v>#REF!</v>
      </c>
      <c r="AU65" s="899"/>
      <c r="AV65" s="900" t="e">
        <f aca="false">(736*#REF!)*(TradeSum!$I12-#REF!)</f>
        <v>#REF!</v>
      </c>
      <c r="AW65" s="899"/>
      <c r="AX65" s="900" t="e">
        <f aca="false">(736*#REF!)*(TradeSum!$I12-#REF!)</f>
        <v>#REF!</v>
      </c>
      <c r="AY65" s="899"/>
      <c r="AZ65" s="900" t="e">
        <f aca="false">(736*#REF!)*(TradeSum!$I12-#REF!)</f>
        <v>#REF!</v>
      </c>
      <c r="BA65" s="899"/>
      <c r="BB65" s="900" t="e">
        <f aca="false">(736*#REF!)*(TradeSum!$I12-#REF!)</f>
        <v>#REF!</v>
      </c>
      <c r="BC65" s="899"/>
      <c r="BD65" s="900" t="e">
        <f aca="false">(736*#REF!)*(TradeSum!$I12-#REF!)</f>
        <v>#REF!</v>
      </c>
      <c r="BE65" s="899"/>
      <c r="BF65" s="900" t="e">
        <f aca="false">(736*#REF!)*(TradeSum!$I12-#REF!)</f>
        <v>#REF!</v>
      </c>
      <c r="BG65" s="901"/>
      <c r="BH65" s="902" t="e">
        <f aca="false">SUM(S65:BF65)</f>
        <v>#REF!</v>
      </c>
    </row>
    <row r="66" customFormat="false" ht="12.75" hidden="false" customHeight="false" outlineLevel="0" collapsed="false">
      <c r="R66" s="512" t="n">
        <f aca="false">R42</f>
        <v>37377</v>
      </c>
      <c r="S66" s="899"/>
      <c r="T66" s="900" t="n">
        <f aca="false">(736*S12)*(TradeSum!$I13-T12)</f>
        <v>0</v>
      </c>
      <c r="U66" s="899"/>
      <c r="V66" s="900" t="n">
        <f aca="false">(736*U12)*(TradeSum!$I13-V12)</f>
        <v>0</v>
      </c>
      <c r="W66" s="899"/>
      <c r="X66" s="900" t="n">
        <f aca="false">(736*W12)*(TradeSum!$I13-X12)</f>
        <v>0</v>
      </c>
      <c r="Y66" s="899"/>
      <c r="Z66" s="900" t="n">
        <f aca="false">(736*Y12)*(TradeSum!$I13-Z12)</f>
        <v>0</v>
      </c>
      <c r="AA66" s="899"/>
      <c r="AB66" s="900" t="n">
        <f aca="false">(736*AA12)*(TradeSum!$I13-AB12)</f>
        <v>0</v>
      </c>
      <c r="AC66" s="899"/>
      <c r="AD66" s="900" t="n">
        <f aca="false">(736*AC12)*(TradeSum!$I13-AD12)</f>
        <v>0</v>
      </c>
      <c r="AE66" s="899"/>
      <c r="AF66" s="900" t="n">
        <f aca="false">(736*AE12)*(TradeSum!$I13-AF12)</f>
        <v>0</v>
      </c>
      <c r="AG66" s="899"/>
      <c r="AH66" s="900" t="n">
        <f aca="false">(736*AG12)*(TradeSum!$I13-AH12)</f>
        <v>0</v>
      </c>
      <c r="AI66" s="899"/>
      <c r="AJ66" s="900" t="n">
        <f aca="false">(736*AI12)*(TradeSum!$I13-AJ12)</f>
        <v>0</v>
      </c>
      <c r="AK66" s="899"/>
      <c r="AL66" s="900" t="n">
        <f aca="false">(736*AK12)*(TradeSum!$I13-AL12)</f>
        <v>0</v>
      </c>
      <c r="AM66" s="899"/>
      <c r="AN66" s="900" t="n">
        <f aca="false">(736*AM12)*(TradeSum!$I13-AN12)</f>
        <v>0</v>
      </c>
      <c r="AO66" s="899"/>
      <c r="AP66" s="900" t="n">
        <f aca="false">(736*AO12)*(TradeSum!$I13-AP12)</f>
        <v>0</v>
      </c>
      <c r="AQ66" s="899"/>
      <c r="AR66" s="900" t="n">
        <f aca="false">(736*AQ12)*(TradeSum!$I13-AR12)</f>
        <v>0</v>
      </c>
      <c r="AS66" s="899"/>
      <c r="AT66" s="900" t="n">
        <f aca="false">(736*AS12)*(TradeSum!$I13-AT12)</f>
        <v>0</v>
      </c>
      <c r="AU66" s="899"/>
      <c r="AV66" s="900" t="n">
        <f aca="false">(736*AU12)*(TradeSum!$I13-AV12)</f>
        <v>0</v>
      </c>
      <c r="AW66" s="899"/>
      <c r="AX66" s="900" t="n">
        <f aca="false">(736*AW12)*(TradeSum!$I13-AX12)</f>
        <v>0</v>
      </c>
      <c r="AY66" s="899"/>
      <c r="AZ66" s="900" t="n">
        <f aca="false">(736*AY12)*(TradeSum!$I13-AZ12)</f>
        <v>0</v>
      </c>
      <c r="BA66" s="899"/>
      <c r="BB66" s="900" t="n">
        <f aca="false">(736*BA12)*(TradeSum!$I13-BB12)</f>
        <v>0</v>
      </c>
      <c r="BC66" s="899"/>
      <c r="BD66" s="900" t="n">
        <f aca="false">(736*BC12)*(TradeSum!$I13-BD12)</f>
        <v>0</v>
      </c>
      <c r="BE66" s="899"/>
      <c r="BF66" s="900" t="n">
        <f aca="false">(736*BE12)*(TradeSum!$I13-BF12)</f>
        <v>0</v>
      </c>
      <c r="BG66" s="901"/>
      <c r="BH66" s="902" t="n">
        <f aca="false">SUM(S66:BF66)</f>
        <v>0</v>
      </c>
    </row>
    <row r="67" customFormat="false" ht="12.75" hidden="false" customHeight="false" outlineLevel="0" collapsed="false">
      <c r="R67" s="512" t="n">
        <f aca="false">R43</f>
        <v>37408</v>
      </c>
      <c r="S67" s="899"/>
      <c r="T67" s="900" t="n">
        <f aca="false">(736*S13)*(TradeSum!$I14-T13)</f>
        <v>0</v>
      </c>
      <c r="U67" s="899"/>
      <c r="V67" s="900" t="n">
        <f aca="false">(736*U13)*(TradeSum!$I14-V13)</f>
        <v>0</v>
      </c>
      <c r="W67" s="899"/>
      <c r="X67" s="900" t="n">
        <f aca="false">(736*W13)*(TradeSum!$I14-X13)</f>
        <v>0</v>
      </c>
      <c r="Y67" s="899"/>
      <c r="Z67" s="900" t="n">
        <f aca="false">(736*Y13)*(TradeSum!$I14-Z13)</f>
        <v>0</v>
      </c>
      <c r="AA67" s="899"/>
      <c r="AB67" s="900" t="n">
        <f aca="false">(736*AA13)*(TradeSum!$I14-AB13)</f>
        <v>0</v>
      </c>
      <c r="AC67" s="899"/>
      <c r="AD67" s="900" t="n">
        <f aca="false">(736*AC13)*(TradeSum!$I14-AD13)</f>
        <v>0</v>
      </c>
      <c r="AE67" s="899"/>
      <c r="AF67" s="900" t="n">
        <f aca="false">(736*AE13)*(TradeSum!$I14-AF13)</f>
        <v>0</v>
      </c>
      <c r="AG67" s="899"/>
      <c r="AH67" s="900" t="n">
        <f aca="false">(736*AG13)*(TradeSum!$I14-AH13)</f>
        <v>0</v>
      </c>
      <c r="AI67" s="899"/>
      <c r="AJ67" s="900" t="n">
        <f aca="false">(736*AI13)*(TradeSum!$I14-AJ13)</f>
        <v>0</v>
      </c>
      <c r="AK67" s="899"/>
      <c r="AL67" s="900" t="n">
        <f aca="false">(736*AK13)*(TradeSum!$I14-AL13)</f>
        <v>0</v>
      </c>
      <c r="AM67" s="899"/>
      <c r="AN67" s="900" t="n">
        <f aca="false">(736*AM13)*(TradeSum!$I14-AN13)</f>
        <v>0</v>
      </c>
      <c r="AO67" s="899"/>
      <c r="AP67" s="900" t="n">
        <f aca="false">(736*AO13)*(TradeSum!$I14-AP13)</f>
        <v>0</v>
      </c>
      <c r="AQ67" s="899"/>
      <c r="AR67" s="900" t="n">
        <f aca="false">(736*AQ13)*(TradeSum!$I14-AR13)</f>
        <v>0</v>
      </c>
      <c r="AS67" s="899"/>
      <c r="AT67" s="900" t="n">
        <f aca="false">(736*AS13)*(TradeSum!$I14-AT13)</f>
        <v>0</v>
      </c>
      <c r="AU67" s="899"/>
      <c r="AV67" s="900" t="n">
        <f aca="false">(736*AU13)*(TradeSum!$I14-AV13)</f>
        <v>0</v>
      </c>
      <c r="AW67" s="899"/>
      <c r="AX67" s="900" t="n">
        <f aca="false">(736*AW13)*(TradeSum!$I14-AX13)</f>
        <v>0</v>
      </c>
      <c r="AY67" s="899"/>
      <c r="AZ67" s="900" t="n">
        <f aca="false">(736*AY13)*(TradeSum!$I14-AZ13)</f>
        <v>0</v>
      </c>
      <c r="BA67" s="899"/>
      <c r="BB67" s="900" t="n">
        <f aca="false">(736*BA13)*(TradeSum!$I14-BB13)</f>
        <v>0</v>
      </c>
      <c r="BC67" s="899"/>
      <c r="BD67" s="900" t="n">
        <f aca="false">(736*BC13)*(TradeSum!$I14-BD13)</f>
        <v>0</v>
      </c>
      <c r="BE67" s="899"/>
      <c r="BF67" s="900" t="n">
        <f aca="false">(736*BE13)*(TradeSum!$I14-BF13)</f>
        <v>0</v>
      </c>
      <c r="BG67" s="901"/>
      <c r="BH67" s="902" t="n">
        <f aca="false">SUM(S67:BF67)</f>
        <v>0</v>
      </c>
    </row>
    <row r="68" customFormat="false" ht="12.75" hidden="false" customHeight="false" outlineLevel="0" collapsed="false">
      <c r="R68" s="512" t="n">
        <f aca="false">R44</f>
        <v>37438</v>
      </c>
      <c r="S68" s="899"/>
      <c r="T68" s="900" t="n">
        <f aca="false">(736*S14)*(TradeSum!$I15-T14)</f>
        <v>0</v>
      </c>
      <c r="U68" s="899"/>
      <c r="V68" s="900" t="n">
        <f aca="false">(736*U14)*(TradeSum!$I15-V14)</f>
        <v>0</v>
      </c>
      <c r="W68" s="899"/>
      <c r="X68" s="900" t="n">
        <f aca="false">(736*W14)*(TradeSum!$I15-X14)</f>
        <v>0</v>
      </c>
      <c r="Y68" s="899"/>
      <c r="Z68" s="900" t="n">
        <f aca="false">(736*Y14)*(TradeSum!$I15-Z14)</f>
        <v>0</v>
      </c>
      <c r="AA68" s="899"/>
      <c r="AB68" s="900" t="n">
        <f aca="false">(736*AA14)*(TradeSum!$I15-AB14)</f>
        <v>0</v>
      </c>
      <c r="AC68" s="899"/>
      <c r="AD68" s="900" t="n">
        <f aca="false">(736*AC14)*(TradeSum!$I15-AD14)</f>
        <v>0</v>
      </c>
      <c r="AE68" s="899"/>
      <c r="AF68" s="900" t="n">
        <f aca="false">(736*AE14)*(TradeSum!$I15-AF14)</f>
        <v>0</v>
      </c>
      <c r="AG68" s="899"/>
      <c r="AH68" s="900" t="n">
        <f aca="false">(736*AG14)*(TradeSum!$I15-AH14)</f>
        <v>0</v>
      </c>
      <c r="AI68" s="899"/>
      <c r="AJ68" s="900" t="n">
        <f aca="false">(736*AI14)*(TradeSum!$I15-AJ14)</f>
        <v>0</v>
      </c>
      <c r="AK68" s="899"/>
      <c r="AL68" s="900" t="n">
        <f aca="false">(736*AK14)*(TradeSum!$I15-AL14)</f>
        <v>0</v>
      </c>
      <c r="AM68" s="899"/>
      <c r="AN68" s="900" t="n">
        <f aca="false">(736*AM14)*(TradeSum!$I15-AN14)</f>
        <v>0</v>
      </c>
      <c r="AO68" s="899"/>
      <c r="AP68" s="900" t="n">
        <f aca="false">(736*AO14)*(TradeSum!$I15-AP14)</f>
        <v>0</v>
      </c>
      <c r="AQ68" s="899"/>
      <c r="AR68" s="900" t="n">
        <f aca="false">(736*AQ14)*(TradeSum!$I15-AR14)</f>
        <v>0</v>
      </c>
      <c r="AS68" s="899"/>
      <c r="AT68" s="900" t="n">
        <f aca="false">(736*AS14)*(TradeSum!$I15-AT14)</f>
        <v>0</v>
      </c>
      <c r="AU68" s="899"/>
      <c r="AV68" s="900" t="n">
        <f aca="false">(736*AU14)*(TradeSum!$I15-AV14)</f>
        <v>0</v>
      </c>
      <c r="AW68" s="899"/>
      <c r="AX68" s="900" t="n">
        <f aca="false">(736*AW14)*(TradeSum!$I15-AX14)</f>
        <v>0</v>
      </c>
      <c r="AY68" s="899"/>
      <c r="AZ68" s="900" t="n">
        <f aca="false">(736*AY14)*(TradeSum!$I15-AZ14)</f>
        <v>0</v>
      </c>
      <c r="BA68" s="899"/>
      <c r="BB68" s="900" t="n">
        <f aca="false">(736*BA14)*(TradeSum!$I15-BB14)</f>
        <v>0</v>
      </c>
      <c r="BC68" s="899"/>
      <c r="BD68" s="900" t="n">
        <f aca="false">(736*BC14)*(TradeSum!$I15-BD14)</f>
        <v>0</v>
      </c>
      <c r="BE68" s="899"/>
      <c r="BF68" s="900" t="n">
        <f aca="false">(736*BE14)*(TradeSum!$I15-BF14)</f>
        <v>0</v>
      </c>
      <c r="BG68" s="901"/>
      <c r="BH68" s="902" t="n">
        <f aca="false">SUM(S68:BF68)</f>
        <v>0</v>
      </c>
    </row>
    <row r="69" customFormat="false" ht="12.75" hidden="false" customHeight="false" outlineLevel="0" collapsed="false">
      <c r="R69" s="512" t="n">
        <f aca="false">R45</f>
        <v>37469</v>
      </c>
      <c r="S69" s="899"/>
      <c r="T69" s="900" t="n">
        <f aca="false">(736*S15)*(TradeSum!$I16-T15)</f>
        <v>0</v>
      </c>
      <c r="U69" s="899"/>
      <c r="V69" s="900" t="n">
        <f aca="false">(736*U15)*(TradeSum!$I16-V15)</f>
        <v>0</v>
      </c>
      <c r="W69" s="899"/>
      <c r="X69" s="900" t="n">
        <f aca="false">(736*W15)*(TradeSum!$I16-X15)</f>
        <v>0</v>
      </c>
      <c r="Y69" s="899"/>
      <c r="Z69" s="900" t="n">
        <f aca="false">(736*Y15)*(TradeSum!$I16-Z15)</f>
        <v>0</v>
      </c>
      <c r="AA69" s="899"/>
      <c r="AB69" s="900" t="n">
        <f aca="false">(736*AA15)*(TradeSum!$I16-AB15)</f>
        <v>0</v>
      </c>
      <c r="AC69" s="899"/>
      <c r="AD69" s="900" t="n">
        <f aca="false">(736*AC15)*(TradeSum!$I16-AD15)</f>
        <v>0</v>
      </c>
      <c r="AE69" s="899"/>
      <c r="AF69" s="900" t="n">
        <f aca="false">(736*AE15)*(TradeSum!$I16-AF15)</f>
        <v>0</v>
      </c>
      <c r="AG69" s="899"/>
      <c r="AH69" s="900" t="n">
        <f aca="false">(736*AG15)*(TradeSum!$I16-AH15)</f>
        <v>0</v>
      </c>
      <c r="AI69" s="899"/>
      <c r="AJ69" s="900" t="n">
        <f aca="false">(736*AI15)*(TradeSum!$I16-AJ15)</f>
        <v>0</v>
      </c>
      <c r="AK69" s="899"/>
      <c r="AL69" s="900" t="n">
        <f aca="false">(736*AK15)*(TradeSum!$I16-AL15)</f>
        <v>0</v>
      </c>
      <c r="AM69" s="899"/>
      <c r="AN69" s="900" t="n">
        <f aca="false">(736*AM15)*(TradeSum!$I16-AN15)</f>
        <v>0</v>
      </c>
      <c r="AO69" s="899"/>
      <c r="AP69" s="900" t="n">
        <f aca="false">(736*AO15)*(TradeSum!$I16-AP15)</f>
        <v>0</v>
      </c>
      <c r="AQ69" s="899"/>
      <c r="AR69" s="900" t="n">
        <f aca="false">(736*AQ15)*(TradeSum!$I16-AR15)</f>
        <v>0</v>
      </c>
      <c r="AS69" s="899"/>
      <c r="AT69" s="900" t="n">
        <f aca="false">(736*AS15)*(TradeSum!$I16-AT15)</f>
        <v>0</v>
      </c>
      <c r="AU69" s="899"/>
      <c r="AV69" s="900" t="n">
        <f aca="false">(736*AU15)*(TradeSum!$I16-AV15)</f>
        <v>0</v>
      </c>
      <c r="AW69" s="899"/>
      <c r="AX69" s="900" t="n">
        <f aca="false">(736*AW15)*(TradeSum!$I16-AX15)</f>
        <v>0</v>
      </c>
      <c r="AY69" s="899"/>
      <c r="AZ69" s="900" t="n">
        <f aca="false">(736*AY15)*(TradeSum!$I16-AZ15)</f>
        <v>0</v>
      </c>
      <c r="BA69" s="899"/>
      <c r="BB69" s="900" t="n">
        <f aca="false">(736*BA15)*(TradeSum!$I16-BB15)</f>
        <v>0</v>
      </c>
      <c r="BC69" s="899"/>
      <c r="BD69" s="900" t="n">
        <f aca="false">(736*BC15)*(TradeSum!$I16-BD15)</f>
        <v>0</v>
      </c>
      <c r="BE69" s="899"/>
      <c r="BF69" s="900" t="n">
        <f aca="false">(736*BE15)*(TradeSum!$I16-BF15)</f>
        <v>0</v>
      </c>
      <c r="BG69" s="901"/>
      <c r="BH69" s="902" t="n">
        <f aca="false">SUM(S69:BF69)</f>
        <v>0</v>
      </c>
    </row>
    <row r="70" customFormat="false" ht="12.75" hidden="false" customHeight="false" outlineLevel="0" collapsed="false">
      <c r="R70" s="512" t="n">
        <f aca="false">R46</f>
        <v>37500</v>
      </c>
      <c r="S70" s="899"/>
      <c r="T70" s="900" t="n">
        <f aca="false">(736*S16)*(TradeSum!$I17-T16)</f>
        <v>0</v>
      </c>
      <c r="U70" s="899"/>
      <c r="V70" s="900" t="n">
        <f aca="false">(736*U16)*(TradeSum!$I17-V16)</f>
        <v>0</v>
      </c>
      <c r="W70" s="899"/>
      <c r="X70" s="900" t="n">
        <f aca="false">(736*W16)*(TradeSum!$I17-X16)</f>
        <v>0</v>
      </c>
      <c r="Y70" s="899"/>
      <c r="Z70" s="900" t="n">
        <f aca="false">(736*Y16)*(TradeSum!$I17-Z16)</f>
        <v>0</v>
      </c>
      <c r="AA70" s="899"/>
      <c r="AB70" s="900" t="n">
        <f aca="false">(736*AA16)*(TradeSum!$I17-AB16)</f>
        <v>0</v>
      </c>
      <c r="AC70" s="899"/>
      <c r="AD70" s="900" t="n">
        <f aca="false">(736*AC16)*(TradeSum!$I17-AD16)</f>
        <v>0</v>
      </c>
      <c r="AE70" s="899"/>
      <c r="AF70" s="900" t="n">
        <f aca="false">(736*AE16)*(TradeSum!$I17-AF16)</f>
        <v>0</v>
      </c>
      <c r="AG70" s="899"/>
      <c r="AH70" s="900" t="n">
        <f aca="false">(736*AG16)*(TradeSum!$I17-AH16)</f>
        <v>0</v>
      </c>
      <c r="AI70" s="899"/>
      <c r="AJ70" s="900" t="n">
        <f aca="false">(736*AI16)*(TradeSum!$I17-AJ16)</f>
        <v>0</v>
      </c>
      <c r="AK70" s="899"/>
      <c r="AL70" s="900" t="n">
        <f aca="false">(736*AK16)*(TradeSum!$I17-AL16)</f>
        <v>0</v>
      </c>
      <c r="AM70" s="899"/>
      <c r="AN70" s="900" t="n">
        <f aca="false">(736*AM16)*(TradeSum!$I17-AN16)</f>
        <v>0</v>
      </c>
      <c r="AO70" s="899"/>
      <c r="AP70" s="900" t="n">
        <f aca="false">(736*AO16)*(TradeSum!$I17-AP16)</f>
        <v>0</v>
      </c>
      <c r="AQ70" s="899"/>
      <c r="AR70" s="900" t="n">
        <f aca="false">(736*AQ16)*(TradeSum!$I17-AR16)</f>
        <v>0</v>
      </c>
      <c r="AS70" s="899"/>
      <c r="AT70" s="900" t="n">
        <f aca="false">(736*AS16)*(TradeSum!$I17-AT16)</f>
        <v>0</v>
      </c>
      <c r="AU70" s="899"/>
      <c r="AV70" s="900" t="n">
        <f aca="false">(736*AU16)*(TradeSum!$I17-AV16)</f>
        <v>0</v>
      </c>
      <c r="AW70" s="899"/>
      <c r="AX70" s="900" t="n">
        <f aca="false">(736*AW16)*(TradeSum!$I17-AX16)</f>
        <v>0</v>
      </c>
      <c r="AY70" s="899"/>
      <c r="AZ70" s="900" t="n">
        <f aca="false">(736*AY16)*(TradeSum!$I17-AZ16)</f>
        <v>0</v>
      </c>
      <c r="BA70" s="899"/>
      <c r="BB70" s="900" t="n">
        <f aca="false">(736*BA16)*(TradeSum!$I17-BB16)</f>
        <v>0</v>
      </c>
      <c r="BC70" s="899"/>
      <c r="BD70" s="900" t="n">
        <f aca="false">(736*BC16)*(TradeSum!$I17-BD16)</f>
        <v>0</v>
      </c>
      <c r="BE70" s="899"/>
      <c r="BF70" s="900" t="n">
        <f aca="false">(736*BE16)*(TradeSum!$I17-BF16)</f>
        <v>0</v>
      </c>
      <c r="BG70" s="901"/>
      <c r="BH70" s="902" t="n">
        <f aca="false">SUM(S70:BF70)</f>
        <v>0</v>
      </c>
    </row>
    <row r="71" customFormat="false" ht="12.75" hidden="false" customHeight="false" outlineLevel="0" collapsed="false">
      <c r="R71" s="512" t="n">
        <f aca="false">R47</f>
        <v>37530</v>
      </c>
      <c r="S71" s="899"/>
      <c r="T71" s="900" t="n">
        <f aca="false">(736*S17)*(TradeSum!$I18-T17)</f>
        <v>0</v>
      </c>
      <c r="U71" s="899"/>
      <c r="V71" s="900" t="n">
        <f aca="false">(736*U17)*(TradeSum!$I18-V17)</f>
        <v>0</v>
      </c>
      <c r="W71" s="899"/>
      <c r="X71" s="900" t="n">
        <f aca="false">(736*W17)*(TradeSum!$I18-X17)</f>
        <v>0</v>
      </c>
      <c r="Y71" s="899"/>
      <c r="Z71" s="900" t="n">
        <f aca="false">(736*Y17)*(TradeSum!$I18-Z17)</f>
        <v>0</v>
      </c>
      <c r="AA71" s="899"/>
      <c r="AB71" s="900" t="n">
        <f aca="false">(736*AA17)*(TradeSum!$I18-AB17)</f>
        <v>0</v>
      </c>
      <c r="AC71" s="899"/>
      <c r="AD71" s="900" t="n">
        <f aca="false">(736*AC17)*(TradeSum!$I18-AD17)</f>
        <v>0</v>
      </c>
      <c r="AE71" s="899"/>
      <c r="AF71" s="900" t="n">
        <f aca="false">(736*AE17)*(TradeSum!$I18-AF17)</f>
        <v>0</v>
      </c>
      <c r="AG71" s="899"/>
      <c r="AH71" s="900" t="n">
        <f aca="false">(736*AG17)*(TradeSum!$I18-AH17)</f>
        <v>0</v>
      </c>
      <c r="AI71" s="899"/>
      <c r="AJ71" s="900" t="n">
        <f aca="false">(736*AI17)*(TradeSum!$I18-AJ17)</f>
        <v>0</v>
      </c>
      <c r="AK71" s="899"/>
      <c r="AL71" s="900" t="n">
        <f aca="false">(736*AK17)*(TradeSum!$I18-AL17)</f>
        <v>0</v>
      </c>
      <c r="AM71" s="899"/>
      <c r="AN71" s="900" t="n">
        <f aca="false">(736*AM17)*(TradeSum!$I18-AN17)</f>
        <v>0</v>
      </c>
      <c r="AO71" s="899"/>
      <c r="AP71" s="900" t="n">
        <f aca="false">(736*AO17)*(TradeSum!$I18-AP17)</f>
        <v>0</v>
      </c>
      <c r="AQ71" s="899"/>
      <c r="AR71" s="900" t="n">
        <f aca="false">(736*AQ17)*(TradeSum!$I18-AR17)</f>
        <v>0</v>
      </c>
      <c r="AS71" s="899"/>
      <c r="AT71" s="900" t="n">
        <f aca="false">(736*AS17)*(TradeSum!$I18-AT17)</f>
        <v>0</v>
      </c>
      <c r="AU71" s="899"/>
      <c r="AV71" s="900" t="n">
        <f aca="false">(736*AU17)*(TradeSum!$I18-AV17)</f>
        <v>0</v>
      </c>
      <c r="AW71" s="899"/>
      <c r="AX71" s="900" t="n">
        <f aca="false">(736*AW17)*(TradeSum!$I18-AX17)</f>
        <v>0</v>
      </c>
      <c r="AY71" s="899"/>
      <c r="AZ71" s="900" t="n">
        <f aca="false">(736*AY17)*(TradeSum!$I18-AZ17)</f>
        <v>0</v>
      </c>
      <c r="BA71" s="899"/>
      <c r="BB71" s="900" t="n">
        <f aca="false">(736*BA17)*(TradeSum!$I18-BB17)</f>
        <v>0</v>
      </c>
      <c r="BC71" s="899"/>
      <c r="BD71" s="900" t="n">
        <f aca="false">(736*BC17)*(TradeSum!$I18-BD17)</f>
        <v>0</v>
      </c>
      <c r="BE71" s="899"/>
      <c r="BF71" s="900" t="n">
        <f aca="false">(736*BE17)*(TradeSum!$I18-BF17)</f>
        <v>0</v>
      </c>
      <c r="BG71" s="901"/>
      <c r="BH71" s="902" t="n">
        <f aca="false">SUM(S71:BF71)</f>
        <v>0</v>
      </c>
    </row>
    <row r="72" customFormat="false" ht="12.75" hidden="false" customHeight="false" outlineLevel="0" collapsed="false">
      <c r="R72" s="512" t="n">
        <f aca="false">R48</f>
        <v>37561</v>
      </c>
      <c r="S72" s="899"/>
      <c r="T72" s="900" t="n">
        <f aca="false">(736*S18)*(TradeSum!$I19-T18)</f>
        <v>0</v>
      </c>
      <c r="U72" s="899"/>
      <c r="V72" s="900" t="n">
        <f aca="false">(736*U18)*(TradeSum!$I19-V18)</f>
        <v>0</v>
      </c>
      <c r="W72" s="899"/>
      <c r="X72" s="900" t="n">
        <f aca="false">(736*W18)*(TradeSum!$I19-X18)</f>
        <v>0</v>
      </c>
      <c r="Y72" s="899"/>
      <c r="Z72" s="900" t="n">
        <f aca="false">(736*Y18)*(TradeSum!$I19-Z18)</f>
        <v>0</v>
      </c>
      <c r="AA72" s="899"/>
      <c r="AB72" s="900" t="n">
        <f aca="false">(736*AA18)*(TradeSum!$I19-AB18)</f>
        <v>0</v>
      </c>
      <c r="AC72" s="899"/>
      <c r="AD72" s="900" t="n">
        <f aca="false">(736*AC18)*(TradeSum!$I19-AD18)</f>
        <v>0</v>
      </c>
      <c r="AE72" s="899"/>
      <c r="AF72" s="900" t="n">
        <f aca="false">(736*AE18)*(TradeSum!$I19-AF18)</f>
        <v>0</v>
      </c>
      <c r="AG72" s="899"/>
      <c r="AH72" s="900" t="n">
        <f aca="false">(736*AG18)*(TradeSum!$I19-AH18)</f>
        <v>0</v>
      </c>
      <c r="AI72" s="899"/>
      <c r="AJ72" s="900" t="n">
        <f aca="false">(736*AI18)*(TradeSum!$I19-AJ18)</f>
        <v>0</v>
      </c>
      <c r="AK72" s="899"/>
      <c r="AL72" s="900" t="n">
        <f aca="false">(736*AK18)*(TradeSum!$I19-AL18)</f>
        <v>0</v>
      </c>
      <c r="AM72" s="899"/>
      <c r="AN72" s="900" t="n">
        <f aca="false">(736*AM18)*(TradeSum!$I19-AN18)</f>
        <v>0</v>
      </c>
      <c r="AO72" s="899"/>
      <c r="AP72" s="900" t="n">
        <f aca="false">(736*AO18)*(TradeSum!$I19-AP18)</f>
        <v>0</v>
      </c>
      <c r="AQ72" s="899"/>
      <c r="AR72" s="900" t="n">
        <f aca="false">(736*AQ18)*(TradeSum!$I19-AR18)</f>
        <v>0</v>
      </c>
      <c r="AS72" s="899"/>
      <c r="AT72" s="900" t="n">
        <f aca="false">(736*AS18)*(TradeSum!$I19-AT18)</f>
        <v>0</v>
      </c>
      <c r="AU72" s="899"/>
      <c r="AV72" s="900" t="n">
        <f aca="false">(736*AU18)*(TradeSum!$I19-AV18)</f>
        <v>0</v>
      </c>
      <c r="AW72" s="899"/>
      <c r="AX72" s="900" t="n">
        <f aca="false">(736*AW18)*(TradeSum!$I19-AX18)</f>
        <v>0</v>
      </c>
      <c r="AY72" s="899"/>
      <c r="AZ72" s="900" t="n">
        <f aca="false">(736*AY18)*(TradeSum!$I19-AZ18)</f>
        <v>0</v>
      </c>
      <c r="BA72" s="899"/>
      <c r="BB72" s="900" t="n">
        <f aca="false">(736*BA18)*(TradeSum!$I19-BB18)</f>
        <v>0</v>
      </c>
      <c r="BC72" s="899"/>
      <c r="BD72" s="900" t="n">
        <f aca="false">(736*BC18)*(TradeSum!$I19-BD18)</f>
        <v>0</v>
      </c>
      <c r="BE72" s="899"/>
      <c r="BF72" s="900" t="n">
        <f aca="false">(736*BE18)*(TradeSum!$I19-BF18)</f>
        <v>0</v>
      </c>
      <c r="BG72" s="901"/>
      <c r="BH72" s="902" t="n">
        <f aca="false">SUM(S72:BF72)</f>
        <v>0</v>
      </c>
    </row>
    <row r="73" customFormat="false" ht="12.75" hidden="false" customHeight="false" outlineLevel="0" collapsed="false">
      <c r="R73" s="512" t="n">
        <f aca="false">R49</f>
        <v>37591</v>
      </c>
      <c r="S73" s="899"/>
      <c r="T73" s="900" t="n">
        <f aca="false">(736*S19)*(TradeSum!$I20-T19)</f>
        <v>0</v>
      </c>
      <c r="U73" s="899"/>
      <c r="V73" s="900" t="n">
        <f aca="false">(736*U19)*(TradeSum!$I20-V19)</f>
        <v>0</v>
      </c>
      <c r="W73" s="899"/>
      <c r="X73" s="900" t="n">
        <f aca="false">(736*W19)*(TradeSum!$I20-X19)</f>
        <v>0</v>
      </c>
      <c r="Y73" s="899"/>
      <c r="Z73" s="900" t="n">
        <f aca="false">(736*Y19)*(TradeSum!$I20-Z19)</f>
        <v>0</v>
      </c>
      <c r="AA73" s="899"/>
      <c r="AB73" s="900" t="n">
        <f aca="false">(736*AA19)*(TradeSum!$I20-AB19)</f>
        <v>0</v>
      </c>
      <c r="AC73" s="899"/>
      <c r="AD73" s="900" t="n">
        <f aca="false">(736*AC19)*(TradeSum!$I20-AD19)</f>
        <v>0</v>
      </c>
      <c r="AE73" s="899"/>
      <c r="AF73" s="900" t="n">
        <f aca="false">(736*AE19)*(TradeSum!$I20-AF19)</f>
        <v>0</v>
      </c>
      <c r="AG73" s="899"/>
      <c r="AH73" s="900" t="n">
        <f aca="false">(736*AG19)*(TradeSum!$I20-AH19)</f>
        <v>0</v>
      </c>
      <c r="AI73" s="899"/>
      <c r="AJ73" s="900" t="n">
        <f aca="false">(736*AI19)*(TradeSum!$I20-AJ19)</f>
        <v>0</v>
      </c>
      <c r="AK73" s="899"/>
      <c r="AL73" s="900" t="n">
        <f aca="false">(736*AK19)*(TradeSum!$I20-AL19)</f>
        <v>0</v>
      </c>
      <c r="AM73" s="899"/>
      <c r="AN73" s="900" t="n">
        <f aca="false">(736*AM19)*(TradeSum!$I20-AN19)</f>
        <v>0</v>
      </c>
      <c r="AO73" s="899"/>
      <c r="AP73" s="900" t="n">
        <f aca="false">(736*AO19)*(TradeSum!$I20-AP19)</f>
        <v>0</v>
      </c>
      <c r="AQ73" s="899"/>
      <c r="AR73" s="900" t="n">
        <f aca="false">(736*AQ19)*(TradeSum!$I20-AR19)</f>
        <v>0</v>
      </c>
      <c r="AS73" s="899"/>
      <c r="AT73" s="900" t="n">
        <f aca="false">(736*AS19)*(TradeSum!$I20-AT19)</f>
        <v>0</v>
      </c>
      <c r="AU73" s="899"/>
      <c r="AV73" s="900" t="n">
        <f aca="false">(736*AU19)*(TradeSum!$I20-AV19)</f>
        <v>0</v>
      </c>
      <c r="AW73" s="899"/>
      <c r="AX73" s="900" t="n">
        <f aca="false">(736*AW19)*(TradeSum!$I20-AX19)</f>
        <v>0</v>
      </c>
      <c r="AY73" s="899"/>
      <c r="AZ73" s="900" t="n">
        <f aca="false">(736*AY19)*(TradeSum!$I20-AZ19)</f>
        <v>0</v>
      </c>
      <c r="BA73" s="899"/>
      <c r="BB73" s="900" t="n">
        <f aca="false">(736*BA19)*(TradeSum!$I20-BB19)</f>
        <v>0</v>
      </c>
      <c r="BC73" s="899"/>
      <c r="BD73" s="900" t="n">
        <f aca="false">(736*BC19)*(TradeSum!$I20-BD19)</f>
        <v>0</v>
      </c>
      <c r="BE73" s="899"/>
      <c r="BF73" s="900" t="n">
        <f aca="false">(736*BE19)*(TradeSum!$I20-BF19)</f>
        <v>0</v>
      </c>
      <c r="BG73" s="901"/>
      <c r="BH73" s="902" t="n">
        <f aca="false">SUM(S73:BF73)</f>
        <v>0</v>
      </c>
    </row>
    <row r="74" customFormat="false" ht="12.75" hidden="false" customHeight="false" outlineLevel="0" collapsed="false">
      <c r="R74" s="512" t="n">
        <f aca="false">R50</f>
        <v>37622</v>
      </c>
      <c r="S74" s="899"/>
      <c r="T74" s="900" t="n">
        <f aca="false">(736*S20)*(TradeSum!$I21-T20)</f>
        <v>0</v>
      </c>
      <c r="U74" s="899"/>
      <c r="V74" s="900" t="n">
        <f aca="false">(736*U20)*(TradeSum!$I21-V20)</f>
        <v>0</v>
      </c>
      <c r="W74" s="899"/>
      <c r="X74" s="900" t="n">
        <f aca="false">(736*W20)*(TradeSum!$I21-X20)</f>
        <v>0</v>
      </c>
      <c r="Y74" s="899"/>
      <c r="Z74" s="900" t="n">
        <f aca="false">(736*Y20)*(TradeSum!$I21-Z20)</f>
        <v>0</v>
      </c>
      <c r="AA74" s="899"/>
      <c r="AB74" s="900" t="n">
        <f aca="false">(736*AA20)*(TradeSum!$I21-AB20)</f>
        <v>0</v>
      </c>
      <c r="AC74" s="899"/>
      <c r="AD74" s="900" t="n">
        <f aca="false">(736*AC20)*(TradeSum!$I21-AD20)</f>
        <v>0</v>
      </c>
      <c r="AE74" s="899"/>
      <c r="AF74" s="900" t="n">
        <f aca="false">(736*AE20)*(TradeSum!$I21-AF20)</f>
        <v>0</v>
      </c>
      <c r="AG74" s="899"/>
      <c r="AH74" s="900" t="n">
        <f aca="false">(736*AG20)*(TradeSum!$I21-AH20)</f>
        <v>0</v>
      </c>
      <c r="AI74" s="899"/>
      <c r="AJ74" s="900" t="n">
        <f aca="false">(736*AI20)*(TradeSum!$I21-AJ20)</f>
        <v>0</v>
      </c>
      <c r="AK74" s="899"/>
      <c r="AL74" s="900" t="n">
        <f aca="false">(736*AK20)*(TradeSum!$I21-AL20)</f>
        <v>0</v>
      </c>
      <c r="AM74" s="899"/>
      <c r="AN74" s="900" t="n">
        <f aca="false">(736*AM20)*(TradeSum!$I21-AN20)</f>
        <v>0</v>
      </c>
      <c r="AO74" s="899"/>
      <c r="AP74" s="900" t="n">
        <f aca="false">(736*AO20)*(TradeSum!$I21-AP20)</f>
        <v>0</v>
      </c>
      <c r="AQ74" s="899"/>
      <c r="AR74" s="900" t="n">
        <f aca="false">(736*AQ20)*(TradeSum!$I21-AR20)</f>
        <v>0</v>
      </c>
      <c r="AS74" s="899"/>
      <c r="AT74" s="900" t="n">
        <f aca="false">(736*AS20)*(TradeSum!$I21-AT20)</f>
        <v>0</v>
      </c>
      <c r="AU74" s="899"/>
      <c r="AV74" s="900" t="n">
        <f aca="false">(736*AU20)*(TradeSum!$I21-AV20)</f>
        <v>0</v>
      </c>
      <c r="AW74" s="899"/>
      <c r="AX74" s="900" t="n">
        <f aca="false">(736*AW20)*(TradeSum!$I21-AX20)</f>
        <v>0</v>
      </c>
      <c r="AY74" s="899"/>
      <c r="AZ74" s="900" t="n">
        <f aca="false">(736*AY20)*(TradeSum!$I21-AZ20)</f>
        <v>0</v>
      </c>
      <c r="BA74" s="899"/>
      <c r="BB74" s="900" t="n">
        <f aca="false">(736*BA20)*(TradeSum!$I21-BB20)</f>
        <v>0</v>
      </c>
      <c r="BC74" s="899"/>
      <c r="BD74" s="900" t="n">
        <f aca="false">(736*BC20)*(TradeSum!$I21-BD20)</f>
        <v>0</v>
      </c>
      <c r="BE74" s="899"/>
      <c r="BF74" s="900" t="n">
        <f aca="false">(736*BE20)*(TradeSum!$I21-BF20)</f>
        <v>0</v>
      </c>
      <c r="BG74" s="901"/>
      <c r="BH74" s="902" t="n">
        <f aca="false">SUM(S74:BF74)</f>
        <v>0</v>
      </c>
    </row>
    <row r="75" customFormat="false" ht="12.75" hidden="false" customHeight="false" outlineLevel="0" collapsed="false">
      <c r="R75" s="512" t="n">
        <f aca="false">R51</f>
        <v>37653</v>
      </c>
      <c r="S75" s="899"/>
      <c r="T75" s="900" t="n">
        <f aca="false">(736*S21)*(TradeSum!$I22-T21)</f>
        <v>0</v>
      </c>
      <c r="U75" s="899"/>
      <c r="V75" s="900" t="n">
        <f aca="false">(736*U21)*(TradeSum!$I22-V21)</f>
        <v>0</v>
      </c>
      <c r="W75" s="899"/>
      <c r="X75" s="900" t="n">
        <f aca="false">(736*W21)*(TradeSum!$I22-X21)</f>
        <v>0</v>
      </c>
      <c r="Y75" s="899"/>
      <c r="Z75" s="900" t="n">
        <f aca="false">(736*Y21)*(TradeSum!$I22-Z21)</f>
        <v>0</v>
      </c>
      <c r="AA75" s="899"/>
      <c r="AB75" s="900" t="n">
        <f aca="false">(736*AA21)*(TradeSum!$I22-AB21)</f>
        <v>0</v>
      </c>
      <c r="AC75" s="899"/>
      <c r="AD75" s="900" t="n">
        <f aca="false">(736*AC21)*(TradeSum!$I22-AD21)</f>
        <v>0</v>
      </c>
      <c r="AE75" s="899"/>
      <c r="AF75" s="900" t="n">
        <f aca="false">(736*AE21)*(TradeSum!$I22-AF21)</f>
        <v>0</v>
      </c>
      <c r="AG75" s="899"/>
      <c r="AH75" s="900" t="n">
        <f aca="false">(736*AG21)*(TradeSum!$I22-AH21)</f>
        <v>0</v>
      </c>
      <c r="AI75" s="899"/>
      <c r="AJ75" s="900" t="n">
        <f aca="false">(736*AI21)*(TradeSum!$I22-AJ21)</f>
        <v>0</v>
      </c>
      <c r="AK75" s="899"/>
      <c r="AL75" s="900" t="n">
        <f aca="false">(736*AK21)*(TradeSum!$I22-AL21)</f>
        <v>0</v>
      </c>
      <c r="AM75" s="899"/>
      <c r="AN75" s="900" t="n">
        <f aca="false">(736*AM21)*(TradeSum!$I22-AN21)</f>
        <v>0</v>
      </c>
      <c r="AO75" s="899"/>
      <c r="AP75" s="900" t="n">
        <f aca="false">(736*AO21)*(TradeSum!$I22-AP21)</f>
        <v>0</v>
      </c>
      <c r="AQ75" s="899"/>
      <c r="AR75" s="900" t="n">
        <f aca="false">(736*AQ21)*(TradeSum!$I22-AR21)</f>
        <v>0</v>
      </c>
      <c r="AS75" s="899"/>
      <c r="AT75" s="900" t="n">
        <f aca="false">(736*AS21)*(TradeSum!$I22-AT21)</f>
        <v>0</v>
      </c>
      <c r="AU75" s="899"/>
      <c r="AV75" s="900" t="n">
        <f aca="false">(736*AU21)*(TradeSum!$I22-AV21)</f>
        <v>0</v>
      </c>
      <c r="AW75" s="899"/>
      <c r="AX75" s="900" t="n">
        <f aca="false">(736*AW21)*(TradeSum!$I22-AX21)</f>
        <v>0</v>
      </c>
      <c r="AY75" s="899"/>
      <c r="AZ75" s="900" t="n">
        <f aca="false">(736*AY21)*(TradeSum!$I22-AZ21)</f>
        <v>0</v>
      </c>
      <c r="BA75" s="899"/>
      <c r="BB75" s="900" t="n">
        <f aca="false">(736*BA21)*(TradeSum!$I22-BB21)</f>
        <v>0</v>
      </c>
      <c r="BC75" s="899"/>
      <c r="BD75" s="900" t="n">
        <f aca="false">(736*BC21)*(TradeSum!$I22-BD21)</f>
        <v>0</v>
      </c>
      <c r="BE75" s="899"/>
      <c r="BF75" s="900" t="n">
        <f aca="false">(736*BE21)*(TradeSum!$I22-BF21)</f>
        <v>0</v>
      </c>
      <c r="BG75" s="901"/>
      <c r="BH75" s="902" t="n">
        <f aca="false">SUM(S75:BF75)</f>
        <v>0</v>
      </c>
    </row>
    <row r="76" customFormat="false" ht="12.75" hidden="false" customHeight="false" outlineLevel="0" collapsed="false">
      <c r="R76" s="512" t="n">
        <f aca="false">R52</f>
        <v>37681</v>
      </c>
      <c r="S76" s="899"/>
      <c r="T76" s="900" t="n">
        <f aca="false">(736*S22)*(TradeSum!$I23-T22)</f>
        <v>0</v>
      </c>
      <c r="U76" s="899"/>
      <c r="V76" s="900" t="n">
        <f aca="false">(736*U22)*(TradeSum!$I23-V22)</f>
        <v>0</v>
      </c>
      <c r="W76" s="899"/>
      <c r="X76" s="900" t="n">
        <f aca="false">(736*W22)*(TradeSum!$I23-X22)</f>
        <v>0</v>
      </c>
      <c r="Y76" s="899"/>
      <c r="Z76" s="900" t="n">
        <f aca="false">(736*Y22)*(TradeSum!$I23-Z22)</f>
        <v>0</v>
      </c>
      <c r="AA76" s="899"/>
      <c r="AB76" s="900" t="n">
        <f aca="false">(736*AA22)*(TradeSum!$I23-AB22)</f>
        <v>0</v>
      </c>
      <c r="AC76" s="899"/>
      <c r="AD76" s="900" t="n">
        <f aca="false">(736*AC22)*(TradeSum!$I23-AD22)</f>
        <v>0</v>
      </c>
      <c r="AE76" s="899"/>
      <c r="AF76" s="900" t="n">
        <f aca="false">(736*AE22)*(TradeSum!$I23-AF22)</f>
        <v>0</v>
      </c>
      <c r="AG76" s="899"/>
      <c r="AH76" s="900" t="n">
        <f aca="false">(736*AG22)*(TradeSum!$I23-AH22)</f>
        <v>0</v>
      </c>
      <c r="AI76" s="899"/>
      <c r="AJ76" s="900" t="n">
        <f aca="false">(736*AI22)*(TradeSum!$I23-AJ22)</f>
        <v>0</v>
      </c>
      <c r="AK76" s="899"/>
      <c r="AL76" s="900" t="n">
        <f aca="false">(736*AK22)*(TradeSum!$I23-AL22)</f>
        <v>0</v>
      </c>
      <c r="AM76" s="899"/>
      <c r="AN76" s="900" t="n">
        <f aca="false">(736*AM22)*(TradeSum!$I23-AN22)</f>
        <v>0</v>
      </c>
      <c r="AO76" s="899"/>
      <c r="AP76" s="900" t="n">
        <f aca="false">(736*AO22)*(TradeSum!$I23-AP22)</f>
        <v>0</v>
      </c>
      <c r="AQ76" s="899"/>
      <c r="AR76" s="900" t="n">
        <f aca="false">(736*AQ22)*(TradeSum!$I23-AR22)</f>
        <v>0</v>
      </c>
      <c r="AS76" s="899"/>
      <c r="AT76" s="900" t="n">
        <f aca="false">(736*AS22)*(TradeSum!$I23-AT22)</f>
        <v>0</v>
      </c>
      <c r="AU76" s="899"/>
      <c r="AV76" s="900" t="n">
        <f aca="false">(736*AU22)*(TradeSum!$I23-AV22)</f>
        <v>0</v>
      </c>
      <c r="AW76" s="899"/>
      <c r="AX76" s="900" t="n">
        <f aca="false">(736*AW22)*(TradeSum!$I23-AX22)</f>
        <v>0</v>
      </c>
      <c r="AY76" s="899"/>
      <c r="AZ76" s="900" t="n">
        <f aca="false">(736*AY22)*(TradeSum!$I23-AZ22)</f>
        <v>0</v>
      </c>
      <c r="BA76" s="899"/>
      <c r="BB76" s="900" t="n">
        <f aca="false">(736*BA22)*(TradeSum!$I23-BB22)</f>
        <v>0</v>
      </c>
      <c r="BC76" s="899"/>
      <c r="BD76" s="900" t="n">
        <f aca="false">(736*BC22)*(TradeSum!$I23-BD22)</f>
        <v>0</v>
      </c>
      <c r="BE76" s="899"/>
      <c r="BF76" s="900" t="n">
        <f aca="false">(736*BE22)*(TradeSum!$I23-BF22)</f>
        <v>0</v>
      </c>
      <c r="BG76" s="901"/>
      <c r="BH76" s="902" t="n">
        <f aca="false">SUM(S76:BF76)</f>
        <v>0</v>
      </c>
    </row>
    <row r="77" customFormat="false" ht="12.75" hidden="false" customHeight="false" outlineLevel="0" collapsed="false">
      <c r="R77" s="512" t="n">
        <f aca="false">R53</f>
        <v>0</v>
      </c>
      <c r="S77" s="899"/>
      <c r="T77" s="900" t="n">
        <f aca="false">(736*S23)*(TradeSum!$I24-T23)</f>
        <v>0</v>
      </c>
      <c r="U77" s="899"/>
      <c r="V77" s="900" t="n">
        <f aca="false">(736*U23)*(TradeSum!$I24-V23)</f>
        <v>0</v>
      </c>
      <c r="W77" s="899"/>
      <c r="X77" s="900" t="n">
        <f aca="false">(736*W23)*(TradeSum!$I24-X23)</f>
        <v>0</v>
      </c>
      <c r="Y77" s="899"/>
      <c r="Z77" s="900" t="n">
        <f aca="false">(736*Y23)*(TradeSum!$I24-Z23)</f>
        <v>0</v>
      </c>
      <c r="AA77" s="899"/>
      <c r="AB77" s="900" t="n">
        <f aca="false">(736*AA23)*(TradeSum!$I24-AB23)</f>
        <v>0</v>
      </c>
      <c r="AC77" s="899"/>
      <c r="AD77" s="900" t="n">
        <f aca="false">(736*AC23)*(TradeSum!$I24-AD23)</f>
        <v>0</v>
      </c>
      <c r="AE77" s="899"/>
      <c r="AF77" s="900" t="n">
        <f aca="false">(736*AE23)*(TradeSum!$I24-AF23)</f>
        <v>0</v>
      </c>
      <c r="AG77" s="899"/>
      <c r="AH77" s="900" t="n">
        <f aca="false">(736*AG23)*(TradeSum!$I24-AH23)</f>
        <v>0</v>
      </c>
      <c r="AI77" s="899"/>
      <c r="AJ77" s="900" t="n">
        <f aca="false">(736*AI23)*(TradeSum!$I24-AJ23)</f>
        <v>0</v>
      </c>
      <c r="AK77" s="899"/>
      <c r="AL77" s="900" t="n">
        <f aca="false">(736*AK23)*(TradeSum!$I24-AL23)</f>
        <v>0</v>
      </c>
      <c r="AM77" s="899"/>
      <c r="AN77" s="900" t="n">
        <f aca="false">(736*AM23)*(TradeSum!$I24-AN23)</f>
        <v>0</v>
      </c>
      <c r="AO77" s="899"/>
      <c r="AP77" s="900" t="n">
        <f aca="false">(736*AO23)*(TradeSum!$I24-AP23)</f>
        <v>0</v>
      </c>
      <c r="AQ77" s="899"/>
      <c r="AR77" s="900" t="n">
        <f aca="false">(736*AQ23)*(TradeSum!$I24-AR23)</f>
        <v>0</v>
      </c>
      <c r="AS77" s="899"/>
      <c r="AT77" s="900" t="n">
        <f aca="false">(736*AS23)*(TradeSum!$I24-AT23)</f>
        <v>0</v>
      </c>
      <c r="AU77" s="899"/>
      <c r="AV77" s="900" t="n">
        <f aca="false">(736*AU23)*(TradeSum!$I24-AV23)</f>
        <v>0</v>
      </c>
      <c r="AW77" s="899"/>
      <c r="AX77" s="900" t="n">
        <f aca="false">(736*AW23)*(TradeSum!$I24-AX23)</f>
        <v>0</v>
      </c>
      <c r="AY77" s="899"/>
      <c r="AZ77" s="900" t="n">
        <f aca="false">(736*AY23)*(TradeSum!$I24-AZ23)</f>
        <v>0</v>
      </c>
      <c r="BA77" s="899"/>
      <c r="BB77" s="900" t="n">
        <f aca="false">(736*BA23)*(TradeSum!$I24-BB23)</f>
        <v>0</v>
      </c>
      <c r="BC77" s="899"/>
      <c r="BD77" s="900" t="n">
        <f aca="false">(736*BC23)*(TradeSum!$I24-BD23)</f>
        <v>0</v>
      </c>
      <c r="BE77" s="899"/>
      <c r="BF77" s="900" t="n">
        <f aca="false">(736*BE23)*(TradeSum!$I24-BF23)</f>
        <v>0</v>
      </c>
      <c r="BG77" s="901"/>
      <c r="BH77" s="902" t="n">
        <f aca="false">SUM(S77:BF77)</f>
        <v>0</v>
      </c>
    </row>
    <row r="78" customFormat="false" ht="12.75" hidden="false" customHeight="false" outlineLevel="0" collapsed="false">
      <c r="R78" s="512" t="n">
        <f aca="false">R54</f>
        <v>0</v>
      </c>
      <c r="S78" s="899"/>
      <c r="T78" s="900" t="n">
        <f aca="false">(736*S24)*(TradeSum!$I25-T24)</f>
        <v>0</v>
      </c>
      <c r="U78" s="899"/>
      <c r="V78" s="900" t="n">
        <f aca="false">(736*U24)*(TradeSum!$I25-V24)</f>
        <v>0</v>
      </c>
      <c r="W78" s="899"/>
      <c r="X78" s="900" t="n">
        <f aca="false">(736*W24)*(TradeSum!$I25-X24)</f>
        <v>0</v>
      </c>
      <c r="Y78" s="899"/>
      <c r="Z78" s="900" t="n">
        <f aca="false">(736*Y24)*(TradeSum!$I25-Z24)</f>
        <v>0</v>
      </c>
      <c r="AA78" s="899"/>
      <c r="AB78" s="900" t="n">
        <f aca="false">(736*AA24)*(TradeSum!$I25-AB24)</f>
        <v>0</v>
      </c>
      <c r="AC78" s="899"/>
      <c r="AD78" s="900" t="n">
        <f aca="false">(736*AC24)*(TradeSum!$I25-AD24)</f>
        <v>0</v>
      </c>
      <c r="AE78" s="899"/>
      <c r="AF78" s="900" t="n">
        <f aca="false">(736*AE24)*(TradeSum!$I25-AF24)</f>
        <v>0</v>
      </c>
      <c r="AG78" s="899"/>
      <c r="AH78" s="900" t="n">
        <f aca="false">(736*AG24)*(TradeSum!$I25-AH24)</f>
        <v>0</v>
      </c>
      <c r="AI78" s="899"/>
      <c r="AJ78" s="900" t="n">
        <f aca="false">(736*AI24)*(TradeSum!$I25-AJ24)</f>
        <v>0</v>
      </c>
      <c r="AK78" s="899"/>
      <c r="AL78" s="900" t="n">
        <f aca="false">(736*AK24)*(TradeSum!$I25-AL24)</f>
        <v>0</v>
      </c>
      <c r="AM78" s="899"/>
      <c r="AN78" s="900" t="n">
        <f aca="false">(736*AM24)*(TradeSum!$I25-AN24)</f>
        <v>0</v>
      </c>
      <c r="AO78" s="899"/>
      <c r="AP78" s="900" t="n">
        <f aca="false">(736*AO24)*(TradeSum!$I25-AP24)</f>
        <v>0</v>
      </c>
      <c r="AQ78" s="899"/>
      <c r="AR78" s="900" t="n">
        <f aca="false">(736*AQ24)*(TradeSum!$I25-AR24)</f>
        <v>0</v>
      </c>
      <c r="AS78" s="899"/>
      <c r="AT78" s="900" t="n">
        <f aca="false">(736*AS24)*(TradeSum!$I25-AT24)</f>
        <v>0</v>
      </c>
      <c r="AU78" s="899"/>
      <c r="AV78" s="900" t="n">
        <f aca="false">(736*AU24)*(TradeSum!$I25-AV24)</f>
        <v>0</v>
      </c>
      <c r="AW78" s="899"/>
      <c r="AX78" s="900" t="n">
        <f aca="false">(736*AW24)*(TradeSum!$I25-AX24)</f>
        <v>0</v>
      </c>
      <c r="AY78" s="899"/>
      <c r="AZ78" s="900" t="n">
        <f aca="false">(736*AY24)*(TradeSum!$I25-AZ24)</f>
        <v>0</v>
      </c>
      <c r="BA78" s="899"/>
      <c r="BB78" s="900" t="n">
        <f aca="false">(736*BA24)*(TradeSum!$I25-BB24)</f>
        <v>0</v>
      </c>
      <c r="BC78" s="899"/>
      <c r="BD78" s="900" t="n">
        <f aca="false">(736*BC24)*(TradeSum!$I25-BD24)</f>
        <v>0</v>
      </c>
      <c r="BE78" s="899"/>
      <c r="BF78" s="900" t="n">
        <f aca="false">(736*BE24)*(TradeSum!$I25-BF24)</f>
        <v>0</v>
      </c>
      <c r="BG78" s="901"/>
      <c r="BH78" s="902" t="n">
        <f aca="false">SUM(S78:BF78)</f>
        <v>0</v>
      </c>
    </row>
    <row r="79" customFormat="false" ht="12.75" hidden="false" customHeight="false" outlineLevel="0" collapsed="false">
      <c r="R79" s="512" t="n">
        <f aca="false">R55</f>
        <v>0</v>
      </c>
      <c r="S79" s="899"/>
      <c r="T79" s="900" t="n">
        <f aca="false">(736*S25)*(TradeSum!$I26-T25)</f>
        <v>0</v>
      </c>
      <c r="U79" s="899"/>
      <c r="V79" s="900" t="n">
        <f aca="false">(736*U25)*(TradeSum!$I26-V25)</f>
        <v>0</v>
      </c>
      <c r="W79" s="899"/>
      <c r="X79" s="900" t="n">
        <f aca="false">(736*W25)*(TradeSum!$I26-X25)</f>
        <v>0</v>
      </c>
      <c r="Y79" s="899"/>
      <c r="Z79" s="900" t="n">
        <f aca="false">(736*Y25)*(TradeSum!$I26-Z25)</f>
        <v>0</v>
      </c>
      <c r="AA79" s="899"/>
      <c r="AB79" s="900" t="n">
        <f aca="false">(736*AA25)*(TradeSum!$I26-AB25)</f>
        <v>0</v>
      </c>
      <c r="AC79" s="899"/>
      <c r="AD79" s="900" t="n">
        <f aca="false">(736*AC25)*(TradeSum!$I26-AD25)</f>
        <v>0</v>
      </c>
      <c r="AE79" s="899"/>
      <c r="AF79" s="900" t="n">
        <f aca="false">(736*AE25)*(TradeSum!$I26-AF25)</f>
        <v>0</v>
      </c>
      <c r="AG79" s="899"/>
      <c r="AH79" s="900" t="n">
        <f aca="false">(736*AG25)*(TradeSum!$I26-AH25)</f>
        <v>0</v>
      </c>
      <c r="AI79" s="899"/>
      <c r="AJ79" s="900" t="n">
        <f aca="false">(736*AI25)*(TradeSum!$I26-AJ25)</f>
        <v>0</v>
      </c>
      <c r="AK79" s="899"/>
      <c r="AL79" s="900" t="n">
        <f aca="false">(736*AK25)*(TradeSum!$I26-AL25)</f>
        <v>0</v>
      </c>
      <c r="AM79" s="899"/>
      <c r="AN79" s="900" t="n">
        <f aca="false">(736*AM25)*(TradeSum!$I26-AN25)</f>
        <v>0</v>
      </c>
      <c r="AO79" s="899"/>
      <c r="AP79" s="900" t="n">
        <f aca="false">(736*AO25)*(TradeSum!$I26-AP25)</f>
        <v>0</v>
      </c>
      <c r="AQ79" s="899"/>
      <c r="AR79" s="900" t="n">
        <f aca="false">(736*AQ25)*(TradeSum!$I26-AR25)</f>
        <v>0</v>
      </c>
      <c r="AS79" s="899"/>
      <c r="AT79" s="900" t="n">
        <f aca="false">(736*AS25)*(TradeSum!$I26-AT25)</f>
        <v>0</v>
      </c>
      <c r="AU79" s="899"/>
      <c r="AV79" s="900" t="n">
        <f aca="false">(736*AU25)*(TradeSum!$I26-AV25)</f>
        <v>0</v>
      </c>
      <c r="AW79" s="899"/>
      <c r="AX79" s="900" t="n">
        <f aca="false">(736*AW25)*(TradeSum!$I26-AX25)</f>
        <v>0</v>
      </c>
      <c r="AY79" s="899"/>
      <c r="AZ79" s="900" t="n">
        <f aca="false">(736*AY25)*(TradeSum!$I26-AZ25)</f>
        <v>0</v>
      </c>
      <c r="BA79" s="899"/>
      <c r="BB79" s="900" t="n">
        <f aca="false">(736*BA25)*(TradeSum!$I26-BB25)</f>
        <v>0</v>
      </c>
      <c r="BC79" s="899"/>
      <c r="BD79" s="900" t="n">
        <f aca="false">(736*BC25)*(TradeSum!$I26-BD25)</f>
        <v>0</v>
      </c>
      <c r="BE79" s="899"/>
      <c r="BF79" s="900" t="n">
        <f aca="false">(736*BE25)*(TradeSum!$I26-BF25)</f>
        <v>0</v>
      </c>
      <c r="BG79" s="901"/>
      <c r="BH79" s="902" t="n">
        <f aca="false">SUM(S79:BF79)</f>
        <v>0</v>
      </c>
    </row>
    <row r="80" customFormat="false" ht="12.75" hidden="false" customHeight="false" outlineLevel="0" collapsed="false">
      <c r="R80" s="512" t="n">
        <f aca="false">R56</f>
        <v>0</v>
      </c>
      <c r="S80" s="899"/>
      <c r="T80" s="900" t="n">
        <f aca="false">(736*S26)*(TradeSum!$I27-T26)</f>
        <v>0</v>
      </c>
      <c r="U80" s="899"/>
      <c r="V80" s="900" t="n">
        <f aca="false">(736*U26)*(TradeSum!$I27-V26)</f>
        <v>0</v>
      </c>
      <c r="W80" s="899"/>
      <c r="X80" s="900" t="n">
        <f aca="false">(736*W26)*(TradeSum!$I27-X26)</f>
        <v>0</v>
      </c>
      <c r="Y80" s="899"/>
      <c r="Z80" s="900" t="n">
        <f aca="false">(736*Y26)*(TradeSum!$I27-Z26)</f>
        <v>0</v>
      </c>
      <c r="AA80" s="899"/>
      <c r="AB80" s="900" t="n">
        <f aca="false">(736*AA26)*(TradeSum!$I27-AB26)</f>
        <v>0</v>
      </c>
      <c r="AC80" s="899"/>
      <c r="AD80" s="900" t="n">
        <f aca="false">(736*AC26)*(TradeSum!$I27-AD26)</f>
        <v>0</v>
      </c>
      <c r="AE80" s="899"/>
      <c r="AF80" s="900" t="n">
        <f aca="false">(736*AE26)*(TradeSum!$I27-AF26)</f>
        <v>0</v>
      </c>
      <c r="AG80" s="899"/>
      <c r="AH80" s="900" t="n">
        <f aca="false">(736*AG26)*(TradeSum!$I27-AH26)</f>
        <v>0</v>
      </c>
      <c r="AI80" s="899"/>
      <c r="AJ80" s="900" t="n">
        <f aca="false">(736*AI26)*(TradeSum!$I27-AJ26)</f>
        <v>0</v>
      </c>
      <c r="AK80" s="899"/>
      <c r="AL80" s="900" t="n">
        <f aca="false">(736*AK26)*(TradeSum!$I27-AL26)</f>
        <v>0</v>
      </c>
      <c r="AM80" s="899"/>
      <c r="AN80" s="900" t="n">
        <f aca="false">(736*AM26)*(TradeSum!$I27-AN26)</f>
        <v>0</v>
      </c>
      <c r="AO80" s="899"/>
      <c r="AP80" s="900" t="n">
        <f aca="false">(736*AO26)*(TradeSum!$I27-AP26)</f>
        <v>0</v>
      </c>
      <c r="AQ80" s="899"/>
      <c r="AR80" s="900" t="n">
        <f aca="false">(736*AQ26)*(TradeSum!$I27-AR26)</f>
        <v>0</v>
      </c>
      <c r="AS80" s="899"/>
      <c r="AT80" s="900" t="n">
        <f aca="false">(736*AS26)*(TradeSum!$I27-AT26)</f>
        <v>0</v>
      </c>
      <c r="AU80" s="899"/>
      <c r="AV80" s="900" t="n">
        <f aca="false">(736*AU26)*(TradeSum!$I27-AV26)</f>
        <v>0</v>
      </c>
      <c r="AW80" s="899"/>
      <c r="AX80" s="900" t="n">
        <f aca="false">(736*AW26)*(TradeSum!$I27-AX26)</f>
        <v>0</v>
      </c>
      <c r="AY80" s="899"/>
      <c r="AZ80" s="900" t="n">
        <f aca="false">(736*AY26)*(TradeSum!$I27-AZ26)</f>
        <v>0</v>
      </c>
      <c r="BA80" s="899"/>
      <c r="BB80" s="900" t="n">
        <f aca="false">(736*BA26)*(TradeSum!$I27-BB26)</f>
        <v>0</v>
      </c>
      <c r="BC80" s="899"/>
      <c r="BD80" s="900" t="n">
        <f aca="false">(736*BC26)*(TradeSum!$I27-BD26)</f>
        <v>0</v>
      </c>
      <c r="BE80" s="899"/>
      <c r="BF80" s="900" t="n">
        <f aca="false">(736*BE26)*(TradeSum!$I27-BF26)</f>
        <v>0</v>
      </c>
      <c r="BG80" s="901"/>
      <c r="BH80" s="902" t="n">
        <f aca="false">SUM(S80:BF80)</f>
        <v>0</v>
      </c>
    </row>
    <row r="81" customFormat="false" ht="12.75" hidden="false" customHeight="false" outlineLevel="0" collapsed="false">
      <c r="R81" s="512" t="n">
        <f aca="false">R57</f>
        <v>0</v>
      </c>
      <c r="S81" s="899"/>
      <c r="T81" s="900" t="n">
        <f aca="false">(736*S27)*(TradeSum!$I28-T27)</f>
        <v>0</v>
      </c>
      <c r="U81" s="899"/>
      <c r="V81" s="900" t="n">
        <f aca="false">(736*U27)*(TradeSum!$I28-V27)</f>
        <v>0</v>
      </c>
      <c r="W81" s="899"/>
      <c r="X81" s="900" t="n">
        <f aca="false">(736*W27)*(TradeSum!$I28-X27)</f>
        <v>0</v>
      </c>
      <c r="Y81" s="899"/>
      <c r="Z81" s="900" t="n">
        <f aca="false">(736*Y27)*(TradeSum!$I28-Z27)</f>
        <v>0</v>
      </c>
      <c r="AA81" s="899"/>
      <c r="AB81" s="900" t="n">
        <f aca="false">(736*AA27)*(TradeSum!$I28-AB27)</f>
        <v>0</v>
      </c>
      <c r="AC81" s="899"/>
      <c r="AD81" s="900" t="n">
        <f aca="false">(736*AC27)*(TradeSum!$I28-AD27)</f>
        <v>0</v>
      </c>
      <c r="AE81" s="899"/>
      <c r="AF81" s="900" t="n">
        <f aca="false">(736*AE27)*(TradeSum!$I28-AF27)</f>
        <v>0</v>
      </c>
      <c r="AG81" s="899"/>
      <c r="AH81" s="900" t="n">
        <f aca="false">(736*AG27)*(TradeSum!$I28-AH27)</f>
        <v>0</v>
      </c>
      <c r="AI81" s="899"/>
      <c r="AJ81" s="900" t="n">
        <f aca="false">(736*AI27)*(TradeSum!$I28-AJ27)</f>
        <v>0</v>
      </c>
      <c r="AK81" s="899"/>
      <c r="AL81" s="900" t="n">
        <f aca="false">(736*AK27)*(TradeSum!$I28-AL27)</f>
        <v>0</v>
      </c>
      <c r="AM81" s="899"/>
      <c r="AN81" s="900" t="n">
        <f aca="false">(736*AM27)*(TradeSum!$I28-AN27)</f>
        <v>0</v>
      </c>
      <c r="AO81" s="899"/>
      <c r="AP81" s="900" t="n">
        <f aca="false">(736*AO27)*(TradeSum!$I28-AP27)</f>
        <v>0</v>
      </c>
      <c r="AQ81" s="899"/>
      <c r="AR81" s="900" t="n">
        <f aca="false">(736*AQ27)*(TradeSum!$I28-AR27)</f>
        <v>0</v>
      </c>
      <c r="AS81" s="899"/>
      <c r="AT81" s="900" t="n">
        <f aca="false">(736*AS27)*(TradeSum!$I28-AT27)</f>
        <v>0</v>
      </c>
      <c r="AU81" s="899"/>
      <c r="AV81" s="900" t="n">
        <f aca="false">(736*AU27)*(TradeSum!$I28-AV27)</f>
        <v>0</v>
      </c>
      <c r="AW81" s="899"/>
      <c r="AX81" s="900" t="n">
        <f aca="false">(736*AW27)*(TradeSum!$I28-AX27)</f>
        <v>0</v>
      </c>
      <c r="AY81" s="899"/>
      <c r="AZ81" s="900" t="n">
        <f aca="false">(736*AY27)*(TradeSum!$I28-AZ27)</f>
        <v>0</v>
      </c>
      <c r="BA81" s="899"/>
      <c r="BB81" s="900" t="n">
        <f aca="false">(736*BA27)*(TradeSum!$I28-BB27)</f>
        <v>0</v>
      </c>
      <c r="BC81" s="899"/>
      <c r="BD81" s="900" t="n">
        <f aca="false">(736*BC27)*(TradeSum!$I28-BD27)</f>
        <v>0</v>
      </c>
      <c r="BE81" s="899"/>
      <c r="BF81" s="900" t="n">
        <f aca="false">(736*BE27)*(TradeSum!$I28-BF27)</f>
        <v>0</v>
      </c>
      <c r="BG81" s="901"/>
      <c r="BH81" s="902" t="n">
        <f aca="false">SUM(S81:BF81)</f>
        <v>0</v>
      </c>
    </row>
    <row r="82" customFormat="false" ht="12.75" hidden="false" customHeight="false" outlineLevel="0" collapsed="false">
      <c r="R82" s="512" t="n">
        <f aca="false">R58</f>
        <v>0</v>
      </c>
      <c r="S82" s="899"/>
      <c r="T82" s="900" t="n">
        <f aca="false">(736*S28)*(TradeSum!$I29-T28)</f>
        <v>0</v>
      </c>
      <c r="U82" s="899"/>
      <c r="V82" s="900" t="n">
        <f aca="false">(736*U28)*(TradeSum!$I29-V28)</f>
        <v>0</v>
      </c>
      <c r="W82" s="899"/>
      <c r="X82" s="900" t="n">
        <f aca="false">(736*W28)*(TradeSum!$I29-X28)</f>
        <v>0</v>
      </c>
      <c r="Y82" s="899"/>
      <c r="Z82" s="900" t="n">
        <f aca="false">(736*Y28)*(TradeSum!$I29-Z28)</f>
        <v>0</v>
      </c>
      <c r="AA82" s="899"/>
      <c r="AB82" s="900" t="n">
        <f aca="false">(736*AA28)*(TradeSum!$I29-AB28)</f>
        <v>0</v>
      </c>
      <c r="AC82" s="899"/>
      <c r="AD82" s="900" t="n">
        <f aca="false">(736*AC28)*(TradeSum!$I29-AD28)</f>
        <v>0</v>
      </c>
      <c r="AE82" s="899"/>
      <c r="AF82" s="900" t="n">
        <f aca="false">(736*AE28)*(TradeSum!$I29-AF28)</f>
        <v>0</v>
      </c>
      <c r="AG82" s="899"/>
      <c r="AH82" s="900" t="n">
        <f aca="false">(736*AG28)*(TradeSum!$I29-AH28)</f>
        <v>0</v>
      </c>
      <c r="AI82" s="899"/>
      <c r="AJ82" s="900" t="n">
        <f aca="false">(736*AI28)*(TradeSum!$I29-AJ28)</f>
        <v>0</v>
      </c>
      <c r="AK82" s="899"/>
      <c r="AL82" s="900" t="n">
        <f aca="false">(736*AK28)*(TradeSum!$I29-AL28)</f>
        <v>0</v>
      </c>
      <c r="AM82" s="899"/>
      <c r="AN82" s="900" t="n">
        <f aca="false">(736*AM28)*(TradeSum!$I29-AN28)</f>
        <v>0</v>
      </c>
      <c r="AO82" s="899"/>
      <c r="AP82" s="900" t="n">
        <f aca="false">(736*AO28)*(TradeSum!$I29-AP28)</f>
        <v>0</v>
      </c>
      <c r="AQ82" s="899"/>
      <c r="AR82" s="900" t="n">
        <f aca="false">(736*AQ28)*(TradeSum!$I29-AR28)</f>
        <v>0</v>
      </c>
      <c r="AS82" s="899"/>
      <c r="AT82" s="900" t="n">
        <f aca="false">(736*AS28)*(TradeSum!$I29-AT28)</f>
        <v>0</v>
      </c>
      <c r="AU82" s="899"/>
      <c r="AV82" s="900" t="n">
        <f aca="false">(736*AU28)*(TradeSum!$I29-AV28)</f>
        <v>0</v>
      </c>
      <c r="AW82" s="899"/>
      <c r="AX82" s="900" t="n">
        <f aca="false">(736*AW28)*(TradeSum!$I29-AX28)</f>
        <v>0</v>
      </c>
      <c r="AY82" s="899"/>
      <c r="AZ82" s="900" t="n">
        <f aca="false">(736*AY28)*(TradeSum!$I29-AZ28)</f>
        <v>0</v>
      </c>
      <c r="BA82" s="899"/>
      <c r="BB82" s="900" t="n">
        <f aca="false">(736*BA28)*(TradeSum!$I29-BB28)</f>
        <v>0</v>
      </c>
      <c r="BC82" s="899"/>
      <c r="BD82" s="900" t="n">
        <f aca="false">(736*BC28)*(TradeSum!$I29-BD28)</f>
        <v>0</v>
      </c>
      <c r="BE82" s="899"/>
      <c r="BF82" s="900" t="n">
        <f aca="false">(736*BE28)*(TradeSum!$I29-BF28)</f>
        <v>0</v>
      </c>
      <c r="BG82" s="901"/>
      <c r="BH82" s="902" t="n">
        <f aca="false">SUM(S82:BF82)</f>
        <v>0</v>
      </c>
    </row>
  </sheetData>
  <mergeCells count="60"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S33:T33"/>
    <mergeCell ref="U33:V33"/>
    <mergeCell ref="W33:X33"/>
    <mergeCell ref="Y33:Z33"/>
    <mergeCell ref="AA33:AB33"/>
    <mergeCell ref="AC33:AD33"/>
    <mergeCell ref="AE33:AF33"/>
    <mergeCell ref="AG33:AH33"/>
    <mergeCell ref="AI33:AJ33"/>
    <mergeCell ref="AK33:AL33"/>
    <mergeCell ref="AM33:AN33"/>
    <mergeCell ref="AO33:AP33"/>
    <mergeCell ref="AQ33:AR33"/>
    <mergeCell ref="AS33:AT33"/>
    <mergeCell ref="AU33:AV33"/>
    <mergeCell ref="AW33:AX33"/>
    <mergeCell ref="AY33:AZ33"/>
    <mergeCell ref="BA33:BB33"/>
    <mergeCell ref="BC33:BD33"/>
    <mergeCell ref="BE33:BF33"/>
    <mergeCell ref="S63:T63"/>
    <mergeCell ref="U63:V63"/>
    <mergeCell ref="W63:X63"/>
    <mergeCell ref="Y63:Z63"/>
    <mergeCell ref="AA63:AB63"/>
    <mergeCell ref="AC63:AD63"/>
    <mergeCell ref="AE63:AF63"/>
    <mergeCell ref="AG63:AH63"/>
    <mergeCell ref="AI63:AJ63"/>
    <mergeCell ref="AK63:AL63"/>
    <mergeCell ref="AM63:AN63"/>
    <mergeCell ref="AO63:AP63"/>
    <mergeCell ref="AQ63:AR63"/>
    <mergeCell ref="AS63:AT63"/>
    <mergeCell ref="AU63:AV63"/>
    <mergeCell ref="AW63:AX63"/>
    <mergeCell ref="AY63:AZ63"/>
    <mergeCell ref="BA63:BB63"/>
    <mergeCell ref="BC63:BD63"/>
    <mergeCell ref="BE63:BF6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3" activeCellId="0" sqref="D13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439" width="19.14"/>
    <col collapsed="false" customWidth="true" hidden="false" outlineLevel="0" max="2" min="2" style="439" width="14.28"/>
    <col collapsed="false" customWidth="true" hidden="false" outlineLevel="0" max="3" min="3" style="439" width="14.85"/>
    <col collapsed="false" customWidth="true" hidden="false" outlineLevel="0" max="4" min="4" style="439" width="12.7"/>
    <col collapsed="false" customWidth="true" hidden="false" outlineLevel="0" max="5" min="5" style="439" width="10.99"/>
    <col collapsed="false" customWidth="true" hidden="false" outlineLevel="0" max="6" min="6" style="439" width="14.41"/>
    <col collapsed="false" customWidth="true" hidden="false" outlineLevel="0" max="7" min="7" style="439" width="18.41"/>
    <col collapsed="false" customWidth="true" hidden="false" outlineLevel="0" max="8" min="8" style="439" width="12.14"/>
    <col collapsed="false" customWidth="true" hidden="false" outlineLevel="0" max="11" min="9" style="439" width="9.14"/>
    <col collapsed="false" customWidth="true" hidden="false" outlineLevel="0" max="12" min="12" style="439" width="12.28"/>
    <col collapsed="false" customWidth="true" hidden="false" outlineLevel="0" max="13" min="13" style="439" width="9.14"/>
    <col collapsed="false" customWidth="true" hidden="false" outlineLevel="0" max="14" min="14" style="439" width="9.99"/>
    <col collapsed="false" customWidth="true" hidden="false" outlineLevel="0" max="15" min="15" style="439" width="9.14"/>
    <col collapsed="false" customWidth="true" hidden="false" outlineLevel="0" max="16" min="16" style="439" width="10.28"/>
    <col collapsed="false" customWidth="true" hidden="false" outlineLevel="0" max="17" min="17" style="439" width="9.14"/>
    <col collapsed="false" customWidth="true" hidden="false" outlineLevel="0" max="18" min="18" style="439" width="10.85"/>
    <col collapsed="false" customWidth="true" hidden="false" outlineLevel="0" max="53" min="19" style="439" width="9.14"/>
    <col collapsed="false" customWidth="false" hidden="true" outlineLevel="0" max="56" min="54" style="439" width="9.06"/>
    <col collapsed="false" customWidth="true" hidden="true" outlineLevel="0" max="58" min="57" style="439" width="15.56"/>
    <col collapsed="false" customWidth="true" hidden="true" outlineLevel="0" max="59" min="59" style="439" width="6.99"/>
    <col collapsed="false" customWidth="true" hidden="true" outlineLevel="0" max="60" min="60" style="439" width="24.56"/>
    <col collapsed="false" customWidth="true" hidden="true" outlineLevel="0" max="61" min="61" style="439" width="11.99"/>
    <col collapsed="false" customWidth="false" hidden="true" outlineLevel="0" max="62" min="62" style="439" width="9.06"/>
    <col collapsed="false" customWidth="true" hidden="true" outlineLevel="0" max="63" min="63" style="439" width="15.99"/>
    <col collapsed="false" customWidth="false" hidden="true" outlineLevel="0" max="257" min="64" style="439" width="9.06"/>
    <col collapsed="false" customWidth="false" hidden="true" outlineLevel="0" max="16384" min="258" style="0" width="9.06"/>
  </cols>
  <sheetData>
    <row r="1" customFormat="false" ht="20.25" hidden="false" customHeight="false" outlineLevel="0" collapsed="false">
      <c r="A1" s="441" t="s">
        <v>389</v>
      </c>
    </row>
    <row r="2" customFormat="false" ht="21" hidden="false" customHeight="false" outlineLevel="0" collapsed="false">
      <c r="A2" s="441"/>
    </row>
    <row r="3" customFormat="false" ht="18.75" hidden="false" customHeight="false" outlineLevel="0" collapsed="false">
      <c r="A3" s="445" t="s">
        <v>252</v>
      </c>
      <c r="B3" s="903" t="n">
        <f aca="false">TradeSum!$B$2</f>
        <v>37141</v>
      </c>
      <c r="E3" s="445" t="s">
        <v>390</v>
      </c>
      <c r="F3" s="904"/>
      <c r="G3" s="905" t="n">
        <f aca="false">SUM(H8:H46)</f>
        <v>0</v>
      </c>
      <c r="H3" s="0"/>
      <c r="BB3" s="906"/>
    </row>
    <row r="4" customFormat="false" ht="12.75" hidden="false" customHeight="false" outlineLevel="0" collapsed="false"/>
    <row r="5" customFormat="false" ht="13.5" hidden="false" customHeight="false" outlineLevel="0" collapsed="false"/>
    <row r="6" customFormat="false" ht="12.75" hidden="false" customHeight="false" outlineLevel="0" collapsed="false">
      <c r="A6" s="68"/>
      <c r="B6" s="68"/>
      <c r="C6" s="68" t="s">
        <v>391</v>
      </c>
      <c r="D6" s="68" t="s">
        <v>11</v>
      </c>
      <c r="E6" s="68" t="s">
        <v>392</v>
      </c>
      <c r="F6" s="68" t="s">
        <v>10</v>
      </c>
      <c r="G6" s="68" t="s">
        <v>10</v>
      </c>
      <c r="H6" s="68" t="s">
        <v>156</v>
      </c>
      <c r="J6" s="481"/>
      <c r="K6" s="68" t="n">
        <v>1</v>
      </c>
      <c r="L6" s="68"/>
      <c r="M6" s="68" t="n">
        <v>2</v>
      </c>
      <c r="N6" s="68"/>
      <c r="O6" s="68" t="n">
        <v>3</v>
      </c>
      <c r="P6" s="68"/>
      <c r="Q6" s="68" t="n">
        <v>4</v>
      </c>
      <c r="R6" s="68"/>
      <c r="S6" s="68" t="n">
        <v>5</v>
      </c>
      <c r="T6" s="68"/>
      <c r="U6" s="68" t="n">
        <v>6</v>
      </c>
      <c r="V6" s="68"/>
      <c r="W6" s="68" t="n">
        <v>7</v>
      </c>
      <c r="X6" s="68"/>
      <c r="Y6" s="68" t="n">
        <v>8</v>
      </c>
      <c r="Z6" s="68"/>
      <c r="AA6" s="68" t="n">
        <v>9</v>
      </c>
      <c r="AB6" s="68"/>
      <c r="AC6" s="68" t="n">
        <v>10</v>
      </c>
      <c r="AD6" s="68"/>
      <c r="AE6" s="68" t="n">
        <v>11</v>
      </c>
      <c r="AF6" s="68"/>
      <c r="AG6" s="68" t="n">
        <v>12</v>
      </c>
      <c r="AH6" s="68"/>
      <c r="AI6" s="68" t="n">
        <v>13</v>
      </c>
      <c r="AJ6" s="68"/>
      <c r="AK6" s="68" t="n">
        <v>14</v>
      </c>
      <c r="AL6" s="68"/>
      <c r="AM6" s="68" t="n">
        <v>15</v>
      </c>
      <c r="AN6" s="68"/>
      <c r="AO6" s="68" t="n">
        <v>16</v>
      </c>
      <c r="AP6" s="68"/>
      <c r="AQ6" s="68" t="n">
        <v>17</v>
      </c>
      <c r="AR6" s="68"/>
      <c r="AS6" s="68" t="n">
        <v>18</v>
      </c>
      <c r="AT6" s="68"/>
      <c r="AU6" s="68" t="n">
        <v>19</v>
      </c>
      <c r="AV6" s="68"/>
      <c r="AW6" s="68" t="n">
        <v>20</v>
      </c>
      <c r="AX6" s="68"/>
      <c r="AY6" s="482" t="s">
        <v>10</v>
      </c>
      <c r="AZ6" s="483" t="s">
        <v>267</v>
      </c>
      <c r="BC6" s="442" t="s">
        <v>268</v>
      </c>
      <c r="BD6" s="442"/>
      <c r="BE6" s="442"/>
      <c r="BF6" s="442" t="s">
        <v>268</v>
      </c>
      <c r="BG6" s="442"/>
      <c r="BH6" s="442"/>
      <c r="BI6" s="442"/>
      <c r="BJ6" s="442"/>
      <c r="BK6" s="442"/>
      <c r="BL6" s="450"/>
    </row>
    <row r="7" customFormat="false" ht="13.5" hidden="false" customHeight="false" outlineLevel="0" collapsed="false">
      <c r="A7" s="82" t="s">
        <v>393</v>
      </c>
      <c r="B7" s="82" t="s">
        <v>79</v>
      </c>
      <c r="C7" s="82" t="s">
        <v>394</v>
      </c>
      <c r="D7" s="82" t="s">
        <v>275</v>
      </c>
      <c r="E7" s="82" t="s">
        <v>275</v>
      </c>
      <c r="F7" s="82" t="s">
        <v>279</v>
      </c>
      <c r="G7" s="82" t="s">
        <v>395</v>
      </c>
      <c r="H7" s="82" t="s">
        <v>396</v>
      </c>
      <c r="J7" s="82" t="s">
        <v>79</v>
      </c>
      <c r="K7" s="493" t="s">
        <v>278</v>
      </c>
      <c r="L7" s="486" t="s">
        <v>275</v>
      </c>
      <c r="M7" s="493" t="s">
        <v>278</v>
      </c>
      <c r="N7" s="486" t="s">
        <v>275</v>
      </c>
      <c r="O7" s="493" t="s">
        <v>278</v>
      </c>
      <c r="P7" s="486" t="s">
        <v>275</v>
      </c>
      <c r="Q7" s="493" t="s">
        <v>278</v>
      </c>
      <c r="R7" s="486" t="s">
        <v>275</v>
      </c>
      <c r="S7" s="493" t="s">
        <v>278</v>
      </c>
      <c r="T7" s="486" t="s">
        <v>275</v>
      </c>
      <c r="U7" s="493" t="s">
        <v>278</v>
      </c>
      <c r="V7" s="486" t="s">
        <v>275</v>
      </c>
      <c r="W7" s="493" t="s">
        <v>278</v>
      </c>
      <c r="X7" s="486" t="s">
        <v>275</v>
      </c>
      <c r="Y7" s="493" t="s">
        <v>278</v>
      </c>
      <c r="Z7" s="486" t="s">
        <v>275</v>
      </c>
      <c r="AA7" s="493" t="s">
        <v>278</v>
      </c>
      <c r="AB7" s="486" t="s">
        <v>275</v>
      </c>
      <c r="AC7" s="493" t="s">
        <v>278</v>
      </c>
      <c r="AD7" s="486" t="s">
        <v>275</v>
      </c>
      <c r="AE7" s="493" t="s">
        <v>278</v>
      </c>
      <c r="AF7" s="486" t="s">
        <v>275</v>
      </c>
      <c r="AG7" s="493" t="s">
        <v>278</v>
      </c>
      <c r="AH7" s="486" t="s">
        <v>275</v>
      </c>
      <c r="AI7" s="493" t="s">
        <v>278</v>
      </c>
      <c r="AJ7" s="486" t="s">
        <v>275</v>
      </c>
      <c r="AK7" s="493" t="s">
        <v>278</v>
      </c>
      <c r="AL7" s="486" t="s">
        <v>275</v>
      </c>
      <c r="AM7" s="493" t="s">
        <v>278</v>
      </c>
      <c r="AN7" s="486" t="s">
        <v>275</v>
      </c>
      <c r="AO7" s="493" t="s">
        <v>278</v>
      </c>
      <c r="AP7" s="486" t="s">
        <v>275</v>
      </c>
      <c r="AQ7" s="493" t="s">
        <v>278</v>
      </c>
      <c r="AR7" s="486" t="s">
        <v>275</v>
      </c>
      <c r="AS7" s="493" t="s">
        <v>278</v>
      </c>
      <c r="AT7" s="486" t="s">
        <v>275</v>
      </c>
      <c r="AU7" s="493" t="s">
        <v>278</v>
      </c>
      <c r="AV7" s="486" t="s">
        <v>275</v>
      </c>
      <c r="AW7" s="493" t="s">
        <v>278</v>
      </c>
      <c r="AX7" s="486" t="s">
        <v>275</v>
      </c>
      <c r="AY7" s="494" t="s">
        <v>278</v>
      </c>
      <c r="AZ7" s="495" t="s">
        <v>275</v>
      </c>
      <c r="BB7" s="0"/>
      <c r="BC7" s="754" t="s">
        <v>278</v>
      </c>
      <c r="BD7" s="442" t="s">
        <v>79</v>
      </c>
      <c r="BE7" s="442" t="s">
        <v>397</v>
      </c>
      <c r="BF7" s="442" t="s">
        <v>282</v>
      </c>
      <c r="BG7" s="754"/>
      <c r="BH7" s="442" t="s">
        <v>398</v>
      </c>
      <c r="BI7" s="442"/>
      <c r="BJ7" s="442" t="s">
        <v>393</v>
      </c>
      <c r="BK7" s="442" t="s">
        <v>399</v>
      </c>
      <c r="BL7" s="450"/>
    </row>
    <row r="8" customFormat="false" ht="15.75" hidden="false" customHeight="false" outlineLevel="0" collapsed="false">
      <c r="A8" s="907"/>
      <c r="B8" s="908"/>
      <c r="C8" s="909"/>
      <c r="D8" s="910"/>
      <c r="E8" s="911" t="n">
        <f aca="false">AZ8</f>
        <v>0</v>
      </c>
      <c r="F8" s="912" t="n">
        <f aca="false">AY8</f>
        <v>0</v>
      </c>
      <c r="G8" s="912" t="n">
        <f aca="false">F8*BI8</f>
        <v>0</v>
      </c>
      <c r="H8" s="913" t="n">
        <f aca="false">(((D8-L8)*K8+(D8-N8)*M8+(D8-P8)*O8+(D8-R8)*Q8+(D8-T8)*S8+(D8-V8)*U8+(D8-X8)*W8+(D8-Z8)*Y8+(D8-AB8)*AA8+(D8-AD8)*AC8+(D8-AF8)*AE8+(D8-AH8)*AG8+(D8-AJ8)*AI8+(D8-AL8)*AK8+(D8-AN8)*AM8+(D8-AP8)*AO8+(D8-AR8)*AQ8+(D8-AT8)*AS8+(D8-AV8)*AU8+(D8-AX8)*AW8)*BI8)</f>
        <v>0</v>
      </c>
      <c r="J8" s="512" t="n">
        <f aca="false">B8</f>
        <v>0</v>
      </c>
      <c r="K8" s="520"/>
      <c r="L8" s="517"/>
      <c r="M8" s="520"/>
      <c r="N8" s="517"/>
      <c r="O8" s="520"/>
      <c r="P8" s="517"/>
      <c r="Q8" s="520"/>
      <c r="R8" s="517"/>
      <c r="S8" s="520"/>
      <c r="T8" s="517"/>
      <c r="U8" s="520"/>
      <c r="V8" s="517"/>
      <c r="W8" s="520"/>
      <c r="X8" s="517"/>
      <c r="Y8" s="520"/>
      <c r="Z8" s="517"/>
      <c r="AA8" s="520"/>
      <c r="AB8" s="517"/>
      <c r="AC8" s="520"/>
      <c r="AD8" s="517"/>
      <c r="AE8" s="520"/>
      <c r="AF8" s="517"/>
      <c r="AG8" s="520"/>
      <c r="AH8" s="517"/>
      <c r="AI8" s="520"/>
      <c r="AJ8" s="517"/>
      <c r="AK8" s="520"/>
      <c r="AL8" s="517"/>
      <c r="AM8" s="520"/>
      <c r="AN8" s="517"/>
      <c r="AO8" s="520"/>
      <c r="AP8" s="517"/>
      <c r="AQ8" s="520"/>
      <c r="AR8" s="517"/>
      <c r="AS8" s="520"/>
      <c r="AT8" s="517"/>
      <c r="AU8" s="521"/>
      <c r="AV8" s="522"/>
      <c r="AW8" s="521"/>
      <c r="AX8" s="522"/>
      <c r="AY8" s="556" t="n">
        <f aca="false">K8+M8+O8+Q8+S8+U8+W8+Y8+AA8+AC8+AE8+AG8+AI8+AK8+AM8+AO8+AQ8+AS8+AU8+AW8</f>
        <v>0</v>
      </c>
      <c r="AZ8" s="524" t="n">
        <f aca="false">IF(AND(AY8=0,BC8=0),0,(ABS(K8)*L8+ABS(M8)*N8+ABS(O8)*P8+ABS(Q8)*R8+ABS(S8)*T8+ABS(U8)*V8+ABS(W8)*X8+ABS(Y8)*Z8+ABS(AA8)*AB8+ABS(AC8)*AD8+ABS(AE8)*AF8+ABS(AG8)*AH8+ABS(AI8)*AJ8+ABS(AK8)*AL8+ABS(AM8)*AN8+ABS(AO8)*AP8+ABS(AQ8)*AR8+ABS(AS8)*AT8+ABS(AU8)*AV8+ABS(AW8)*AX8)/BC8)</f>
        <v>0</v>
      </c>
      <c r="BB8" s="0"/>
      <c r="BC8" s="222" t="n">
        <f aca="false">ABS(K8)+ABS(M8)+ABS(O8)+ABS(Q8)+ABS(S8)+ABS(U8)+ABS(W8)+ABS(Y8)+ABS(AA8)+ABS(AC8)+ABS(AE8)+ABS(AG8)+ABS(AI8)+ABS(AK8)+ABS(AM8)+ABS(AO8)+ABS(AQ8)+ABS(AS8)+ABS(AU8)+ABS(AW8)</f>
        <v>0</v>
      </c>
      <c r="BD8" s="525" t="n">
        <f aca="false">TradeSum!CB12</f>
        <v>37195</v>
      </c>
      <c r="BE8" s="914" t="n">
        <f aca="false">TradeSum!CD12*TradeSum!CE12</f>
        <v>365.260091479206</v>
      </c>
      <c r="BF8" s="648" t="e">
        <f aca="false">VLOOKUP(J8,TradeSum!$CB$12:$CD$47,3)*BC8</f>
        <v>#N/A</v>
      </c>
      <c r="BG8" s="915" t="n">
        <f aca="false">IF(ISERROR(BF8),0,BF8)</f>
        <v>0</v>
      </c>
      <c r="BH8" s="914" t="e">
        <f aca="false">VLOOKUP(J8,$BD$8:$BE$43,2)</f>
        <v>#N/A</v>
      </c>
      <c r="BI8" s="914" t="n">
        <f aca="false">IF(ISERROR(BH8),0,BH8)</f>
        <v>0</v>
      </c>
      <c r="BJ8" s="222" t="n">
        <v>11</v>
      </c>
      <c r="BK8" s="222" t="n">
        <v>3</v>
      </c>
    </row>
    <row r="9" customFormat="false" ht="15.75" hidden="false" customHeight="false" outlineLevel="0" collapsed="false">
      <c r="A9" s="916"/>
      <c r="B9" s="917"/>
      <c r="C9" s="918"/>
      <c r="D9" s="919"/>
      <c r="E9" s="920" t="n">
        <f aca="false">AZ9</f>
        <v>0</v>
      </c>
      <c r="F9" s="921" t="n">
        <f aca="false">AY9</f>
        <v>0</v>
      </c>
      <c r="G9" s="921" t="n">
        <f aca="false">F9*BI9</f>
        <v>0</v>
      </c>
      <c r="H9" s="922" t="n">
        <f aca="false">(((D9-L9)*K9+(D9-N9)*M9+(D9-P9)*O9+(D9-R9)*Q9+(D9-T9)*S9+(D9-V9)*U9+(D9-X9)*W9+(D9-Z9)*Y9+(D9-AB9)*AA9+(D9-AD9)*AC9+(D9-AF9)*AE9+(D9-AH9)*AG9+(D9-AJ9)*AI9+(D9-AL9)*AK9+(D9-AN9)*AM9+(D9-AP9)*AO9+(D9-AR9)*AQ9+(D9-AT9)*AS9+(D9-AV9)*AU9+(D9-AX9)*AW9)*BI9)</f>
        <v>0</v>
      </c>
      <c r="J9" s="512" t="n">
        <f aca="false">B9</f>
        <v>0</v>
      </c>
      <c r="K9" s="520"/>
      <c r="L9" s="517"/>
      <c r="M9" s="520"/>
      <c r="N9" s="517"/>
      <c r="O9" s="520"/>
      <c r="P9" s="517"/>
      <c r="Q9" s="520"/>
      <c r="R9" s="517"/>
      <c r="S9" s="520"/>
      <c r="T9" s="517"/>
      <c r="U9" s="520"/>
      <c r="V9" s="517"/>
      <c r="W9" s="520"/>
      <c r="X9" s="517"/>
      <c r="Y9" s="520"/>
      <c r="Z9" s="517"/>
      <c r="AA9" s="520"/>
      <c r="AB9" s="517"/>
      <c r="AC9" s="520"/>
      <c r="AD9" s="517"/>
      <c r="AE9" s="520"/>
      <c r="AF9" s="517"/>
      <c r="AG9" s="520"/>
      <c r="AH9" s="517"/>
      <c r="AI9" s="520"/>
      <c r="AJ9" s="517"/>
      <c r="AK9" s="520"/>
      <c r="AL9" s="517"/>
      <c r="AM9" s="520"/>
      <c r="AN9" s="517"/>
      <c r="AO9" s="520"/>
      <c r="AP9" s="517"/>
      <c r="AQ9" s="520"/>
      <c r="AR9" s="517"/>
      <c r="AS9" s="520"/>
      <c r="AT9" s="517"/>
      <c r="AU9" s="520"/>
      <c r="AV9" s="517"/>
      <c r="AW9" s="520"/>
      <c r="AX9" s="517"/>
      <c r="AY9" s="556" t="n">
        <f aca="false">K9+M9+O9+Q9+S9+U9+W9+Y9+AA9+AC9+AE9+AG9+AI9+AK9+AM9+AO9+AQ9+AS9+AU9+AW9</f>
        <v>0</v>
      </c>
      <c r="AZ9" s="524" t="n">
        <f aca="false">IF(AND(AY9=0,BC9=0),0,(ABS(K9)*L9+ABS(M9)*N9+ABS(O9)*P9+ABS(Q9)*R9+ABS(S9)*T9+ABS(U9)*V9+ABS(W9)*X9+ABS(Y9)*Z9+ABS(AA9)*AB9+ABS(AC9)*AD9+ABS(AE9)*AF9+ABS(AG9)*AH9+ABS(AI9)*AJ9+ABS(AK9)*AL9+ABS(AM9)*AN9+ABS(AO9)*AP9+ABS(AQ9)*AR9+ABS(AS9)*AT9+ABS(AU9)*AV9+ABS(AW9)*AX9)/BC9)</f>
        <v>0</v>
      </c>
      <c r="BB9" s="0"/>
      <c r="BC9" s="222" t="n">
        <f aca="false">ABS(K9)+ABS(M9)+ABS(O9)+ABS(Q9)+ABS(S9)+ABS(U9)+ABS(W9)+ABS(Y9)+ABS(AA9)+ABS(AC9)+ABS(AE9)+ABS(AG9)+ABS(AI9)+ABS(AK9)+ABS(AM9)+ABS(AO9)+ABS(AQ9)+ABS(AS9)+ABS(AU9)+ABS(AW9)</f>
        <v>0</v>
      </c>
      <c r="BD9" s="525" t="n">
        <f aca="false">TradeSum!CB13</f>
        <v>37196</v>
      </c>
      <c r="BE9" s="914" t="n">
        <f aca="false">TradeSum!CD13*TradeSum!CE13</f>
        <v>332.537484991688</v>
      </c>
      <c r="BF9" s="648" t="e">
        <f aca="false">VLOOKUP(J9,TradeSum!$CB$12:$CD$47,3)*BC9</f>
        <v>#N/A</v>
      </c>
      <c r="BG9" s="915" t="n">
        <f aca="false">IF(ISERROR(BF9),0,BF9)</f>
        <v>0</v>
      </c>
      <c r="BH9" s="914" t="e">
        <f aca="false">VLOOKUP(J9,$BD$8:$BE$43,2)</f>
        <v>#N/A</v>
      </c>
      <c r="BI9" s="914" t="n">
        <f aca="false">IF(ISERROR(BH9),0,BH9)</f>
        <v>0</v>
      </c>
      <c r="BJ9" s="222" t="n">
        <v>11</v>
      </c>
      <c r="BK9" s="222" t="n">
        <v>3</v>
      </c>
    </row>
    <row r="10" customFormat="false" ht="15.75" hidden="false" customHeight="false" outlineLevel="0" collapsed="false">
      <c r="A10" s="916"/>
      <c r="B10" s="917"/>
      <c r="C10" s="918"/>
      <c r="D10" s="919"/>
      <c r="E10" s="920" t="n">
        <f aca="false">AZ10</f>
        <v>0</v>
      </c>
      <c r="F10" s="921" t="n">
        <f aca="false">AY10</f>
        <v>0</v>
      </c>
      <c r="G10" s="921" t="n">
        <f aca="false">F10*BI10</f>
        <v>0</v>
      </c>
      <c r="H10" s="922" t="n">
        <f aca="false">(((D10-L10)*K10+(D10-N10)*M10+(D10-P10)*O10+(D10-R10)*Q10+(D10-T10)*S10+(D10-V10)*U10+(D10-X10)*W10+(D10-Z10)*Y10+(D10-AB10)*AA10+(D10-AD10)*AC10+(D10-AF10)*AE10+(D10-AH10)*AG10+(D10-AJ10)*AI10+(D10-AL10)*AK10+(D10-AN10)*AM10+(D10-AP10)*AO10+(D10-AR10)*AQ10+(D10-AT10)*AS10+(D10-AV10)*AU10+(D10-AX10)*AW10)*BI10)</f>
        <v>0</v>
      </c>
      <c r="J10" s="512" t="n">
        <f aca="false">B10</f>
        <v>0</v>
      </c>
      <c r="K10" s="520"/>
      <c r="L10" s="517"/>
      <c r="M10" s="520"/>
      <c r="N10" s="517"/>
      <c r="O10" s="520"/>
      <c r="P10" s="517"/>
      <c r="Q10" s="520"/>
      <c r="R10" s="517"/>
      <c r="S10" s="520"/>
      <c r="T10" s="517"/>
      <c r="U10" s="520"/>
      <c r="V10" s="517"/>
      <c r="W10" s="520"/>
      <c r="X10" s="517"/>
      <c r="Y10" s="520"/>
      <c r="Z10" s="517"/>
      <c r="AA10" s="520"/>
      <c r="AB10" s="517"/>
      <c r="AC10" s="520"/>
      <c r="AD10" s="517"/>
      <c r="AE10" s="520"/>
      <c r="AF10" s="517"/>
      <c r="AG10" s="520"/>
      <c r="AH10" s="517"/>
      <c r="AI10" s="520"/>
      <c r="AJ10" s="517"/>
      <c r="AK10" s="520"/>
      <c r="AL10" s="517"/>
      <c r="AM10" s="520"/>
      <c r="AN10" s="517"/>
      <c r="AO10" s="520"/>
      <c r="AP10" s="517"/>
      <c r="AQ10" s="520"/>
      <c r="AR10" s="517"/>
      <c r="AS10" s="520"/>
      <c r="AT10" s="517"/>
      <c r="AU10" s="520"/>
      <c r="AV10" s="517"/>
      <c r="AW10" s="520"/>
      <c r="AX10" s="517"/>
      <c r="AY10" s="556" t="n">
        <f aca="false">K10+M10+O10+Q10+S10+U10+W10+Y10+AA10+AC10+AE10+AG10+AI10+AK10+AM10+AO10+AQ10+AS10+AU10+AW10</f>
        <v>0</v>
      </c>
      <c r="AZ10" s="524" t="n">
        <f aca="false">IF(AND(AY10=0,BC10=0),0,(ABS(K10)*L10+ABS(M10)*N10+ABS(O10)*P10+ABS(Q10)*R10+ABS(S10)*T10+ABS(U10)*V10+ABS(W10)*X10+ABS(Y10)*Z10+ABS(AA10)*AB10+ABS(AC10)*AD10+ABS(AE10)*AF10+ABS(AG10)*AH10+ABS(AI10)*AJ10+ABS(AK10)*AL10+ABS(AM10)*AN10+ABS(AO10)*AP10+ABS(AQ10)*AR10+ABS(AS10)*AT10+ABS(AU10)*AV10+ABS(AW10)*AX10)/BC10)</f>
        <v>0</v>
      </c>
      <c r="BB10" s="0"/>
      <c r="BC10" s="222" t="n">
        <f aca="false">ABS(K10)+ABS(M10)+ABS(O10)+ABS(Q10)+ABS(S10)+ABS(U10)+ABS(W10)+ABS(Y10)+ABS(AA10)+ABS(AC10)+ABS(AE10)+ABS(AG10)+ABS(AI10)+ABS(AK10)+ABS(AM10)+ABS(AO10)+ABS(AQ10)+ABS(AS10)+ABS(AU10)+ABS(AW10)</f>
        <v>0</v>
      </c>
      <c r="BD10" s="525" t="n">
        <f aca="false">TradeSum!CB14</f>
        <v>37226</v>
      </c>
      <c r="BE10" s="914" t="n">
        <f aca="false">TradeSum!CD14*TradeSum!CE14</f>
        <v>315.774654884613</v>
      </c>
      <c r="BF10" s="648" t="e">
        <f aca="false">VLOOKUP(J10,TradeSum!$CB$12:$CD$47,3)*BC10</f>
        <v>#N/A</v>
      </c>
      <c r="BG10" s="915" t="n">
        <f aca="false">IF(ISERROR(BF10),0,BF10)</f>
        <v>0</v>
      </c>
      <c r="BH10" s="914" t="e">
        <f aca="false">VLOOKUP(J10,$BD$8:$BE$43,2)</f>
        <v>#N/A</v>
      </c>
      <c r="BI10" s="914" t="n">
        <f aca="false">IF(ISERROR(BH10),0,BH10)</f>
        <v>0</v>
      </c>
      <c r="BJ10" s="222" t="n">
        <v>11</v>
      </c>
      <c r="BK10" s="222" t="n">
        <v>3</v>
      </c>
    </row>
    <row r="11" customFormat="false" ht="15.75" hidden="false" customHeight="false" outlineLevel="0" collapsed="false">
      <c r="A11" s="916"/>
      <c r="B11" s="917"/>
      <c r="C11" s="918"/>
      <c r="D11" s="919"/>
      <c r="E11" s="920" t="n">
        <f aca="false">AZ11</f>
        <v>0</v>
      </c>
      <c r="F11" s="921" t="n">
        <f aca="false">AY11</f>
        <v>0</v>
      </c>
      <c r="G11" s="921" t="n">
        <f aca="false">F11*BI11</f>
        <v>0</v>
      </c>
      <c r="H11" s="922" t="n">
        <f aca="false">(((D11-L11)*K11+(D11-N11)*M11+(D11-P11)*O11+(D11-R11)*Q11+(D11-T11)*S11+(D11-V11)*U11+(D11-X11)*W11+(D11-Z11)*Y11+(D11-AB11)*AA11+(D11-AD11)*AC11+(D11-AF11)*AE11+(D11-AH11)*AG11+(D11-AJ11)*AI11+(D11-AL11)*AK11+(D11-AN11)*AM11+(D11-AP11)*AO11+(D11-AR11)*AQ11+(D11-AT11)*AS11+(D11-AV11)*AU11+(D11-AX11)*AW11)*BI11)</f>
        <v>0</v>
      </c>
      <c r="J11" s="512" t="n">
        <f aca="false">B11</f>
        <v>0</v>
      </c>
      <c r="K11" s="520"/>
      <c r="L11" s="517"/>
      <c r="M11" s="520"/>
      <c r="N11" s="517"/>
      <c r="O11" s="520"/>
      <c r="P11" s="517"/>
      <c r="Q11" s="520"/>
      <c r="R11" s="517"/>
      <c r="S11" s="520"/>
      <c r="T11" s="517"/>
      <c r="U11" s="520"/>
      <c r="V11" s="517"/>
      <c r="W11" s="520"/>
      <c r="X11" s="517"/>
      <c r="Y11" s="520"/>
      <c r="Z11" s="517"/>
      <c r="AA11" s="520"/>
      <c r="AB11" s="517"/>
      <c r="AC11" s="520"/>
      <c r="AD11" s="517"/>
      <c r="AE11" s="520"/>
      <c r="AF11" s="517"/>
      <c r="AG11" s="520"/>
      <c r="AH11" s="517"/>
      <c r="AI11" s="520"/>
      <c r="AJ11" s="517"/>
      <c r="AK11" s="520"/>
      <c r="AL11" s="517"/>
      <c r="AM11" s="520"/>
      <c r="AN11" s="517"/>
      <c r="AO11" s="520"/>
      <c r="AP11" s="517"/>
      <c r="AQ11" s="520"/>
      <c r="AR11" s="517"/>
      <c r="AS11" s="520"/>
      <c r="AT11" s="517"/>
      <c r="AU11" s="520"/>
      <c r="AV11" s="517"/>
      <c r="AW11" s="520"/>
      <c r="AX11" s="517"/>
      <c r="AY11" s="556" t="n">
        <f aca="false">K11+M11+O11+Q11+S11+U11+W11+Y11+AA11+AC11+AE11+AG11+AI11+AK11+AM11+AO11+AQ11+AS11+AU11+AW11</f>
        <v>0</v>
      </c>
      <c r="AZ11" s="524" t="n">
        <f aca="false">IF(AND(AY11=0,BC11=0),0,(ABS(K11)*L11+ABS(M11)*N11+ABS(O11)*P11+ABS(Q11)*R11+ABS(S11)*T11+ABS(U11)*V11+ABS(W11)*X11+ABS(Y11)*Z11+ABS(AA11)*AB11+ABS(AC11)*AD11+ABS(AE11)*AF11+ABS(AG11)*AH11+ABS(AI11)*AJ11+ABS(AK11)*AL11+ABS(AM11)*AN11+ABS(AO11)*AP11+ABS(AQ11)*AR11+ABS(AS11)*AT11+ABS(AU11)*AV11+ABS(AW11)*AX11)/BC11)</f>
        <v>0</v>
      </c>
      <c r="BB11" s="0"/>
      <c r="BC11" s="222" t="n">
        <f aca="false">ABS(K11)+ABS(M11)+ABS(O11)+ABS(Q11)+ABS(S11)+ABS(U11)+ABS(W11)+ABS(Y11)+ABS(AA11)+ABS(AC11)+ABS(AE11)+ABS(AG11)+ABS(AI11)+ABS(AK11)+ABS(AM11)+ABS(AO11)+ABS(AQ11)+ABS(AS11)+ABS(AU11)+ABS(AW11)</f>
        <v>0</v>
      </c>
      <c r="BD11" s="525" t="n">
        <f aca="false">TradeSum!CB15</f>
        <v>37257</v>
      </c>
      <c r="BE11" s="914" t="n">
        <f aca="false">TradeSum!CD15*TradeSum!CE15</f>
        <v>346.395169852386</v>
      </c>
      <c r="BF11" s="648" t="e">
        <f aca="false">VLOOKUP(J11,TradeSum!$CB$12:$CD$47,3)*BC11</f>
        <v>#N/A</v>
      </c>
      <c r="BG11" s="915" t="n">
        <f aca="false">IF(ISERROR(BF11),0,BF11)</f>
        <v>0</v>
      </c>
      <c r="BH11" s="914" t="e">
        <f aca="false">VLOOKUP(J11,$BD$8:$BE$43,2)</f>
        <v>#N/A</v>
      </c>
      <c r="BI11" s="914" t="n">
        <f aca="false">IF(ISERROR(BH11),0,BH11)</f>
        <v>0</v>
      </c>
      <c r="BJ11" s="222" t="n">
        <v>11</v>
      </c>
      <c r="BK11" s="222" t="n">
        <v>3</v>
      </c>
    </row>
    <row r="12" customFormat="false" ht="15.75" hidden="false" customHeight="false" outlineLevel="0" collapsed="false">
      <c r="A12" s="916"/>
      <c r="B12" s="917"/>
      <c r="C12" s="918"/>
      <c r="D12" s="919"/>
      <c r="E12" s="920" t="n">
        <f aca="false">AZ12</f>
        <v>0</v>
      </c>
      <c r="F12" s="921" t="n">
        <f aca="false">AY12</f>
        <v>0</v>
      </c>
      <c r="G12" s="921" t="n">
        <f aca="false">F12*BI12</f>
        <v>0</v>
      </c>
      <c r="H12" s="922" t="n">
        <f aca="false">(((D12-L12)*K12+(D12-N12)*M12+(D12-P12)*O12+(D12-R12)*Q12+(D12-T12)*S12+(D12-V12)*U12+(D12-X12)*W12+(D12-Z12)*Y12+(D12-AB12)*AA12+(D12-AD12)*AC12+(D12-AF12)*AE12+(D12-AH12)*AG12+(D12-AJ12)*AI12+(D12-AL12)*AK12+(D12-AN12)*AM12+(D12-AP12)*AO12+(D12-AR12)*AQ12+(D12-AT12)*AS12+(D12-AV12)*AU12+(D12-AX12)*AW12)*BI12)</f>
        <v>0</v>
      </c>
      <c r="J12" s="512" t="n">
        <f aca="false">B12</f>
        <v>0</v>
      </c>
      <c r="K12" s="520"/>
      <c r="L12" s="517"/>
      <c r="M12" s="520"/>
      <c r="N12" s="517"/>
      <c r="O12" s="520"/>
      <c r="P12" s="517"/>
      <c r="Q12" s="520"/>
      <c r="R12" s="517"/>
      <c r="S12" s="520"/>
      <c r="T12" s="517"/>
      <c r="U12" s="520"/>
      <c r="V12" s="517"/>
      <c r="W12" s="520"/>
      <c r="X12" s="517"/>
      <c r="Y12" s="520"/>
      <c r="Z12" s="517"/>
      <c r="AA12" s="520"/>
      <c r="AB12" s="517"/>
      <c r="AC12" s="520"/>
      <c r="AD12" s="517"/>
      <c r="AE12" s="520"/>
      <c r="AF12" s="517"/>
      <c r="AG12" s="520"/>
      <c r="AH12" s="517"/>
      <c r="AI12" s="520"/>
      <c r="AJ12" s="517"/>
      <c r="AK12" s="520"/>
      <c r="AL12" s="517"/>
      <c r="AM12" s="520"/>
      <c r="AN12" s="517"/>
      <c r="AO12" s="520"/>
      <c r="AP12" s="517"/>
      <c r="AQ12" s="520"/>
      <c r="AR12" s="517"/>
      <c r="AS12" s="520"/>
      <c r="AT12" s="517"/>
      <c r="AU12" s="520"/>
      <c r="AV12" s="517"/>
      <c r="AW12" s="520"/>
      <c r="AX12" s="517"/>
      <c r="AY12" s="556" t="n">
        <f aca="false">K12+M12+O12+Q12+S12+U12+W12+Y12+AA12+AC12+AE12+AG12+AI12+AK12+AM12+AO12+AQ12+AS12+AU12+AW12</f>
        <v>0</v>
      </c>
      <c r="AZ12" s="524" t="n">
        <f aca="false">IF(AND(AY12=0,BC12=0),0,(ABS(K12)*L12+ABS(M12)*N12+ABS(O12)*P12+ABS(Q12)*R12+ABS(S12)*T12+ABS(U12)*V12+ABS(W12)*X12+ABS(Y12)*Z12+ABS(AA12)*AB12+ABS(AC12)*AD12+ABS(AE12)*AF12+ABS(AG12)*AH12+ABS(AI12)*AJ12+ABS(AK12)*AL12+ABS(AM12)*AN12+ABS(AO12)*AP12+ABS(AQ12)*AR12+ABS(AS12)*AT12+ABS(AU12)*AV12+ABS(AW12)*AX12)/BC12)</f>
        <v>0</v>
      </c>
      <c r="BB12" s="0"/>
      <c r="BC12" s="222" t="n">
        <f aca="false">ABS(K12)+ABS(M12)+ABS(O12)+ABS(Q12)+ABS(S12)+ABS(U12)+ABS(W12)+ABS(Y12)+ABS(AA12)+ABS(AC12)+ABS(AE12)+ABS(AG12)+ABS(AI12)+ABS(AK12)+ABS(AM12)+ABS(AO12)+ABS(AQ12)+ABS(AS12)+ABS(AU12)+ABS(AW12)</f>
        <v>0</v>
      </c>
      <c r="BD12" s="525" t="n">
        <f aca="false">TradeSum!CB16</f>
        <v>37288</v>
      </c>
      <c r="BE12" s="914" t="n">
        <f aca="false">TradeSum!CD16*TradeSum!CE16</f>
        <v>314.067356359578</v>
      </c>
      <c r="BF12" s="648" t="e">
        <f aca="false">VLOOKUP(J12,TradeSum!$CB$12:$CD$47,3)*BC12</f>
        <v>#N/A</v>
      </c>
      <c r="BG12" s="915" t="n">
        <f aca="false">IF(ISERROR(BF12),0,BF12)</f>
        <v>0</v>
      </c>
      <c r="BH12" s="914" t="e">
        <f aca="false">VLOOKUP(J12,$BD$8:$BE$43,2)</f>
        <v>#N/A</v>
      </c>
      <c r="BI12" s="914" t="n">
        <f aca="false">IF(ISERROR(BH12),0,BH12)</f>
        <v>0</v>
      </c>
      <c r="BJ12" s="222" t="n">
        <v>11</v>
      </c>
      <c r="BK12" s="222" t="n">
        <v>3</v>
      </c>
    </row>
    <row r="13" customFormat="false" ht="15.75" hidden="false" customHeight="false" outlineLevel="0" collapsed="false">
      <c r="A13" s="916"/>
      <c r="B13" s="917"/>
      <c r="C13" s="918"/>
      <c r="D13" s="919"/>
      <c r="E13" s="920" t="n">
        <f aca="false">AZ13</f>
        <v>0</v>
      </c>
      <c r="F13" s="921" t="n">
        <f aca="false">AY13</f>
        <v>0</v>
      </c>
      <c r="G13" s="921" t="n">
        <f aca="false">F13*BI13</f>
        <v>0</v>
      </c>
      <c r="H13" s="922" t="n">
        <f aca="false">(((D13-L13)*K13+(D13-N13)*M13+(D13-P13)*O13+(D13-R13)*Q13+(D13-T13)*S13+(D13-V13)*U13+(D13-X13)*W13+(D13-Z13)*Y13+(D13-AB13)*AA13+(D13-AD13)*AC13+(D13-AF13)*AE13+(D13-AH13)*AG13+(D13-AJ13)*AI13+(D13-AL13)*AK13+(D13-AN13)*AM13+(D13-AP13)*AO13+(D13-AR13)*AQ13+(D13-AT13)*AS13+(D13-AV13)*AU13+(D13-AX13)*AW13)*BI13)</f>
        <v>0</v>
      </c>
      <c r="J13" s="512" t="n">
        <f aca="false">B13</f>
        <v>0</v>
      </c>
      <c r="K13" s="520"/>
      <c r="L13" s="517"/>
      <c r="M13" s="520"/>
      <c r="N13" s="517"/>
      <c r="O13" s="520"/>
      <c r="P13" s="517"/>
      <c r="Q13" s="520"/>
      <c r="R13" s="517"/>
      <c r="S13" s="520"/>
      <c r="T13" s="517"/>
      <c r="U13" s="520"/>
      <c r="V13" s="517"/>
      <c r="W13" s="520"/>
      <c r="X13" s="517"/>
      <c r="Y13" s="520"/>
      <c r="Z13" s="517"/>
      <c r="AA13" s="520"/>
      <c r="AB13" s="517"/>
      <c r="AC13" s="520"/>
      <c r="AD13" s="517"/>
      <c r="AE13" s="520"/>
      <c r="AF13" s="517"/>
      <c r="AG13" s="520"/>
      <c r="AH13" s="517"/>
      <c r="AI13" s="520"/>
      <c r="AJ13" s="517"/>
      <c r="AK13" s="520"/>
      <c r="AL13" s="517"/>
      <c r="AM13" s="520"/>
      <c r="AN13" s="517"/>
      <c r="AO13" s="520"/>
      <c r="AP13" s="517"/>
      <c r="AQ13" s="520"/>
      <c r="AR13" s="517"/>
      <c r="AS13" s="520"/>
      <c r="AT13" s="517"/>
      <c r="AU13" s="520"/>
      <c r="AV13" s="517"/>
      <c r="AW13" s="520"/>
      <c r="AX13" s="517"/>
      <c r="AY13" s="556" t="n">
        <f aca="false">K13+M13+O13+Q13+S13+U13+W13+Y13+AA13+AC13+AE13+AG13+AI13+AK13+AM13+AO13+AQ13+AS13+AU13+AW13</f>
        <v>0</v>
      </c>
      <c r="AZ13" s="524" t="n">
        <f aca="false">IF(AND(AY13=0,BC13=0),0,(ABS(K13)*L13+ABS(M13)*N13+ABS(O13)*P13+ABS(Q13)*R13+ABS(S13)*T13+ABS(U13)*V13+ABS(W13)*X13+ABS(Y13)*Z13+ABS(AA13)*AB13+ABS(AC13)*AD13+ABS(AE13)*AF13+ABS(AG13)*AH13+ABS(AI13)*AJ13+ABS(AK13)*AL13+ABS(AM13)*AN13+ABS(AO13)*AP13+ABS(AQ13)*AR13+ABS(AS13)*AT13+ABS(AU13)*AV13+ABS(AW13)*AX13)/BC13)</f>
        <v>0</v>
      </c>
      <c r="BB13" s="0"/>
      <c r="BC13" s="222" t="n">
        <f aca="false">ABS(K13)+ABS(M13)+ABS(O13)+ABS(Q13)+ABS(S13)+ABS(U13)+ABS(W13)+ABS(Y13)+ABS(AA13)+ABS(AC13)+ABS(AE13)+ABS(AG13)+ABS(AI13)+ABS(AK13)+ABS(AM13)+ABS(AO13)+ABS(AQ13)+ABS(AS13)+ABS(AU13)+ABS(AW13)</f>
        <v>0</v>
      </c>
      <c r="BD13" s="525" t="n">
        <f aca="false">TradeSum!CB17</f>
        <v>37316</v>
      </c>
      <c r="BE13" s="914" t="n">
        <f aca="false">TradeSum!CD17*TradeSum!CE17</f>
        <v>328.800966882943</v>
      </c>
      <c r="BF13" s="648" t="e">
        <f aca="false">VLOOKUP(J13,TradeSum!$CB$12:$CD$47,3)*BC13</f>
        <v>#N/A</v>
      </c>
      <c r="BG13" s="915" t="n">
        <f aca="false">IF(ISERROR(BF13),0,BF13)</f>
        <v>0</v>
      </c>
      <c r="BH13" s="914" t="e">
        <f aca="false">VLOOKUP(J13,$BD$8:$BE$43,2)</f>
        <v>#N/A</v>
      </c>
      <c r="BI13" s="914" t="n">
        <f aca="false">IF(ISERROR(BH13),0,BH13)</f>
        <v>0</v>
      </c>
      <c r="BJ13" s="222" t="n">
        <v>11</v>
      </c>
      <c r="BK13" s="222" t="n">
        <v>3</v>
      </c>
    </row>
    <row r="14" customFormat="false" ht="15.75" hidden="false" customHeight="false" outlineLevel="0" collapsed="false">
      <c r="A14" s="916"/>
      <c r="B14" s="917"/>
      <c r="C14" s="918"/>
      <c r="D14" s="919"/>
      <c r="E14" s="920" t="n">
        <f aca="false">AZ14</f>
        <v>0</v>
      </c>
      <c r="F14" s="921" t="n">
        <f aca="false">AY14</f>
        <v>0</v>
      </c>
      <c r="G14" s="921" t="n">
        <f aca="false">F14*BI14</f>
        <v>0</v>
      </c>
      <c r="H14" s="922" t="n">
        <f aca="false">(((D14-L14)*K14+(D14-N14)*M14+(D14-P14)*O14+(D14-R14)*Q14+(D14-T14)*S14+(D14-V14)*U14+(D14-X14)*W14+(D14-Z14)*Y14+(D14-AB14)*AA14+(D14-AD14)*AC14+(D14-AF14)*AE14+(D14-AH14)*AG14+(D14-AJ14)*AI14+(D14-AL14)*AK14+(D14-AN14)*AM14+(D14-AP14)*AO14+(D14-AR14)*AQ14+(D14-AT14)*AS14+(D14-AV14)*AU14+(D14-AX14)*AW14)*BI14)</f>
        <v>0</v>
      </c>
      <c r="J14" s="512" t="n">
        <f aca="false">B14</f>
        <v>0</v>
      </c>
      <c r="K14" s="520"/>
      <c r="L14" s="517"/>
      <c r="M14" s="520"/>
      <c r="N14" s="517"/>
      <c r="O14" s="520"/>
      <c r="P14" s="517"/>
      <c r="Q14" s="520"/>
      <c r="R14" s="517"/>
      <c r="S14" s="520"/>
      <c r="T14" s="517"/>
      <c r="U14" s="520"/>
      <c r="V14" s="517"/>
      <c r="W14" s="520"/>
      <c r="X14" s="517"/>
      <c r="Y14" s="520"/>
      <c r="Z14" s="517"/>
      <c r="AA14" s="520"/>
      <c r="AB14" s="517"/>
      <c r="AC14" s="520"/>
      <c r="AD14" s="517"/>
      <c r="AE14" s="520"/>
      <c r="AF14" s="517"/>
      <c r="AG14" s="520"/>
      <c r="AH14" s="517"/>
      <c r="AI14" s="520"/>
      <c r="AJ14" s="517"/>
      <c r="AK14" s="520"/>
      <c r="AL14" s="517"/>
      <c r="AM14" s="520"/>
      <c r="AN14" s="517"/>
      <c r="AO14" s="520"/>
      <c r="AP14" s="517"/>
      <c r="AQ14" s="520"/>
      <c r="AR14" s="517"/>
      <c r="AS14" s="520"/>
      <c r="AT14" s="517"/>
      <c r="AU14" s="520"/>
      <c r="AV14" s="517"/>
      <c r="AW14" s="520"/>
      <c r="AX14" s="517"/>
      <c r="AY14" s="556" t="n">
        <f aca="false">K14+M14+O14+Q14+S14+U14+W14+Y14+AA14+AC14+AE14+AG14+AI14+AK14+AM14+AO14+AQ14+AS14+AU14+AW14</f>
        <v>0</v>
      </c>
      <c r="AZ14" s="524" t="n">
        <f aca="false">IF(AND(AY14=0,BC14=0),0,(ABS(K14)*L14+ABS(M14)*N14+ABS(O14)*P14+ABS(Q14)*R14+ABS(S14)*T14+ABS(U14)*V14+ABS(W14)*X14+ABS(Y14)*Z14+ABS(AA14)*AB14+ABS(AC14)*AD14+ABS(AE14)*AF14+ABS(AG14)*AH14+ABS(AI14)*AJ14+ABS(AK14)*AL14+ABS(AM14)*AN14+ABS(AO14)*AP14+ABS(AQ14)*AR14+ABS(AS14)*AT14+ABS(AU14)*AV14+ABS(AW14)*AX14)/BC14)</f>
        <v>0</v>
      </c>
      <c r="BB14" s="0"/>
      <c r="BC14" s="222" t="n">
        <f aca="false">ABS(K14)+ABS(M14)+ABS(O14)+ABS(Q14)+ABS(S14)+ABS(U14)+ABS(W14)+ABS(Y14)+ABS(AA14)+ABS(AC14)+ABS(AE14)+ABS(AG14)+ABS(AI14)+ABS(AK14)+ABS(AM14)+ABS(AO14)+ABS(AQ14)+ABS(AS14)+ABS(AU14)+ABS(AW14)</f>
        <v>0</v>
      </c>
      <c r="BD14" s="525" t="n">
        <f aca="false">TradeSum!CB18</f>
        <v>37347</v>
      </c>
      <c r="BE14" s="914" t="n">
        <f aca="false">TradeSum!CD18*TradeSum!CE18</f>
        <v>343.468685782268</v>
      </c>
      <c r="BF14" s="648" t="e">
        <f aca="false">VLOOKUP(J14,TradeSum!$CB$12:$CD$47,3)*BC14</f>
        <v>#N/A</v>
      </c>
      <c r="BG14" s="915" t="n">
        <f aca="false">IF(ISERROR(BF14),0,BF14)</f>
        <v>0</v>
      </c>
      <c r="BH14" s="914" t="e">
        <f aca="false">VLOOKUP(J14,$BD$8:$BE$43,2)</f>
        <v>#N/A</v>
      </c>
      <c r="BI14" s="914" t="n">
        <f aca="false">IF(ISERROR(BH14),0,BH14)</f>
        <v>0</v>
      </c>
      <c r="BJ14" s="222" t="n">
        <v>11</v>
      </c>
      <c r="BK14" s="222" t="n">
        <v>3</v>
      </c>
    </row>
    <row r="15" customFormat="false" ht="15.75" hidden="false" customHeight="false" outlineLevel="0" collapsed="false">
      <c r="A15" s="916"/>
      <c r="B15" s="917"/>
      <c r="C15" s="918"/>
      <c r="D15" s="919"/>
      <c r="E15" s="920" t="n">
        <f aca="false">AZ15</f>
        <v>0</v>
      </c>
      <c r="F15" s="921" t="n">
        <f aca="false">AY15</f>
        <v>0</v>
      </c>
      <c r="G15" s="921" t="n">
        <f aca="false">F15*BI15</f>
        <v>0</v>
      </c>
      <c r="H15" s="922" t="n">
        <f aca="false">(((D15-L15)*K15+(D15-N15)*M15+(D15-P15)*O15+(D15-R15)*Q15+(D15-T15)*S15+(D15-V15)*U15+(D15-X15)*W15+(D15-Z15)*Y15+(D15-AB15)*AA15+(D15-AD15)*AC15+(D15-AF15)*AE15+(D15-AH15)*AG15+(D15-AJ15)*AI15+(D15-AL15)*AK15+(D15-AN15)*AM15+(D15-AP15)*AO15+(D15-AR15)*AQ15+(D15-AT15)*AS15+(D15-AV15)*AU15+(D15-AX15)*AW15)*BI15)</f>
        <v>0</v>
      </c>
      <c r="J15" s="512" t="n">
        <f aca="false">B15</f>
        <v>0</v>
      </c>
      <c r="K15" s="520"/>
      <c r="L15" s="517"/>
      <c r="M15" s="520"/>
      <c r="N15" s="517"/>
      <c r="O15" s="520"/>
      <c r="P15" s="517"/>
      <c r="Q15" s="520"/>
      <c r="R15" s="517"/>
      <c r="S15" s="520"/>
      <c r="T15" s="517"/>
      <c r="U15" s="520"/>
      <c r="V15" s="517"/>
      <c r="W15" s="520"/>
      <c r="X15" s="517"/>
      <c r="Y15" s="520"/>
      <c r="Z15" s="517"/>
      <c r="AA15" s="520"/>
      <c r="AB15" s="517"/>
      <c r="AC15" s="520"/>
      <c r="AD15" s="517"/>
      <c r="AE15" s="520"/>
      <c r="AF15" s="517"/>
      <c r="AG15" s="520"/>
      <c r="AH15" s="517"/>
      <c r="AI15" s="520"/>
      <c r="AJ15" s="517"/>
      <c r="AK15" s="520"/>
      <c r="AL15" s="517"/>
      <c r="AM15" s="520"/>
      <c r="AN15" s="517"/>
      <c r="AO15" s="520"/>
      <c r="AP15" s="517"/>
      <c r="AQ15" s="520"/>
      <c r="AR15" s="517"/>
      <c r="AS15" s="520"/>
      <c r="AT15" s="517"/>
      <c r="AU15" s="520"/>
      <c r="AV15" s="517"/>
      <c r="AW15" s="520"/>
      <c r="AX15" s="517"/>
      <c r="AY15" s="556" t="n">
        <f aca="false">K15+M15+O15+Q15+S15+U15+W15+Y15+AA15+AC15+AE15+AG15+AI15+AK15+AM15+AO15+AQ15+AS15+AU15+AW15</f>
        <v>0</v>
      </c>
      <c r="AZ15" s="524" t="n">
        <f aca="false">IF(AND(AY15=0,BC15=0),0,(ABS(K15)*L15+ABS(M15)*N15+ABS(O15)*P15+ABS(Q15)*R15+ABS(S15)*T15+ABS(U15)*V15+ABS(W15)*X15+ABS(Y15)*Z15+ABS(AA15)*AB15+ABS(AC15)*AD15+ABS(AE15)*AF15+ABS(AG15)*AH15+ABS(AI15)*AJ15+ABS(AK15)*AL15+ABS(AM15)*AN15+ABS(AO15)*AP15+ABS(AQ15)*AR15+ABS(AS15)*AT15+ABS(AU15)*AV15+ABS(AW15)*AX15)/BC15)</f>
        <v>0</v>
      </c>
      <c r="BB15" s="0"/>
      <c r="BC15" s="222" t="n">
        <f aca="false">ABS(K15)+ABS(M15)+ABS(O15)+ABS(Q15)+ABS(S15)+ABS(U15)+ABS(W15)+ABS(Y15)+ABS(AA15)+ABS(AC15)+ABS(AE15)+ABS(AG15)+ABS(AI15)+ABS(AK15)+ABS(AM15)+ABS(AO15)+ABS(AQ15)+ABS(AS15)+ABS(AU15)+ABS(AW15)</f>
        <v>0</v>
      </c>
      <c r="BD15" s="525" t="n">
        <f aca="false">TradeSum!CB19</f>
        <v>37377</v>
      </c>
      <c r="BE15" s="914" t="n">
        <f aca="false">TradeSum!CD19*TradeSum!CE19</f>
        <v>342.430179700736</v>
      </c>
      <c r="BF15" s="648" t="e">
        <f aca="false">VLOOKUP(J15,TradeSum!$CB$12:$CD$47,3)*BC15</f>
        <v>#N/A</v>
      </c>
      <c r="BG15" s="915" t="n">
        <f aca="false">IF(ISERROR(BF15),0,BF15)</f>
        <v>0</v>
      </c>
      <c r="BH15" s="914" t="e">
        <f aca="false">VLOOKUP(J15,$BD$8:$BE$43,2)</f>
        <v>#N/A</v>
      </c>
      <c r="BI15" s="914" t="n">
        <f aca="false">IF(ISERROR(BH15),0,BH15)</f>
        <v>0</v>
      </c>
      <c r="BJ15" s="222" t="n">
        <v>11</v>
      </c>
      <c r="BK15" s="222" t="n">
        <v>3</v>
      </c>
    </row>
    <row r="16" customFormat="false" ht="15.75" hidden="false" customHeight="false" outlineLevel="0" collapsed="false">
      <c r="A16" s="916"/>
      <c r="B16" s="917"/>
      <c r="C16" s="918"/>
      <c r="D16" s="919"/>
      <c r="E16" s="920" t="n">
        <f aca="false">AZ16</f>
        <v>0</v>
      </c>
      <c r="F16" s="921" t="n">
        <f aca="false">AY16</f>
        <v>0</v>
      </c>
      <c r="G16" s="921" t="n">
        <f aca="false">F16*BI16</f>
        <v>0</v>
      </c>
      <c r="H16" s="922" t="n">
        <f aca="false">(((D16-L16)*K16+(D16-N16)*M16+(D16-P16)*O16+(D16-R16)*Q16+(D16-T16)*S16+(D16-V16)*U16+(D16-X16)*W16+(D16-Z16)*Y16+(D16-AB16)*AA16+(D16-AD16)*AC16+(D16-AF16)*AE16+(D16-AH16)*AG16+(D16-AJ16)*AI16+(D16-AL16)*AK16+(D16-AN16)*AM16+(D16-AP16)*AO16+(D16-AR16)*AQ16+(D16-AT16)*AS16+(D16-AV16)*AU16+(D16-AX16)*AW16)*BI16)</f>
        <v>0</v>
      </c>
      <c r="J16" s="512" t="n">
        <f aca="false">B16</f>
        <v>0</v>
      </c>
      <c r="K16" s="520"/>
      <c r="L16" s="517"/>
      <c r="M16" s="520"/>
      <c r="N16" s="517"/>
      <c r="O16" s="520"/>
      <c r="P16" s="517"/>
      <c r="Q16" s="520"/>
      <c r="R16" s="517"/>
      <c r="S16" s="520"/>
      <c r="T16" s="517"/>
      <c r="U16" s="520"/>
      <c r="V16" s="517"/>
      <c r="W16" s="520"/>
      <c r="X16" s="517"/>
      <c r="Y16" s="520"/>
      <c r="Z16" s="517"/>
      <c r="AA16" s="520"/>
      <c r="AB16" s="517"/>
      <c r="AC16" s="520"/>
      <c r="AD16" s="517"/>
      <c r="AE16" s="520"/>
      <c r="AF16" s="517"/>
      <c r="AG16" s="520"/>
      <c r="AH16" s="517"/>
      <c r="AI16" s="520"/>
      <c r="AJ16" s="517"/>
      <c r="AK16" s="520"/>
      <c r="AL16" s="517"/>
      <c r="AM16" s="520"/>
      <c r="AN16" s="517"/>
      <c r="AO16" s="520"/>
      <c r="AP16" s="517"/>
      <c r="AQ16" s="520"/>
      <c r="AR16" s="517"/>
      <c r="AS16" s="520"/>
      <c r="AT16" s="517"/>
      <c r="AU16" s="520"/>
      <c r="AV16" s="517"/>
      <c r="AW16" s="520"/>
      <c r="AX16" s="517"/>
      <c r="AY16" s="556" t="n">
        <f aca="false">K16+M16+O16+Q16+S16+U16+W16+Y16+AA16+AC16+AE16+AG16+AI16+AK16+AM16+AO16+AQ16+AS16+AU16+AW16</f>
        <v>0</v>
      </c>
      <c r="AZ16" s="524" t="n">
        <f aca="false">IF(AND(AY16=0,BC16=0),0,(ABS(K16)*L16+ABS(M16)*N16+ABS(O16)*P16+ABS(Q16)*R16+ABS(S16)*T16+ABS(U16)*V16+ABS(W16)*X16+ABS(Y16)*Z16+ABS(AA16)*AB16+ABS(AC16)*AD16+ABS(AE16)*AF16+ABS(AG16)*AH16+ABS(AI16)*AJ16+ABS(AK16)*AL16+ABS(AM16)*AN16+ABS(AO16)*AP16+ABS(AQ16)*AR16+ABS(AS16)*AT16+ABS(AU16)*AV16+ABS(AW16)*AX16)/BC16)</f>
        <v>0</v>
      </c>
      <c r="BB16" s="0"/>
      <c r="BC16" s="222" t="n">
        <f aca="false">ABS(K16)+ABS(M16)+ABS(O16)+ABS(Q16)+ABS(S16)+ABS(U16)+ABS(W16)+ABS(Y16)+ABS(AA16)+ABS(AC16)+ABS(AE16)+ABS(AG16)+ABS(AI16)+ABS(AK16)+ABS(AM16)+ABS(AO16)+ABS(AQ16)+ABS(AS16)+ABS(AU16)+ABS(AW16)</f>
        <v>0</v>
      </c>
      <c r="BD16" s="525" t="n">
        <f aca="false">TradeSum!CB20</f>
        <v>37408</v>
      </c>
      <c r="BE16" s="914" t="n">
        <f aca="false">TradeSum!CD20*TradeSum!CE20</f>
        <v>310.3843109723</v>
      </c>
      <c r="BF16" s="648" t="e">
        <f aca="false">VLOOKUP(J16,TradeSum!$CB$12:$CD$47,3)*BC16</f>
        <v>#N/A</v>
      </c>
      <c r="BG16" s="915" t="n">
        <f aca="false">IF(ISERROR(BF16),0,BF16)</f>
        <v>0</v>
      </c>
      <c r="BH16" s="914" t="e">
        <f aca="false">VLOOKUP(J16,$BD$8:$BE$43,2)</f>
        <v>#N/A</v>
      </c>
      <c r="BI16" s="914" t="n">
        <f aca="false">IF(ISERROR(BH16),0,BH16)</f>
        <v>0</v>
      </c>
      <c r="BJ16" s="222" t="n">
        <v>11</v>
      </c>
      <c r="BK16" s="222" t="n">
        <v>3</v>
      </c>
    </row>
    <row r="17" customFormat="false" ht="15.75" hidden="false" customHeight="false" outlineLevel="0" collapsed="false">
      <c r="A17" s="916"/>
      <c r="B17" s="917"/>
      <c r="C17" s="918"/>
      <c r="D17" s="919"/>
      <c r="E17" s="920" t="n">
        <f aca="false">AZ17</f>
        <v>0</v>
      </c>
      <c r="F17" s="921" t="n">
        <f aca="false">AY17</f>
        <v>0</v>
      </c>
      <c r="G17" s="921" t="n">
        <f aca="false">F17*BI17</f>
        <v>0</v>
      </c>
      <c r="H17" s="922" t="n">
        <f aca="false">(((D17-L17)*K17+(D17-N17)*M17+(D17-P17)*O17+(D17-R17)*Q17+(D17-T17)*S17+(D17-V17)*U17+(D17-X17)*W17+(D17-Z17)*Y17+(D17-AB17)*AA17+(D17-AD17)*AC17+(D17-AF17)*AE17+(D17-AH17)*AG17+(D17-AJ17)*AI17+(D17-AL17)*AK17+(D17-AN17)*AM17+(D17-AP17)*AO17+(D17-AR17)*AQ17+(D17-AT17)*AS17+(D17-AV17)*AU17+(D17-AX17)*AW17)*BI17)</f>
        <v>0</v>
      </c>
      <c r="J17" s="512" t="n">
        <f aca="false">B17</f>
        <v>0</v>
      </c>
      <c r="K17" s="520"/>
      <c r="L17" s="517"/>
      <c r="M17" s="520"/>
      <c r="N17" s="517"/>
      <c r="O17" s="520"/>
      <c r="P17" s="517"/>
      <c r="Q17" s="520"/>
      <c r="R17" s="517"/>
      <c r="S17" s="520"/>
      <c r="T17" s="517"/>
      <c r="U17" s="520"/>
      <c r="V17" s="517"/>
      <c r="W17" s="520"/>
      <c r="X17" s="517"/>
      <c r="Y17" s="520"/>
      <c r="Z17" s="517"/>
      <c r="AA17" s="520"/>
      <c r="AB17" s="517"/>
      <c r="AC17" s="520"/>
      <c r="AD17" s="517"/>
      <c r="AE17" s="520"/>
      <c r="AF17" s="517"/>
      <c r="AG17" s="520"/>
      <c r="AH17" s="517"/>
      <c r="AI17" s="520"/>
      <c r="AJ17" s="517"/>
      <c r="AK17" s="520"/>
      <c r="AL17" s="517"/>
      <c r="AM17" s="520"/>
      <c r="AN17" s="517"/>
      <c r="AO17" s="520"/>
      <c r="AP17" s="517"/>
      <c r="AQ17" s="520"/>
      <c r="AR17" s="517"/>
      <c r="AS17" s="520"/>
      <c r="AT17" s="517"/>
      <c r="AU17" s="520"/>
      <c r="AV17" s="517"/>
      <c r="AW17" s="520"/>
      <c r="AX17" s="517"/>
      <c r="AY17" s="556" t="n">
        <f aca="false">K17+M17+O17+Q17+S17+U17+W17+Y17+AA17+AC17+AE17+AG17+AI17+AK17+AM17+AO17+AQ17+AS17+AU17+AW17</f>
        <v>0</v>
      </c>
      <c r="AZ17" s="524" t="n">
        <f aca="false">IF(AND(AY17=0,BC17=0),0,(ABS(K17)*L17+ABS(M17)*N17+ABS(O17)*P17+ABS(Q17)*R17+ABS(S17)*T17+ABS(U17)*V17+ABS(W17)*X17+ABS(Y17)*Z17+ABS(AA17)*AB17+ABS(AC17)*AD17+ABS(AE17)*AF17+ABS(AG17)*AH17+ABS(AI17)*AJ17+ABS(AK17)*AL17+ABS(AM17)*AN17+ABS(AO17)*AP17+ABS(AQ17)*AR17+ABS(AS17)*AT17+ABS(AU17)*AV17+ABS(AW17)*AX17)/BC17)</f>
        <v>0</v>
      </c>
      <c r="BB17" s="0"/>
      <c r="BC17" s="222" t="n">
        <f aca="false">ABS(K17)+ABS(M17)+ABS(O17)+ABS(Q17)+ABS(S17)+ABS(U17)+ABS(W17)+ABS(Y17)+ABS(AA17)+ABS(AC17)+ABS(AE17)+ABS(AG17)+ABS(AI17)+ABS(AK17)+ABS(AM17)+ABS(AO17)+ABS(AQ17)+ABS(AS17)+ABS(AU17)+ABS(AW17)</f>
        <v>0</v>
      </c>
      <c r="BD17" s="525" t="n">
        <f aca="false">TradeSum!CB21</f>
        <v>37438</v>
      </c>
      <c r="BE17" s="914" t="n">
        <f aca="false">TradeSum!CD21*TradeSum!CE21</f>
        <v>340.359277768137</v>
      </c>
      <c r="BF17" s="648" t="e">
        <f aca="false">VLOOKUP(J17,TradeSum!$CB$12:$CD$47,3)*BC17</f>
        <v>#N/A</v>
      </c>
      <c r="BG17" s="915" t="n">
        <f aca="false">IF(ISERROR(BF17),0,BF17)</f>
        <v>0</v>
      </c>
      <c r="BH17" s="914" t="e">
        <f aca="false">VLOOKUP(J17,$BD$8:$BE$43,2)</f>
        <v>#N/A</v>
      </c>
      <c r="BI17" s="914" t="n">
        <f aca="false">IF(ISERROR(BH17),0,BH17)</f>
        <v>0</v>
      </c>
      <c r="BJ17" s="222" t="n">
        <v>11</v>
      </c>
      <c r="BK17" s="222" t="n">
        <v>3</v>
      </c>
    </row>
    <row r="18" customFormat="false" ht="15.75" hidden="false" customHeight="false" outlineLevel="0" collapsed="false">
      <c r="A18" s="916"/>
      <c r="B18" s="917"/>
      <c r="C18" s="918"/>
      <c r="D18" s="919"/>
      <c r="E18" s="920" t="n">
        <f aca="false">AZ18</f>
        <v>0</v>
      </c>
      <c r="F18" s="921" t="n">
        <f aca="false">AY18</f>
        <v>0</v>
      </c>
      <c r="G18" s="921" t="n">
        <f aca="false">F18*BI18</f>
        <v>0</v>
      </c>
      <c r="H18" s="922" t="n">
        <f aca="false">(((D18-L18)*K18+(D18-N18)*M18+(D18-P18)*O18+(D18-R18)*Q18+(D18-T18)*S18+(D18-V18)*U18+(D18-X18)*W18+(D18-Z18)*Y18+(D18-AB18)*AA18+(D18-AD18)*AC18+(D18-AF18)*AE18+(D18-AH18)*AG18+(D18-AJ18)*AI18+(D18-AL18)*AK18+(D18-AN18)*AM18+(D18-AP18)*AO18+(D18-AR18)*AQ18+(D18-AT18)*AS18+(D18-AV18)*AU18+(D18-AX18)*AW18)*BI18)</f>
        <v>0</v>
      </c>
      <c r="J18" s="512" t="n">
        <f aca="false">B18</f>
        <v>0</v>
      </c>
      <c r="K18" s="520"/>
      <c r="L18" s="517"/>
      <c r="M18" s="520"/>
      <c r="N18" s="517"/>
      <c r="O18" s="520"/>
      <c r="P18" s="517"/>
      <c r="Q18" s="520"/>
      <c r="R18" s="517"/>
      <c r="S18" s="520"/>
      <c r="T18" s="517"/>
      <c r="U18" s="520"/>
      <c r="V18" s="517"/>
      <c r="W18" s="520"/>
      <c r="X18" s="517"/>
      <c r="Y18" s="520"/>
      <c r="Z18" s="517"/>
      <c r="AA18" s="520"/>
      <c r="AB18" s="517"/>
      <c r="AC18" s="520"/>
      <c r="AD18" s="517"/>
      <c r="AE18" s="520"/>
      <c r="AF18" s="517"/>
      <c r="AG18" s="520"/>
      <c r="AH18" s="517"/>
      <c r="AI18" s="520"/>
      <c r="AJ18" s="517"/>
      <c r="AK18" s="520"/>
      <c r="AL18" s="517"/>
      <c r="AM18" s="520"/>
      <c r="AN18" s="517"/>
      <c r="AO18" s="520"/>
      <c r="AP18" s="517"/>
      <c r="AQ18" s="520"/>
      <c r="AR18" s="517"/>
      <c r="AS18" s="520"/>
      <c r="AT18" s="517"/>
      <c r="AU18" s="520"/>
      <c r="AV18" s="517"/>
      <c r="AW18" s="520"/>
      <c r="AX18" s="517"/>
      <c r="AY18" s="556" t="n">
        <f aca="false">K18+M18+O18+Q18+S18+U18+W18+Y18+AA18+AC18+AE18+AG18+AI18+AK18+AM18+AO18+AQ18+AS18+AU18+AW18</f>
        <v>0</v>
      </c>
      <c r="AZ18" s="524" t="n">
        <f aca="false">IF(AND(AY18=0,BC18=0),0,(ABS(K18)*L18+ABS(M18)*N18+ABS(O18)*P18+ABS(Q18)*R18+ABS(S18)*T18+ABS(U18)*V18+ABS(W18)*X18+ABS(Y18)*Z18+ABS(AA18)*AB18+ABS(AC18)*AD18+ABS(AE18)*AF18+ABS(AG18)*AH18+ABS(AI18)*AJ18+ABS(AK18)*AL18+ABS(AM18)*AN18+ABS(AO18)*AP18+ABS(AQ18)*AR18+ABS(AS18)*AT18+ABS(AU18)*AV18+ABS(AW18)*AX18)/BC18)</f>
        <v>0</v>
      </c>
      <c r="BB18" s="0"/>
      <c r="BC18" s="222" t="n">
        <f aca="false">ABS(K18)+ABS(M18)+ABS(O18)+ABS(Q18)+ABS(S18)+ABS(U18)+ABS(W18)+ABS(Y18)+ABS(AA18)+ABS(AC18)+ABS(AE18)+ABS(AG18)+ABS(AI18)+ABS(AK18)+ABS(AM18)+ABS(AO18)+ABS(AQ18)+ABS(AS18)+ABS(AU18)+ABS(AW18)</f>
        <v>0</v>
      </c>
      <c r="BD18" s="525" t="n">
        <f aca="false">TradeSum!CB22</f>
        <v>37469</v>
      </c>
      <c r="BE18" s="914" t="n">
        <f aca="false">TradeSum!CD22*TradeSum!CE22</f>
        <v>339.249116162581</v>
      </c>
      <c r="BF18" s="648" t="e">
        <f aca="false">VLOOKUP(J18,TradeSum!$CB$12:$CD$47,3)*BC18</f>
        <v>#N/A</v>
      </c>
      <c r="BG18" s="915" t="n">
        <f aca="false">IF(ISERROR(BF18),0,BF18)</f>
        <v>0</v>
      </c>
      <c r="BH18" s="914" t="e">
        <f aca="false">VLOOKUP(J18,$BD$8:$BE$43,2)</f>
        <v>#N/A</v>
      </c>
      <c r="BI18" s="914" t="n">
        <f aca="false">IF(ISERROR(BH18),0,BH18)</f>
        <v>0</v>
      </c>
      <c r="BJ18" s="222" t="n">
        <v>11</v>
      </c>
      <c r="BK18" s="222" t="n">
        <v>3</v>
      </c>
    </row>
    <row r="19" customFormat="false" ht="15.75" hidden="false" customHeight="false" outlineLevel="0" collapsed="false">
      <c r="A19" s="916"/>
      <c r="B19" s="917"/>
      <c r="C19" s="918"/>
      <c r="D19" s="919"/>
      <c r="E19" s="920" t="n">
        <f aca="false">AZ19</f>
        <v>0</v>
      </c>
      <c r="F19" s="921" t="n">
        <f aca="false">AY19</f>
        <v>0</v>
      </c>
      <c r="G19" s="921" t="n">
        <f aca="false">F19*BI19</f>
        <v>0</v>
      </c>
      <c r="H19" s="922" t="n">
        <f aca="false">(((D19-L19)*K19+(D19-N19)*M19+(D19-P19)*O19+(D19-R19)*Q19+(D19-T19)*S19+(D19-V19)*U19+(D19-X19)*W19+(D19-Z19)*Y19+(D19-AB19)*AA19+(D19-AD19)*AC19+(D19-AF19)*AE19+(D19-AH19)*AG19+(D19-AJ19)*AI19+(D19-AL19)*AK19+(D19-AN19)*AM19+(D19-AP19)*AO19+(D19-AR19)*AQ19+(D19-AT19)*AS19+(D19-AV19)*AU19+(D19-AX19)*AW19)*BI19)</f>
        <v>0</v>
      </c>
      <c r="J19" s="512" t="n">
        <f aca="false">B19</f>
        <v>0</v>
      </c>
      <c r="K19" s="520"/>
      <c r="L19" s="517"/>
      <c r="M19" s="520"/>
      <c r="N19" s="517"/>
      <c r="O19" s="520"/>
      <c r="P19" s="517"/>
      <c r="Q19" s="520"/>
      <c r="R19" s="517"/>
      <c r="S19" s="520"/>
      <c r="T19" s="517"/>
      <c r="U19" s="520"/>
      <c r="V19" s="517"/>
      <c r="W19" s="520"/>
      <c r="X19" s="517"/>
      <c r="Y19" s="520"/>
      <c r="Z19" s="517"/>
      <c r="AA19" s="520"/>
      <c r="AB19" s="517"/>
      <c r="AC19" s="520"/>
      <c r="AD19" s="517"/>
      <c r="AE19" s="520"/>
      <c r="AF19" s="517"/>
      <c r="AG19" s="520"/>
      <c r="AH19" s="517"/>
      <c r="AI19" s="520"/>
      <c r="AJ19" s="517"/>
      <c r="AK19" s="520"/>
      <c r="AL19" s="517"/>
      <c r="AM19" s="520"/>
      <c r="AN19" s="517"/>
      <c r="AO19" s="520"/>
      <c r="AP19" s="517"/>
      <c r="AQ19" s="520"/>
      <c r="AR19" s="517"/>
      <c r="AS19" s="520"/>
      <c r="AT19" s="517"/>
      <c r="AU19" s="520"/>
      <c r="AV19" s="517"/>
      <c r="AW19" s="520"/>
      <c r="AX19" s="517"/>
      <c r="AY19" s="556" t="n">
        <f aca="false">K19+M19+O19+Q19+S19+U19+W19+Y19+AA19+AC19+AE19+AG19+AI19+AK19+AM19+AO19+AQ19+AS19+AU19+AW19</f>
        <v>0</v>
      </c>
      <c r="AZ19" s="524" t="n">
        <f aca="false">IF(AND(AY19=0,BC19=0),0,(ABS(K19)*L19+ABS(M19)*N19+ABS(O19)*P19+ABS(Q19)*R19+ABS(S19)*T19+ABS(U19)*V19+ABS(W19)*X19+ABS(Y19)*Z19+ABS(AA19)*AB19+ABS(AC19)*AD19+ABS(AE19)*AF19+ABS(AG19)*AH19+ABS(AI19)*AJ19+ABS(AK19)*AL19+ABS(AM19)*AN19+ABS(AO19)*AP19+ABS(AQ19)*AR19+ABS(AS19)*AT19+ABS(AU19)*AV19+ABS(AW19)*AX19)/BC19)</f>
        <v>0</v>
      </c>
      <c r="BB19" s="0"/>
      <c r="BC19" s="222" t="n">
        <f aca="false">ABS(K19)+ABS(M19)+ABS(O19)+ABS(Q19)+ABS(S19)+ABS(U19)+ABS(W19)+ABS(Y19)+ABS(AA19)+ABS(AC19)+ABS(AE19)+ABS(AG19)+ABS(AI19)+ABS(AK19)+ABS(AM19)+ABS(AO19)+ABS(AQ19)+ABS(AS19)+ABS(AU19)+ABS(AW19)</f>
        <v>0</v>
      </c>
      <c r="BD19" s="525" t="n">
        <f aca="false">TradeSum!CB23</f>
        <v>37500</v>
      </c>
      <c r="BE19" s="914" t="n">
        <f aca="false">TradeSum!CD23*TradeSum!CE23</f>
        <v>307.418854958748</v>
      </c>
      <c r="BF19" s="648" t="e">
        <f aca="false">VLOOKUP(J19,TradeSum!$CB$12:$CD$47,3)*BC19</f>
        <v>#N/A</v>
      </c>
      <c r="BG19" s="915" t="n">
        <f aca="false">IF(ISERROR(BF19),0,BF19)</f>
        <v>0</v>
      </c>
      <c r="BH19" s="914" t="e">
        <f aca="false">VLOOKUP(J19,$BD$8:$BE$43,2)</f>
        <v>#N/A</v>
      </c>
      <c r="BI19" s="914" t="n">
        <f aca="false">IF(ISERROR(BH19),0,BH19)</f>
        <v>0</v>
      </c>
      <c r="BJ19" s="222" t="n">
        <v>11</v>
      </c>
      <c r="BK19" s="222" t="n">
        <v>3</v>
      </c>
    </row>
    <row r="20" customFormat="false" ht="15.75" hidden="false" customHeight="false" outlineLevel="0" collapsed="false">
      <c r="A20" s="916"/>
      <c r="B20" s="917"/>
      <c r="C20" s="918"/>
      <c r="D20" s="919"/>
      <c r="E20" s="920" t="n">
        <f aca="false">AZ20</f>
        <v>0</v>
      </c>
      <c r="F20" s="921" t="n">
        <f aca="false">AY20</f>
        <v>0</v>
      </c>
      <c r="G20" s="921" t="n">
        <f aca="false">F20*BI20</f>
        <v>0</v>
      </c>
      <c r="H20" s="922" t="n">
        <f aca="false">(((D20-L20)*K20+(D20-N20)*M20+(D20-P20)*O20+(D20-R20)*Q20+(D20-T20)*S20+(D20-V20)*U20+(D20-X20)*W20+(D20-Z20)*Y20+(D20-AB20)*AA20+(D20-AD20)*AC20+(D20-AF20)*AE20+(D20-AH20)*AG20+(D20-AJ20)*AI20+(D20-AL20)*AK20+(D20-AN20)*AM20+(D20-AP20)*AO20+(D20-AR20)*AQ20+(D20-AT20)*AS20+(D20-AV20)*AU20+(D20-AX20)*AW20)*BI20)</f>
        <v>0</v>
      </c>
      <c r="J20" s="512" t="n">
        <f aca="false">B20</f>
        <v>0</v>
      </c>
      <c r="K20" s="520"/>
      <c r="L20" s="517"/>
      <c r="M20" s="520"/>
      <c r="N20" s="517"/>
      <c r="O20" s="520"/>
      <c r="P20" s="517"/>
      <c r="Q20" s="520"/>
      <c r="R20" s="517"/>
      <c r="S20" s="520"/>
      <c r="T20" s="517"/>
      <c r="U20" s="520"/>
      <c r="V20" s="517"/>
      <c r="W20" s="520"/>
      <c r="X20" s="517"/>
      <c r="Y20" s="520"/>
      <c r="Z20" s="517"/>
      <c r="AA20" s="520"/>
      <c r="AB20" s="517"/>
      <c r="AC20" s="520"/>
      <c r="AD20" s="517"/>
      <c r="AE20" s="520"/>
      <c r="AF20" s="517"/>
      <c r="AG20" s="520"/>
      <c r="AH20" s="517"/>
      <c r="AI20" s="520"/>
      <c r="AJ20" s="517"/>
      <c r="AK20" s="520"/>
      <c r="AL20" s="517"/>
      <c r="AM20" s="520"/>
      <c r="AN20" s="517"/>
      <c r="AO20" s="520"/>
      <c r="AP20" s="517"/>
      <c r="AQ20" s="520"/>
      <c r="AR20" s="517"/>
      <c r="AS20" s="520"/>
      <c r="AT20" s="517"/>
      <c r="AU20" s="520"/>
      <c r="AV20" s="517"/>
      <c r="AW20" s="520"/>
      <c r="AX20" s="517"/>
      <c r="AY20" s="556" t="n">
        <f aca="false">K20+M20+O20+Q20+S20+U20+W20+Y20+AA20+AC20+AE20+AG20+AI20+AK20+AM20+AO20+AQ20+AS20+AU20+AW20</f>
        <v>0</v>
      </c>
      <c r="AZ20" s="524" t="n">
        <f aca="false">IF(AND(AY20=0,BC20=0),0,(ABS(K20)*L20+ABS(M20)*N20+ABS(O20)*P20+ABS(Q20)*R20+ABS(S20)*T20+ABS(U20)*V20+ABS(W20)*X20+ABS(Y20)*Z20+ABS(AA20)*AB20+ABS(AC20)*AD20+ABS(AE20)*AF20+ABS(AG20)*AH20+ABS(AI20)*AJ20+ABS(AK20)*AL20+ABS(AM20)*AN20+ABS(AO20)*AP20+ABS(AQ20)*AR20+ABS(AS20)*AT20+ABS(AU20)*AV20+ABS(AW20)*AX20)/BC20)</f>
        <v>0</v>
      </c>
      <c r="BB20" s="0"/>
      <c r="BC20" s="222" t="n">
        <f aca="false">ABS(K20)+ABS(M20)+ABS(O20)+ABS(Q20)+ABS(S20)+ABS(U20)+ABS(W20)+ABS(Y20)+ABS(AA20)+ABS(AC20)+ABS(AE20)+ABS(AG20)+ABS(AI20)+ABS(AK20)+ABS(AM20)+ABS(AO20)+ABS(AQ20)+ABS(AS20)+ABS(AU20)+ABS(AW20)</f>
        <v>0</v>
      </c>
      <c r="BD20" s="525" t="n">
        <f aca="false">TradeSum!CB24</f>
        <v>37530</v>
      </c>
      <c r="BE20" s="914" t="n">
        <f aca="false">TradeSum!CD24*TradeSum!CE24</f>
        <v>352.327825630041</v>
      </c>
      <c r="BF20" s="648" t="e">
        <f aca="false">VLOOKUP(J20,TradeSum!$CB$12:$CD$47,3)*BC20</f>
        <v>#N/A</v>
      </c>
      <c r="BG20" s="915" t="n">
        <f aca="false">IF(ISERROR(BF20),0,BF20)</f>
        <v>0</v>
      </c>
      <c r="BH20" s="914" t="e">
        <f aca="false">VLOOKUP(J20,$BD$8:$BE$43,2)</f>
        <v>#N/A</v>
      </c>
      <c r="BI20" s="914" t="n">
        <f aca="false">IF(ISERROR(BH20),0,BH20)</f>
        <v>0</v>
      </c>
      <c r="BJ20" s="222" t="n">
        <v>11</v>
      </c>
      <c r="BK20" s="222" t="n">
        <v>3</v>
      </c>
    </row>
    <row r="21" customFormat="false" ht="15.75" hidden="false" customHeight="false" outlineLevel="0" collapsed="false">
      <c r="A21" s="916"/>
      <c r="B21" s="917"/>
      <c r="C21" s="918"/>
      <c r="D21" s="919"/>
      <c r="E21" s="920" t="n">
        <f aca="false">AZ21</f>
        <v>0</v>
      </c>
      <c r="F21" s="921" t="n">
        <f aca="false">AY21</f>
        <v>0</v>
      </c>
      <c r="G21" s="921" t="n">
        <f aca="false">F21*BI21</f>
        <v>0</v>
      </c>
      <c r="H21" s="922" t="n">
        <f aca="false">(((D21-L21)*K21+(D21-N21)*M21+(D21-P21)*O21+(D21-R21)*Q21+(D21-T21)*S21+(D21-V21)*U21+(D21-X21)*W21+(D21-Z21)*Y21+(D21-AB21)*AA21+(D21-AD21)*AC21+(D21-AF21)*AE21+(D21-AH21)*AG21+(D21-AJ21)*AI21+(D21-AL21)*AK21+(D21-AN21)*AM21+(D21-AP21)*AO21+(D21-AR21)*AQ21+(D21-AT21)*AS21+(D21-AV21)*AU21+(D21-AX21)*AW21)*BI21)</f>
        <v>0</v>
      </c>
      <c r="J21" s="512" t="n">
        <f aca="false">B21</f>
        <v>0</v>
      </c>
      <c r="K21" s="520"/>
      <c r="L21" s="517"/>
      <c r="M21" s="520"/>
      <c r="N21" s="517"/>
      <c r="O21" s="520"/>
      <c r="P21" s="517"/>
      <c r="Q21" s="520"/>
      <c r="R21" s="517"/>
      <c r="S21" s="520"/>
      <c r="T21" s="517"/>
      <c r="U21" s="520"/>
      <c r="V21" s="517"/>
      <c r="W21" s="520"/>
      <c r="X21" s="517"/>
      <c r="Y21" s="520"/>
      <c r="Z21" s="517"/>
      <c r="AA21" s="520"/>
      <c r="AB21" s="517"/>
      <c r="AC21" s="520"/>
      <c r="AD21" s="517"/>
      <c r="AE21" s="520"/>
      <c r="AF21" s="517"/>
      <c r="AG21" s="520"/>
      <c r="AH21" s="517"/>
      <c r="AI21" s="520"/>
      <c r="AJ21" s="517"/>
      <c r="AK21" s="520"/>
      <c r="AL21" s="517"/>
      <c r="AM21" s="520"/>
      <c r="AN21" s="517"/>
      <c r="AO21" s="520"/>
      <c r="AP21" s="517"/>
      <c r="AQ21" s="520"/>
      <c r="AR21" s="517"/>
      <c r="AS21" s="520"/>
      <c r="AT21" s="517"/>
      <c r="AU21" s="520"/>
      <c r="AV21" s="517"/>
      <c r="AW21" s="520"/>
      <c r="AX21" s="517"/>
      <c r="AY21" s="556" t="n">
        <f aca="false">K21+M21+O21+Q21+S21+U21+W21+Y21+AA21+AC21+AE21+AG21+AI21+AK21+AM21+AO21+AQ21+AS21+AU21+AW21</f>
        <v>0</v>
      </c>
      <c r="AZ21" s="524" t="n">
        <f aca="false">IF(AND(AY21=0,BC21=0),0,(ABS(K21)*L21+ABS(M21)*N21+ABS(O21)*P21+ABS(Q21)*R21+ABS(S21)*T21+ABS(U21)*V21+ABS(W21)*X21+ABS(Y21)*Z21+ABS(AA21)*AB21+ABS(AC21)*AD21+ABS(AE21)*AF21+ABS(AG21)*AH21+ABS(AI21)*AJ21+ABS(AK21)*AL21+ABS(AM21)*AN21+ABS(AO21)*AP21+ABS(AQ21)*AR21+ABS(AS21)*AT21+ABS(AU21)*AV21+ABS(AW21)*AX21)/BC21)</f>
        <v>0</v>
      </c>
      <c r="BB21" s="0"/>
      <c r="BC21" s="222" t="n">
        <f aca="false">ABS(K21)+ABS(M21)+ABS(O21)+ABS(Q21)+ABS(S21)+ABS(U21)+ABS(W21)+ABS(Y21)+ABS(AA21)+ABS(AC21)+ABS(AE21)+ABS(AG21)+ABS(AI21)+ABS(AK21)+ABS(AM21)+ABS(AO21)+ABS(AQ21)+ABS(AS21)+ABS(AU21)+ABS(AW21)</f>
        <v>0</v>
      </c>
      <c r="BD21" s="525" t="n">
        <f aca="false">TradeSum!CB25</f>
        <v>37561</v>
      </c>
      <c r="BE21" s="914" t="n">
        <f aca="false">TradeSum!CD25*TradeSum!CE25</f>
        <v>305.308537008012</v>
      </c>
      <c r="BF21" s="648" t="e">
        <f aca="false">VLOOKUP(J21,TradeSum!$CB$12:$CD$47,3)*BC21</f>
        <v>#N/A</v>
      </c>
      <c r="BG21" s="915" t="n">
        <f aca="false">IF(ISERROR(BF21),0,BF21)</f>
        <v>0</v>
      </c>
      <c r="BH21" s="914" t="e">
        <f aca="false">VLOOKUP(J21,$BD$8:$BE$43,2)</f>
        <v>#N/A</v>
      </c>
      <c r="BI21" s="914" t="n">
        <f aca="false">IF(ISERROR(BH21),0,BH21)</f>
        <v>0</v>
      </c>
      <c r="BJ21" s="222" t="n">
        <v>11</v>
      </c>
      <c r="BK21" s="222" t="n">
        <v>3</v>
      </c>
    </row>
    <row r="22" customFormat="false" ht="15.75" hidden="false" customHeight="false" outlineLevel="0" collapsed="false">
      <c r="A22" s="916"/>
      <c r="B22" s="917"/>
      <c r="C22" s="918"/>
      <c r="D22" s="919"/>
      <c r="E22" s="920" t="n">
        <f aca="false">AZ22</f>
        <v>0</v>
      </c>
      <c r="F22" s="921" t="n">
        <f aca="false">AY22</f>
        <v>0</v>
      </c>
      <c r="G22" s="921" t="n">
        <f aca="false">F22*BI22</f>
        <v>0</v>
      </c>
      <c r="H22" s="922" t="n">
        <f aca="false">(((D22-L22)*K22+(D22-N22)*M22+(D22-P22)*O22+(D22-R22)*Q22+(D22-T22)*S22+(D22-V22)*U22+(D22-X22)*W22+(D22-Z22)*Y22+(D22-AB22)*AA22+(D22-AD22)*AC22+(D22-AF22)*AE22+(D22-AH22)*AG22+(D22-AJ22)*AI22+(D22-AL22)*AK22+(D22-AN22)*AM22+(D22-AP22)*AO22+(D22-AR22)*AQ22+(D22-AT22)*AS22+(D22-AV22)*AU22+(D22-AX22)*AW22)*BI22)</f>
        <v>0</v>
      </c>
      <c r="J22" s="512" t="n">
        <f aca="false">B22</f>
        <v>0</v>
      </c>
      <c r="K22" s="520"/>
      <c r="L22" s="517"/>
      <c r="M22" s="520"/>
      <c r="N22" s="517"/>
      <c r="O22" s="520"/>
      <c r="P22" s="517"/>
      <c r="Q22" s="520"/>
      <c r="R22" s="517"/>
      <c r="S22" s="520"/>
      <c r="T22" s="517"/>
      <c r="U22" s="520"/>
      <c r="V22" s="517"/>
      <c r="W22" s="520"/>
      <c r="X22" s="517"/>
      <c r="Y22" s="520"/>
      <c r="Z22" s="517"/>
      <c r="AA22" s="520"/>
      <c r="AB22" s="517"/>
      <c r="AC22" s="520"/>
      <c r="AD22" s="517"/>
      <c r="AE22" s="520"/>
      <c r="AF22" s="517"/>
      <c r="AG22" s="520"/>
      <c r="AH22" s="517"/>
      <c r="AI22" s="520"/>
      <c r="AJ22" s="517"/>
      <c r="AK22" s="520"/>
      <c r="AL22" s="517"/>
      <c r="AM22" s="520"/>
      <c r="AN22" s="517"/>
      <c r="AO22" s="520"/>
      <c r="AP22" s="517"/>
      <c r="AQ22" s="520"/>
      <c r="AR22" s="517"/>
      <c r="AS22" s="520"/>
      <c r="AT22" s="517"/>
      <c r="AU22" s="520"/>
      <c r="AV22" s="517"/>
      <c r="AW22" s="520"/>
      <c r="AX22" s="517"/>
      <c r="AY22" s="556" t="n">
        <f aca="false">K22+M22+O22+Q22+S22+U22+W22+Y22+AA22+AC22+AE22+AG22+AI22+AK22+AM22+AO22+AQ22+AS22+AU22+AW22</f>
        <v>0</v>
      </c>
      <c r="AZ22" s="524" t="n">
        <f aca="false">IF(AND(AY22=0,BC22=0),0,(ABS(K22)*L22+ABS(M22)*N22+ABS(O22)*P22+ABS(Q22)*R22+ABS(S22)*T22+ABS(U22)*V22+ABS(W22)*X22+ABS(Y22)*Z22+ABS(AA22)*AB22+ABS(AC22)*AD22+ABS(AE22)*AF22+ABS(AG22)*AH22+ABS(AI22)*AJ22+ABS(AK22)*AL22+ABS(AM22)*AN22+ABS(AO22)*AP22+ABS(AQ22)*AR22+ABS(AS22)*AT22+ABS(AU22)*AV22+ABS(AW22)*AX22)/BC22)</f>
        <v>0</v>
      </c>
      <c r="BB22" s="0"/>
      <c r="BC22" s="222" t="n">
        <f aca="false">ABS(K22)+ABS(M22)+ABS(O22)+ABS(Q22)+ABS(S22)+ABS(U22)+ABS(W22)+ABS(Y22)+ABS(AA22)+ABS(AC22)+ABS(AE22)+ABS(AG22)+ABS(AI22)+ABS(AK22)+ABS(AM22)+ABS(AO22)+ABS(AQ22)+ABS(AS22)+ABS(AU22)+ABS(AW22)</f>
        <v>0</v>
      </c>
      <c r="BD22" s="525" t="n">
        <f aca="false">TradeSum!CB26</f>
        <v>37591</v>
      </c>
      <c r="BE22" s="914" t="n">
        <f aca="false">TradeSum!CD26*TradeSum!CE26</f>
        <v>319.413730768013</v>
      </c>
      <c r="BF22" s="648" t="e">
        <f aca="false">VLOOKUP(J22,TradeSum!$CB$12:$CD$47,3)*BC22</f>
        <v>#N/A</v>
      </c>
      <c r="BG22" s="915" t="n">
        <f aca="false">IF(ISERROR(BF22),0,BF22)</f>
        <v>0</v>
      </c>
      <c r="BH22" s="914" t="e">
        <f aca="false">VLOOKUP(J22,$BD$8:$BE$43,2)</f>
        <v>#N/A</v>
      </c>
      <c r="BI22" s="914" t="n">
        <f aca="false">IF(ISERROR(BH22),0,BH22)</f>
        <v>0</v>
      </c>
      <c r="BJ22" s="222" t="n">
        <v>11</v>
      </c>
      <c r="BK22" s="222" t="n">
        <v>3</v>
      </c>
    </row>
    <row r="23" customFormat="false" ht="15.75" hidden="false" customHeight="false" outlineLevel="0" collapsed="false">
      <c r="A23" s="916"/>
      <c r="B23" s="917"/>
      <c r="C23" s="918"/>
      <c r="D23" s="919"/>
      <c r="E23" s="920" t="n">
        <f aca="false">AZ23</f>
        <v>0</v>
      </c>
      <c r="F23" s="921" t="n">
        <f aca="false">AY23</f>
        <v>0</v>
      </c>
      <c r="G23" s="921" t="n">
        <f aca="false">F23*BI23</f>
        <v>0</v>
      </c>
      <c r="H23" s="922" t="n">
        <f aca="false">(((D23-L23)*K23+(D23-N23)*M23+(D23-P23)*O23+(D23-R23)*Q23+(D23-T23)*S23+(D23-V23)*U23+(D23-X23)*W23+(D23-Z23)*Y23+(D23-AB23)*AA23+(D23-AD23)*AC23+(D23-AF23)*AE23+(D23-AH23)*AG23+(D23-AJ23)*AI23+(D23-AL23)*AK23+(D23-AN23)*AM23+(D23-AP23)*AO23+(D23-AR23)*AQ23+(D23-AT23)*AS23+(D23-AV23)*AU23+(D23-AX23)*AW23)*BI23)</f>
        <v>0</v>
      </c>
      <c r="J23" s="512" t="n">
        <f aca="false">B23</f>
        <v>0</v>
      </c>
      <c r="K23" s="520"/>
      <c r="L23" s="517"/>
      <c r="M23" s="520"/>
      <c r="N23" s="517"/>
      <c r="O23" s="520"/>
      <c r="P23" s="517"/>
      <c r="Q23" s="520"/>
      <c r="R23" s="517"/>
      <c r="S23" s="520"/>
      <c r="T23" s="517"/>
      <c r="U23" s="520"/>
      <c r="V23" s="517"/>
      <c r="W23" s="520"/>
      <c r="X23" s="517"/>
      <c r="Y23" s="520"/>
      <c r="Z23" s="517"/>
      <c r="AA23" s="520"/>
      <c r="AB23" s="517"/>
      <c r="AC23" s="520"/>
      <c r="AD23" s="517"/>
      <c r="AE23" s="520"/>
      <c r="AF23" s="517"/>
      <c r="AG23" s="520"/>
      <c r="AH23" s="517"/>
      <c r="AI23" s="520"/>
      <c r="AJ23" s="517"/>
      <c r="AK23" s="520"/>
      <c r="AL23" s="517"/>
      <c r="AM23" s="520"/>
      <c r="AN23" s="517"/>
      <c r="AO23" s="520"/>
      <c r="AP23" s="517"/>
      <c r="AQ23" s="520"/>
      <c r="AR23" s="517"/>
      <c r="AS23" s="520"/>
      <c r="AT23" s="517"/>
      <c r="AU23" s="520"/>
      <c r="AV23" s="517"/>
      <c r="AW23" s="520"/>
      <c r="AX23" s="517"/>
      <c r="AY23" s="556" t="n">
        <f aca="false">K23+M23+O23+Q23+S23+U23+W23+Y23+AA23+AC23+AE23+AG23+AI23+AK23+AM23+AO23+AQ23+AS23+AU23+AW23</f>
        <v>0</v>
      </c>
      <c r="AZ23" s="524" t="n">
        <f aca="false">IF(AND(AY23=0,BC23=0),0,(ABS(K23)*L23+ABS(M23)*N23+ABS(O23)*P23+ABS(Q23)*R23+ABS(S23)*T23+ABS(U23)*V23+ABS(W23)*X23+ABS(Y23)*Z23+ABS(AA23)*AB23+ABS(AC23)*AD23+ABS(AE23)*AF23+ABS(AG23)*AH23+ABS(AI23)*AJ23+ABS(AK23)*AL23+ABS(AM23)*AN23+ABS(AO23)*AP23+ABS(AQ23)*AR23+ABS(AS23)*AT23+ABS(AU23)*AV23+ABS(AW23)*AX23)/BC23)</f>
        <v>0</v>
      </c>
      <c r="BB23" s="0"/>
      <c r="BC23" s="222" t="n">
        <f aca="false">ABS(K23)+ABS(M23)+ABS(O23)+ABS(Q23)+ABS(S23)+ABS(U23)+ABS(W23)+ABS(Y23)+ABS(AA23)+ABS(AC23)+ABS(AE23)+ABS(AG23)+ABS(AI23)+ABS(AK23)+ABS(AM23)+ABS(AO23)+ABS(AQ23)+ABS(AS23)+ABS(AU23)+ABS(AW23)</f>
        <v>0</v>
      </c>
      <c r="BD23" s="525" t="n">
        <f aca="false">TradeSum!CB27</f>
        <v>37622</v>
      </c>
      <c r="BE23" s="914" t="n">
        <f aca="false">TradeSum!CD27*TradeSum!CE27</f>
        <v>333.36459257863</v>
      </c>
      <c r="BF23" s="648" t="e">
        <f aca="false">VLOOKUP(J23,TradeSum!$CB$12:$CD$47,3)*BC23</f>
        <v>#N/A</v>
      </c>
      <c r="BG23" s="915" t="n">
        <f aca="false">IF(ISERROR(BF23),0,BF23)</f>
        <v>0</v>
      </c>
      <c r="BH23" s="914" t="e">
        <f aca="false">VLOOKUP(J23,$BD$8:$BE$43,2)</f>
        <v>#N/A</v>
      </c>
      <c r="BI23" s="914" t="n">
        <f aca="false">IF(ISERROR(BH23),0,BH23)</f>
        <v>0</v>
      </c>
      <c r="BJ23" s="222" t="n">
        <v>11</v>
      </c>
      <c r="BK23" s="222" t="n">
        <v>3</v>
      </c>
    </row>
    <row r="24" customFormat="false" ht="15.75" hidden="false" customHeight="false" outlineLevel="0" collapsed="false">
      <c r="A24" s="916"/>
      <c r="B24" s="917"/>
      <c r="C24" s="918"/>
      <c r="D24" s="919"/>
      <c r="E24" s="920" t="n">
        <f aca="false">AZ24</f>
        <v>0</v>
      </c>
      <c r="F24" s="921" t="n">
        <f aca="false">AY24</f>
        <v>0</v>
      </c>
      <c r="G24" s="921" t="n">
        <f aca="false">F24*BI24</f>
        <v>0</v>
      </c>
      <c r="H24" s="922" t="n">
        <f aca="false">(((D24-L24)*K24+(D24-N24)*M24+(D24-P24)*O24+(D24-R24)*Q24+(D24-T24)*S24+(D24-V24)*U24+(D24-X24)*W24+(D24-Z24)*Y24+(D24-AB24)*AA24+(D24-AD24)*AC24+(D24-AF24)*AE24+(D24-AH24)*AG24+(D24-AJ24)*AI24+(D24-AL24)*AK24+(D24-AN24)*AM24+(D24-AP24)*AO24+(D24-AR24)*AQ24+(D24-AT24)*AS24+(D24-AV24)*AU24+(D24-AX24)*AW24)*BI24)</f>
        <v>0</v>
      </c>
      <c r="J24" s="512" t="n">
        <f aca="false">B24</f>
        <v>0</v>
      </c>
      <c r="K24" s="520"/>
      <c r="L24" s="517"/>
      <c r="M24" s="520"/>
      <c r="N24" s="517"/>
      <c r="O24" s="520"/>
      <c r="P24" s="517"/>
      <c r="Q24" s="520"/>
      <c r="R24" s="517"/>
      <c r="S24" s="520"/>
      <c r="T24" s="517"/>
      <c r="U24" s="520"/>
      <c r="V24" s="517"/>
      <c r="W24" s="520"/>
      <c r="X24" s="517"/>
      <c r="Y24" s="520"/>
      <c r="Z24" s="517"/>
      <c r="AA24" s="520"/>
      <c r="AB24" s="517"/>
      <c r="AC24" s="520"/>
      <c r="AD24" s="517"/>
      <c r="AE24" s="520"/>
      <c r="AF24" s="517"/>
      <c r="AG24" s="520"/>
      <c r="AH24" s="517"/>
      <c r="AI24" s="520"/>
      <c r="AJ24" s="517"/>
      <c r="AK24" s="520"/>
      <c r="AL24" s="517"/>
      <c r="AM24" s="520"/>
      <c r="AN24" s="517"/>
      <c r="AO24" s="520"/>
      <c r="AP24" s="517"/>
      <c r="AQ24" s="520"/>
      <c r="AR24" s="517"/>
      <c r="AS24" s="520"/>
      <c r="AT24" s="517"/>
      <c r="AU24" s="520"/>
      <c r="AV24" s="517"/>
      <c r="AW24" s="520"/>
      <c r="AX24" s="517"/>
      <c r="AY24" s="556" t="n">
        <f aca="false">K24+M24+O24+Q24+S24+U24+W24+Y24+AA24+AC24+AE24+AG24+AI24+AK24+AM24+AO24+AQ24+AS24+AU24+AW24</f>
        <v>0</v>
      </c>
      <c r="AZ24" s="524" t="n">
        <f aca="false">IF(AND(AY24=0,BC24=0),0,(ABS(K24)*L24+ABS(M24)*N24+ABS(O24)*P24+ABS(Q24)*R24+ABS(S24)*T24+ABS(U24)*V24+ABS(W24)*X24+ABS(Y24)*Z24+ABS(AA24)*AB24+ABS(AC24)*AD24+ABS(AE24)*AF24+ABS(AG24)*AH24+ABS(AI24)*AJ24+ABS(AK24)*AL24+ABS(AM24)*AN24+ABS(AO24)*AP24+ABS(AQ24)*AR24+ABS(AS24)*AT24+ABS(AU24)*AV24+ABS(AW24)*AX24)/BC24)</f>
        <v>0</v>
      </c>
      <c r="BB24" s="0"/>
      <c r="BC24" s="222" t="n">
        <f aca="false">ABS(K24)+ABS(M24)+ABS(O24)+ABS(Q24)+ABS(S24)+ABS(U24)+ABS(W24)+ABS(Y24)+ABS(AA24)+ABS(AC24)+ABS(AE24)+ABS(AG24)+ABS(AI24)+ABS(AK24)+ABS(AM24)+ABS(AO24)+ABS(AQ24)+ABS(AS24)+ABS(AU24)+ABS(AW24)</f>
        <v>0</v>
      </c>
      <c r="BD24" s="525" t="n">
        <f aca="false">TradeSum!CB28</f>
        <v>37653</v>
      </c>
      <c r="BE24" s="914" t="n">
        <f aca="false">TradeSum!CD28*TradeSum!CE28</f>
        <v>301.96592108698</v>
      </c>
      <c r="BF24" s="648" t="e">
        <f aca="false">VLOOKUP(J24,TradeSum!$CB$12:$CD$47,3)*BC24</f>
        <v>#N/A</v>
      </c>
      <c r="BG24" s="915" t="n">
        <f aca="false">IF(ISERROR(BF24),0,BF24)</f>
        <v>0</v>
      </c>
      <c r="BH24" s="914" t="e">
        <f aca="false">VLOOKUP(J24,$BD$8:$BE$43,2)</f>
        <v>#N/A</v>
      </c>
      <c r="BI24" s="914" t="n">
        <f aca="false">IF(ISERROR(BH24),0,BH24)</f>
        <v>0</v>
      </c>
      <c r="BJ24" s="222" t="n">
        <v>11</v>
      </c>
      <c r="BK24" s="222" t="n">
        <v>3</v>
      </c>
    </row>
    <row r="25" customFormat="false" ht="15.75" hidden="false" customHeight="false" outlineLevel="0" collapsed="false">
      <c r="A25" s="916"/>
      <c r="B25" s="917"/>
      <c r="C25" s="918"/>
      <c r="D25" s="919"/>
      <c r="E25" s="920" t="n">
        <f aca="false">AZ25</f>
        <v>0</v>
      </c>
      <c r="F25" s="921" t="n">
        <f aca="false">AY25</f>
        <v>0</v>
      </c>
      <c r="G25" s="921" t="n">
        <f aca="false">F25*BI25</f>
        <v>0</v>
      </c>
      <c r="H25" s="922" t="n">
        <f aca="false">(((D25-L25)*K25+(D25-N25)*M25+(D25-P25)*O25+(D25-R25)*Q25+(D25-T25)*S25+(D25-V25)*U25+(D25-X25)*W25+(D25-Z25)*Y25+(D25-AB25)*AA25+(D25-AD25)*AC25+(D25-AF25)*AE25+(D25-AH25)*AG25+(D25-AJ25)*AI25+(D25-AL25)*AK25+(D25-AN25)*AM25+(D25-AP25)*AO25+(D25-AR25)*AQ25+(D25-AT25)*AS25+(D25-AV25)*AU25+(D25-AX25)*AW25)*BI25)</f>
        <v>0</v>
      </c>
      <c r="J25" s="512" t="n">
        <f aca="false">B25</f>
        <v>0</v>
      </c>
      <c r="K25" s="520"/>
      <c r="L25" s="517"/>
      <c r="M25" s="520"/>
      <c r="N25" s="517"/>
      <c r="O25" s="520"/>
      <c r="P25" s="517"/>
      <c r="Q25" s="520"/>
      <c r="R25" s="517"/>
      <c r="S25" s="520"/>
      <c r="T25" s="517"/>
      <c r="U25" s="520"/>
      <c r="V25" s="517"/>
      <c r="W25" s="520"/>
      <c r="X25" s="517"/>
      <c r="Y25" s="520"/>
      <c r="Z25" s="517"/>
      <c r="AA25" s="520"/>
      <c r="AB25" s="517"/>
      <c r="AC25" s="520"/>
      <c r="AD25" s="517"/>
      <c r="AE25" s="520"/>
      <c r="AF25" s="517"/>
      <c r="AG25" s="520"/>
      <c r="AH25" s="517"/>
      <c r="AI25" s="520"/>
      <c r="AJ25" s="517"/>
      <c r="AK25" s="520"/>
      <c r="AL25" s="517"/>
      <c r="AM25" s="520"/>
      <c r="AN25" s="517"/>
      <c r="AO25" s="520"/>
      <c r="AP25" s="517"/>
      <c r="AQ25" s="520"/>
      <c r="AR25" s="517"/>
      <c r="AS25" s="520"/>
      <c r="AT25" s="517"/>
      <c r="AU25" s="520"/>
      <c r="AV25" s="517"/>
      <c r="AW25" s="520"/>
      <c r="AX25" s="517"/>
      <c r="AY25" s="556" t="n">
        <f aca="false">K25+M25+O25+Q25+S25+U25+W25+Y25+AA25+AC25+AE25+AG25+AI25+AK25+AM25+AO25+AQ25+AS25+AU25+AW25</f>
        <v>0</v>
      </c>
      <c r="AZ25" s="524" t="n">
        <f aca="false">IF(AND(AY25=0,BC25=0),0,(ABS(K25)*L25+ABS(M25)*N25+ABS(O25)*P25+ABS(Q25)*R25+ABS(S25)*T25+ABS(U25)*V25+ABS(W25)*X25+ABS(Y25)*Z25+ABS(AA25)*AB25+ABS(AC25)*AD25+ABS(AE25)*AF25+ABS(AG25)*AH25+ABS(AI25)*AJ25+ABS(AK25)*AL25+ABS(AM25)*AN25+ABS(AO25)*AP25+ABS(AQ25)*AR25+ABS(AS25)*AT25+ABS(AU25)*AV25+ABS(AW25)*AX25)/BC25)</f>
        <v>0</v>
      </c>
      <c r="BB25" s="0"/>
      <c r="BC25" s="222" t="n">
        <f aca="false">ABS(K25)+ABS(M25)+ABS(O25)+ABS(Q25)+ABS(S25)+ABS(U25)+ABS(W25)+ABS(Y25)+ABS(AA25)+ABS(AC25)+ABS(AE25)+ABS(AG25)+ABS(AI25)+ABS(AK25)+ABS(AM25)+ABS(AO25)+ABS(AQ25)+ABS(AS25)+ABS(AU25)+ABS(AW25)</f>
        <v>0</v>
      </c>
      <c r="BD25" s="525" t="n">
        <f aca="false">TradeSum!CB29</f>
        <v>37681</v>
      </c>
      <c r="BE25" s="914" t="n">
        <f aca="false">TradeSum!CD29*TradeSum!CE29</f>
        <v>315.822046646033</v>
      </c>
      <c r="BF25" s="648" t="e">
        <f aca="false">VLOOKUP(J25,TradeSum!$CB$12:$CD$47,3)*BC25</f>
        <v>#N/A</v>
      </c>
      <c r="BG25" s="915" t="n">
        <f aca="false">IF(ISERROR(BF25),0,BF25)</f>
        <v>0</v>
      </c>
      <c r="BH25" s="914" t="e">
        <f aca="false">VLOOKUP(J25,$BD$8:$BE$43,2)</f>
        <v>#N/A</v>
      </c>
      <c r="BI25" s="914" t="n">
        <f aca="false">IF(ISERROR(BH25),0,BH25)</f>
        <v>0</v>
      </c>
      <c r="BJ25" s="222" t="n">
        <v>11</v>
      </c>
      <c r="BK25" s="222" t="n">
        <v>3</v>
      </c>
    </row>
    <row r="26" customFormat="false" ht="15.75" hidden="false" customHeight="false" outlineLevel="0" collapsed="false">
      <c r="A26" s="916"/>
      <c r="B26" s="917"/>
      <c r="C26" s="918"/>
      <c r="D26" s="919"/>
      <c r="E26" s="920" t="n">
        <f aca="false">AZ26</f>
        <v>0</v>
      </c>
      <c r="F26" s="921" t="n">
        <f aca="false">AY26</f>
        <v>0</v>
      </c>
      <c r="G26" s="921" t="n">
        <f aca="false">F26*BI26</f>
        <v>0</v>
      </c>
      <c r="H26" s="922" t="n">
        <f aca="false">(((D26-L26)*K26+(D26-N26)*M26+(D26-P26)*O26+(D26-R26)*Q26+(D26-T26)*S26+(D26-V26)*U26+(D26-X26)*W26+(D26-Z26)*Y26+(D26-AB26)*AA26+(D26-AD26)*AC26+(D26-AF26)*AE26+(D26-AH26)*AG26+(D26-AJ26)*AI26+(D26-AL26)*AK26+(D26-AN26)*AM26+(D26-AP26)*AO26+(D26-AR26)*AQ26+(D26-AT26)*AS26+(D26-AV26)*AU26+(D26-AX26)*AW26)*BI26)</f>
        <v>0</v>
      </c>
      <c r="J26" s="512" t="n">
        <f aca="false">B26</f>
        <v>0</v>
      </c>
      <c r="K26" s="520"/>
      <c r="L26" s="517"/>
      <c r="M26" s="520"/>
      <c r="N26" s="517"/>
      <c r="O26" s="520"/>
      <c r="P26" s="517"/>
      <c r="Q26" s="520"/>
      <c r="R26" s="517"/>
      <c r="S26" s="520"/>
      <c r="T26" s="517"/>
      <c r="U26" s="520"/>
      <c r="V26" s="517"/>
      <c r="W26" s="520"/>
      <c r="X26" s="517"/>
      <c r="Y26" s="520"/>
      <c r="Z26" s="517"/>
      <c r="AA26" s="520"/>
      <c r="AB26" s="517"/>
      <c r="AC26" s="520"/>
      <c r="AD26" s="517"/>
      <c r="AE26" s="520"/>
      <c r="AF26" s="517"/>
      <c r="AG26" s="520"/>
      <c r="AH26" s="517"/>
      <c r="AI26" s="520"/>
      <c r="AJ26" s="517"/>
      <c r="AK26" s="520"/>
      <c r="AL26" s="517"/>
      <c r="AM26" s="520"/>
      <c r="AN26" s="517"/>
      <c r="AO26" s="520"/>
      <c r="AP26" s="517"/>
      <c r="AQ26" s="520"/>
      <c r="AR26" s="517"/>
      <c r="AS26" s="520"/>
      <c r="AT26" s="517"/>
      <c r="AU26" s="520"/>
      <c r="AV26" s="517"/>
      <c r="AW26" s="520"/>
      <c r="AX26" s="517"/>
      <c r="AY26" s="556" t="n">
        <f aca="false">K26+M26+O26+Q26+S26+U26+W26+Y26+AA26+AC26+AE26+AG26+AI26+AK26+AM26+AO26+AQ26+AS26+AU26+AW26</f>
        <v>0</v>
      </c>
      <c r="AZ26" s="524" t="n">
        <f aca="false">IF(AND(AY26=0,BC26=0),0,(ABS(K26)*L26+ABS(M26)*N26+ABS(O26)*P26+ABS(Q26)*R26+ABS(S26)*T26+ABS(U26)*V26+ABS(W26)*X26+ABS(Y26)*Z26+ABS(AA26)*AB26+ABS(AC26)*AD26+ABS(AE26)*AF26+ABS(AG26)*AH26+ABS(AI26)*AJ26+ABS(AK26)*AL26+ABS(AM26)*AN26+ABS(AO26)*AP26+ABS(AQ26)*AR26+ABS(AS26)*AT26+ABS(AU26)*AV26+ABS(AW26)*AX26)/BC26)</f>
        <v>0</v>
      </c>
      <c r="BB26" s="0"/>
      <c r="BC26" s="222" t="n">
        <f aca="false">ABS(K26)+ABS(M26)+ABS(O26)+ABS(Q26)+ABS(S26)+ABS(U26)+ABS(W26)+ABS(Y26)+ABS(AA26)+ABS(AC26)+ABS(AE26)+ABS(AG26)+ABS(AI26)+ABS(AK26)+ABS(AM26)+ABS(AO26)+ABS(AQ26)+ABS(AS26)+ABS(AU26)+ABS(AW26)</f>
        <v>0</v>
      </c>
      <c r="BD26" s="525" t="n">
        <f aca="false">TradeSum!CB30</f>
        <v>37712</v>
      </c>
      <c r="BE26" s="914" t="n">
        <f aca="false">TradeSum!CD30*TradeSum!CE30</f>
        <v>329.554045061913</v>
      </c>
      <c r="BF26" s="648" t="e">
        <f aca="false">VLOOKUP(J26,TradeSum!$CB$12:$CD$47,3)*BC26</f>
        <v>#N/A</v>
      </c>
      <c r="BG26" s="915" t="n">
        <f aca="false">IF(ISERROR(BF26),0,BF26)</f>
        <v>0</v>
      </c>
      <c r="BH26" s="914" t="e">
        <f aca="false">VLOOKUP(J26,$BD$8:$BE$43,2)</f>
        <v>#N/A</v>
      </c>
      <c r="BI26" s="914" t="n">
        <f aca="false">IF(ISERROR(BH26),0,BH26)</f>
        <v>0</v>
      </c>
      <c r="BJ26" s="222" t="n">
        <v>11</v>
      </c>
      <c r="BK26" s="222" t="n">
        <v>3</v>
      </c>
    </row>
    <row r="27" customFormat="false" ht="15.75" hidden="false" customHeight="false" outlineLevel="0" collapsed="false">
      <c r="A27" s="916"/>
      <c r="B27" s="917"/>
      <c r="C27" s="918"/>
      <c r="D27" s="919"/>
      <c r="E27" s="920" t="n">
        <f aca="false">AZ27</f>
        <v>0</v>
      </c>
      <c r="F27" s="921" t="n">
        <f aca="false">AY27</f>
        <v>0</v>
      </c>
      <c r="G27" s="921" t="n">
        <f aca="false">F27*BI27</f>
        <v>0</v>
      </c>
      <c r="H27" s="922" t="n">
        <f aca="false">(((D27-L27)*K27+(D27-N27)*M27+(D27-P27)*O27+(D27-R27)*Q27+(D27-T27)*S27+(D27-V27)*U27+(D27-X27)*W27+(D27-Z27)*Y27+(D27-AB27)*AA27+(D27-AD27)*AC27+(D27-AF27)*AE27+(D27-AH27)*AG27+(D27-AJ27)*AI27+(D27-AL27)*AK27+(D27-AN27)*AM27+(D27-AP27)*AO27+(D27-AR27)*AQ27+(D27-AT27)*AS27+(D27-AV27)*AU27+(D27-AX27)*AW27)*BI27)</f>
        <v>0</v>
      </c>
      <c r="J27" s="512" t="n">
        <f aca="false">B27</f>
        <v>0</v>
      </c>
      <c r="K27" s="520"/>
      <c r="L27" s="517"/>
      <c r="M27" s="520"/>
      <c r="N27" s="517"/>
      <c r="O27" s="520"/>
      <c r="P27" s="517"/>
      <c r="Q27" s="520"/>
      <c r="R27" s="517"/>
      <c r="S27" s="520"/>
      <c r="T27" s="517"/>
      <c r="U27" s="520"/>
      <c r="V27" s="517"/>
      <c r="W27" s="520"/>
      <c r="X27" s="517"/>
      <c r="Y27" s="520"/>
      <c r="Z27" s="517"/>
      <c r="AA27" s="520"/>
      <c r="AB27" s="517"/>
      <c r="AC27" s="520"/>
      <c r="AD27" s="517"/>
      <c r="AE27" s="520"/>
      <c r="AF27" s="517"/>
      <c r="AG27" s="520"/>
      <c r="AH27" s="517"/>
      <c r="AI27" s="520"/>
      <c r="AJ27" s="517"/>
      <c r="AK27" s="520"/>
      <c r="AL27" s="517"/>
      <c r="AM27" s="520"/>
      <c r="AN27" s="517"/>
      <c r="AO27" s="520"/>
      <c r="AP27" s="517"/>
      <c r="AQ27" s="520"/>
      <c r="AR27" s="517"/>
      <c r="AS27" s="520"/>
      <c r="AT27" s="517"/>
      <c r="AU27" s="520"/>
      <c r="AV27" s="517"/>
      <c r="AW27" s="520"/>
      <c r="AX27" s="517"/>
      <c r="AY27" s="556" t="n">
        <f aca="false">K27+M27+O27+Q27+S27+U27+W27+Y27+AA27+AC27+AE27+AG27+AI27+AK27+AM27+AO27+AQ27+AS27+AU27+AW27</f>
        <v>0</v>
      </c>
      <c r="AZ27" s="524" t="n">
        <f aca="false">IF(AND(AY27=0,BC27=0),0,(ABS(K27)*L27+ABS(M27)*N27+ABS(O27)*P27+ABS(Q27)*R27+ABS(S27)*T27+ABS(U27)*V27+ABS(W27)*X27+ABS(Y27)*Z27+ABS(AA27)*AB27+ABS(AC27)*AD27+ABS(AE27)*AF27+ABS(AG27)*AH27+ABS(AI27)*AJ27+ABS(AK27)*AL27+ABS(AM27)*AN27+ABS(AO27)*AP27+ABS(AQ27)*AR27+ABS(AS27)*AT27+ABS(AU27)*AV27+ABS(AW27)*AX27)/BC27)</f>
        <v>0</v>
      </c>
      <c r="BB27" s="0"/>
      <c r="BC27" s="222" t="n">
        <f aca="false">ABS(K27)+ABS(M27)+ABS(O27)+ABS(Q27)+ABS(S27)+ABS(U27)+ABS(W27)+ABS(Y27)+ABS(AA27)+ABS(AC27)+ABS(AE27)+ABS(AG27)+ABS(AI27)+ABS(AK27)+ABS(AM27)+ABS(AO27)+ABS(AQ27)+ABS(AS27)+ABS(AU27)+ABS(AW27)</f>
        <v>0</v>
      </c>
      <c r="BD27" s="525" t="n">
        <f aca="false">TradeSum!CB31</f>
        <v>37742</v>
      </c>
      <c r="BE27" s="914" t="n">
        <f aca="false">TradeSum!CD31*TradeSum!CE31</f>
        <v>313.291641601432</v>
      </c>
      <c r="BF27" s="648" t="e">
        <f aca="false">VLOOKUP(J27,TradeSum!$CB$12:$CD$47,3)*BC27</f>
        <v>#N/A</v>
      </c>
      <c r="BG27" s="915" t="n">
        <f aca="false">IF(ISERROR(BF27),0,BF27)</f>
        <v>0</v>
      </c>
      <c r="BH27" s="914" t="e">
        <f aca="false">VLOOKUP(J27,$BD$8:$BE$43,2)</f>
        <v>#N/A</v>
      </c>
      <c r="BI27" s="914" t="n">
        <f aca="false">IF(ISERROR(BH27),0,BH27)</f>
        <v>0</v>
      </c>
      <c r="BJ27" s="222" t="n">
        <v>11</v>
      </c>
      <c r="BK27" s="222" t="n">
        <v>3</v>
      </c>
    </row>
    <row r="28" customFormat="false" ht="15.75" hidden="false" customHeight="false" outlineLevel="0" collapsed="false">
      <c r="A28" s="916"/>
      <c r="B28" s="917"/>
      <c r="C28" s="918"/>
      <c r="D28" s="919"/>
      <c r="E28" s="920" t="n">
        <f aca="false">AZ28</f>
        <v>0</v>
      </c>
      <c r="F28" s="921" t="n">
        <f aca="false">AY28</f>
        <v>0</v>
      </c>
      <c r="G28" s="921" t="n">
        <f aca="false">F28*BI28</f>
        <v>0</v>
      </c>
      <c r="H28" s="922" t="n">
        <f aca="false">(((D28-L28)*K28+(D28-N28)*M28+(D28-P28)*O28+(D28-R28)*Q28+(D28-T28)*S28+(D28-V28)*U28+(D28-X28)*W28+(D28-Z28)*Y28+(D28-AB28)*AA28+(D28-AD28)*AC28+(D28-AF28)*AE28+(D28-AH28)*AG28+(D28-AJ28)*AI28+(D28-AL28)*AK28+(D28-AN28)*AM28+(D28-AP28)*AO28+(D28-AR28)*AQ28+(D28-AT28)*AS28+(D28-AV28)*AU28+(D28-AX28)*AW28)*BI28)</f>
        <v>0</v>
      </c>
      <c r="J28" s="512" t="n">
        <f aca="false">B28</f>
        <v>0</v>
      </c>
      <c r="K28" s="520"/>
      <c r="L28" s="517"/>
      <c r="M28" s="520"/>
      <c r="N28" s="517"/>
      <c r="O28" s="520"/>
      <c r="P28" s="517"/>
      <c r="Q28" s="520"/>
      <c r="R28" s="517"/>
      <c r="S28" s="520"/>
      <c r="T28" s="517"/>
      <c r="U28" s="520"/>
      <c r="V28" s="517"/>
      <c r="W28" s="520"/>
      <c r="X28" s="517"/>
      <c r="Y28" s="520"/>
      <c r="Z28" s="517"/>
      <c r="AA28" s="520"/>
      <c r="AB28" s="517"/>
      <c r="AC28" s="520"/>
      <c r="AD28" s="517"/>
      <c r="AE28" s="520"/>
      <c r="AF28" s="517"/>
      <c r="AG28" s="520"/>
      <c r="AH28" s="517"/>
      <c r="AI28" s="520"/>
      <c r="AJ28" s="517"/>
      <c r="AK28" s="520"/>
      <c r="AL28" s="517"/>
      <c r="AM28" s="520"/>
      <c r="AN28" s="517"/>
      <c r="AO28" s="520"/>
      <c r="AP28" s="517"/>
      <c r="AQ28" s="520"/>
      <c r="AR28" s="517"/>
      <c r="AS28" s="520"/>
      <c r="AT28" s="517"/>
      <c r="AU28" s="520"/>
      <c r="AV28" s="517"/>
      <c r="AW28" s="520"/>
      <c r="AX28" s="517"/>
      <c r="AY28" s="556" t="n">
        <f aca="false">K28+M28+O28+Q28+S28+U28+W28+Y28+AA28+AC28+AE28+AG28+AI28+AK28+AM28+AO28+AQ28+AS28+AU28+AW28</f>
        <v>0</v>
      </c>
      <c r="AZ28" s="524" t="n">
        <f aca="false">IF(AND(AY28=0,BC28=0),0,(ABS(K28)*L28+ABS(M28)*N28+ABS(O28)*P28+ABS(Q28)*R28+ABS(S28)*T28+ABS(U28)*V28+ABS(W28)*X28+ABS(Y28)*Z28+ABS(AA28)*AB28+ABS(AC28)*AD28+ABS(AE28)*AF28+ABS(AG28)*AH28+ABS(AI28)*AJ28+ABS(AK28)*AL28+ABS(AM28)*AN28+ABS(AO28)*AP28+ABS(AQ28)*AR28+ABS(AS28)*AT28+ABS(AU28)*AV28+ABS(AW28)*AX28)/BC28)</f>
        <v>0</v>
      </c>
      <c r="BB28" s="0"/>
      <c r="BC28" s="222" t="n">
        <f aca="false">ABS(K28)+ABS(M28)+ABS(O28)+ABS(Q28)+ABS(S28)+ABS(U28)+ABS(W28)+ABS(Y28)+ABS(AA28)+ABS(AC28)+ABS(AE28)+ABS(AG28)+ABS(AI28)+ABS(AK28)+ABS(AM28)+ABS(AO28)+ABS(AQ28)+ABS(AS28)+ABS(AU28)+ABS(AW28)</f>
        <v>0</v>
      </c>
      <c r="BD28" s="525" t="n">
        <f aca="false">TradeSum!CB32</f>
        <v>37773</v>
      </c>
      <c r="BE28" s="914" t="n">
        <f aca="false">TradeSum!CD32*TradeSum!CE32</f>
        <v>312.015825864073</v>
      </c>
      <c r="BF28" s="648" t="e">
        <f aca="false">VLOOKUP(J28,TradeSum!$CB$12:$CD$47,3)*BC28</f>
        <v>#N/A</v>
      </c>
      <c r="BG28" s="915" t="n">
        <f aca="false">IF(ISERROR(BF28),0,BF28)</f>
        <v>0</v>
      </c>
      <c r="BH28" s="914" t="e">
        <f aca="false">VLOOKUP(J28,$BD$8:$BE$43,2)</f>
        <v>#N/A</v>
      </c>
      <c r="BI28" s="914" t="n">
        <f aca="false">IF(ISERROR(BH28),0,BH28)</f>
        <v>0</v>
      </c>
      <c r="BJ28" s="222" t="n">
        <v>11</v>
      </c>
      <c r="BK28" s="222" t="n">
        <v>3</v>
      </c>
    </row>
    <row r="29" customFormat="false" ht="15.75" hidden="false" customHeight="false" outlineLevel="0" collapsed="false">
      <c r="A29" s="916"/>
      <c r="B29" s="917"/>
      <c r="C29" s="918"/>
      <c r="D29" s="919"/>
      <c r="E29" s="920" t="n">
        <f aca="false">AZ29</f>
        <v>0</v>
      </c>
      <c r="F29" s="921" t="n">
        <f aca="false">AY29</f>
        <v>0</v>
      </c>
      <c r="G29" s="921" t="n">
        <f aca="false">F29*BI29</f>
        <v>0</v>
      </c>
      <c r="H29" s="922" t="n">
        <f aca="false">(((D29-L29)*K29+(D29-N29)*M29+(D29-P29)*O29+(D29-R29)*Q29+(D29-T29)*S29+(D29-V29)*U29+(D29-X29)*W29+(D29-Z29)*Y29+(D29-AB29)*AA29+(D29-AD29)*AC29+(D29-AF29)*AE29+(D29-AH29)*AG29+(D29-AJ29)*AI29+(D29-AL29)*AK29+(D29-AN29)*AM29+(D29-AP29)*AO29+(D29-AR29)*AQ29+(D29-AT29)*AS29+(D29-AV29)*AU29+(D29-AX29)*AW29)*BI29)</f>
        <v>0</v>
      </c>
      <c r="J29" s="512" t="n">
        <f aca="false">B29</f>
        <v>0</v>
      </c>
      <c r="K29" s="520"/>
      <c r="L29" s="517"/>
      <c r="M29" s="520"/>
      <c r="N29" s="517"/>
      <c r="O29" s="520"/>
      <c r="P29" s="517"/>
      <c r="Q29" s="520"/>
      <c r="R29" s="517"/>
      <c r="S29" s="520"/>
      <c r="T29" s="517"/>
      <c r="U29" s="520"/>
      <c r="V29" s="517"/>
      <c r="W29" s="520"/>
      <c r="X29" s="517"/>
      <c r="Y29" s="520"/>
      <c r="Z29" s="517"/>
      <c r="AA29" s="520"/>
      <c r="AB29" s="517"/>
      <c r="AC29" s="520"/>
      <c r="AD29" s="517"/>
      <c r="AE29" s="520"/>
      <c r="AF29" s="517"/>
      <c r="AG29" s="520"/>
      <c r="AH29" s="517"/>
      <c r="AI29" s="520"/>
      <c r="AJ29" s="517"/>
      <c r="AK29" s="520"/>
      <c r="AL29" s="517"/>
      <c r="AM29" s="520"/>
      <c r="AN29" s="517"/>
      <c r="AO29" s="520"/>
      <c r="AP29" s="517"/>
      <c r="AQ29" s="520"/>
      <c r="AR29" s="517"/>
      <c r="AS29" s="520"/>
      <c r="AT29" s="517"/>
      <c r="AU29" s="520"/>
      <c r="AV29" s="517"/>
      <c r="AW29" s="520"/>
      <c r="AX29" s="517"/>
      <c r="AY29" s="556" t="n">
        <f aca="false">K29+M29+O29+Q29+S29+U29+W29+Y29+AA29+AC29+AE29+AG29+AI29+AK29+AM29+AO29+AQ29+AS29+AU29+AW29</f>
        <v>0</v>
      </c>
      <c r="AZ29" s="524" t="n">
        <f aca="false">IF(AND(AY29=0,BC29=0),0,(ABS(K29)*L29+ABS(M29)*N29+ABS(O29)*P29+ABS(Q29)*R29+ABS(S29)*T29+ABS(U29)*V29+ABS(W29)*X29+ABS(Y29)*Z29+ABS(AA29)*AB29+ABS(AC29)*AD29+ABS(AE29)*AF29+ABS(AG29)*AH29+ABS(AI29)*AJ29+ABS(AK29)*AL29+ABS(AM29)*AN29+ABS(AO29)*AP29+ABS(AQ29)*AR29+ABS(AS29)*AT29+ABS(AU29)*AV29+ABS(AW29)*AX29)/BC29)</f>
        <v>0</v>
      </c>
      <c r="BB29" s="0"/>
      <c r="BC29" s="222" t="n">
        <f aca="false">ABS(K29)+ABS(M29)+ABS(O29)+ABS(Q29)+ABS(S29)+ABS(U29)+ABS(W29)+ABS(Y29)+ABS(AA29)+ABS(AC29)+ABS(AE29)+ABS(AG29)+ABS(AI29)+ABS(AK29)+ABS(AM29)+ABS(AO29)+ABS(AQ29)+ABS(AS29)+ABS(AU29)+ABS(AW29)</f>
        <v>0</v>
      </c>
      <c r="BD29" s="525" t="n">
        <f aca="false">TradeSum!CB33</f>
        <v>37803</v>
      </c>
      <c r="BE29" s="914" t="n">
        <f aca="false">TradeSum!CD33*TradeSum!CE33</f>
        <v>325.492039578631</v>
      </c>
      <c r="BF29" s="648" t="e">
        <f aca="false">VLOOKUP(J29,TradeSum!$CB$12:$CD$47,3)*BC29</f>
        <v>#N/A</v>
      </c>
      <c r="BG29" s="915" t="n">
        <f aca="false">IF(ISERROR(BF29),0,BF29)</f>
        <v>0</v>
      </c>
      <c r="BH29" s="914" t="e">
        <f aca="false">VLOOKUP(J29,$BD$8:$BE$43,2)</f>
        <v>#N/A</v>
      </c>
      <c r="BI29" s="914" t="n">
        <f aca="false">IF(ISERROR(BH29),0,BH29)</f>
        <v>0</v>
      </c>
      <c r="BJ29" s="222" t="n">
        <v>11</v>
      </c>
      <c r="BK29" s="222" t="n">
        <v>3</v>
      </c>
    </row>
    <row r="30" customFormat="false" ht="15.75" hidden="false" customHeight="false" outlineLevel="0" collapsed="false">
      <c r="A30" s="916"/>
      <c r="B30" s="917"/>
      <c r="C30" s="918"/>
      <c r="D30" s="919"/>
      <c r="E30" s="920" t="n">
        <f aca="false">AZ30</f>
        <v>0</v>
      </c>
      <c r="F30" s="921" t="n">
        <f aca="false">AY30</f>
        <v>0</v>
      </c>
      <c r="G30" s="921" t="n">
        <f aca="false">F30*BI30</f>
        <v>0</v>
      </c>
      <c r="H30" s="922" t="n">
        <f aca="false">(((D30-L30)*K30+(D30-N30)*M30+(D30-P30)*O30+(D30-R30)*Q30+(D30-T30)*S30+(D30-V30)*U30+(D30-X30)*W30+(D30-Z30)*Y30+(D30-AB30)*AA30+(D30-AD30)*AC30+(D30-AF30)*AE30+(D30-AH30)*AG30+(D30-AJ30)*AI30+(D30-AL30)*AK30+(D30-AN30)*AM30+(D30-AP30)*AO30+(D30-AR30)*AQ30+(D30-AT30)*AS30+(D30-AV30)*AU30+(D30-AX30)*AW30)*BI30)</f>
        <v>0</v>
      </c>
      <c r="J30" s="512" t="n">
        <f aca="false">B30</f>
        <v>0</v>
      </c>
      <c r="K30" s="520"/>
      <c r="L30" s="517"/>
      <c r="M30" s="520"/>
      <c r="N30" s="517"/>
      <c r="O30" s="520"/>
      <c r="P30" s="517"/>
      <c r="Q30" s="520"/>
      <c r="R30" s="517"/>
      <c r="S30" s="520"/>
      <c r="T30" s="517"/>
      <c r="U30" s="520"/>
      <c r="V30" s="517"/>
      <c r="W30" s="520"/>
      <c r="X30" s="517"/>
      <c r="Y30" s="520"/>
      <c r="Z30" s="517"/>
      <c r="AA30" s="520"/>
      <c r="AB30" s="517"/>
      <c r="AC30" s="520"/>
      <c r="AD30" s="517"/>
      <c r="AE30" s="520"/>
      <c r="AF30" s="517"/>
      <c r="AG30" s="520"/>
      <c r="AH30" s="517"/>
      <c r="AI30" s="520"/>
      <c r="AJ30" s="517"/>
      <c r="AK30" s="520"/>
      <c r="AL30" s="517"/>
      <c r="AM30" s="520"/>
      <c r="AN30" s="517"/>
      <c r="AO30" s="520"/>
      <c r="AP30" s="517"/>
      <c r="AQ30" s="520"/>
      <c r="AR30" s="517"/>
      <c r="AS30" s="520"/>
      <c r="AT30" s="517"/>
      <c r="AU30" s="520"/>
      <c r="AV30" s="517"/>
      <c r="AW30" s="520"/>
      <c r="AX30" s="517"/>
      <c r="AY30" s="556" t="n">
        <f aca="false">K30+M30+O30+Q30+S30+U30+W30+Y30+AA30+AC30+AE30+AG30+AI30+AK30+AM30+AO30+AQ30+AS30+AU30+AW30</f>
        <v>0</v>
      </c>
      <c r="AZ30" s="524" t="n">
        <f aca="false">IF(AND(AY30=0,BC30=0),0,(ABS(K30)*L30+ABS(M30)*N30+ABS(O30)*P30+ABS(Q30)*R30+ABS(S30)*T30+ABS(U30)*V30+ABS(W30)*X30+ABS(Y30)*Z30+ABS(AA30)*AB30+ABS(AC30)*AD30+ABS(AE30)*AF30+ABS(AG30)*AH30+ABS(AI30)*AJ30+ABS(AK30)*AL30+ABS(AM30)*AN30+ABS(AO30)*AP30+ABS(AQ30)*AR30+ABS(AS30)*AT30+ABS(AU30)*AV30+ABS(AW30)*AX30)/BC30)</f>
        <v>0</v>
      </c>
      <c r="BB30" s="0"/>
      <c r="BC30" s="222" t="n">
        <f aca="false">ABS(K30)+ABS(M30)+ABS(O30)+ABS(Q30)+ABS(S30)+ABS(U30)+ABS(W30)+ABS(Y30)+ABS(AA30)+ABS(AC30)+ABS(AE30)+ABS(AG30)+ABS(AI30)+ABS(AK30)+ABS(AM30)+ABS(AO30)+ABS(AQ30)+ABS(AS30)+ABS(AU30)+ABS(AW30)</f>
        <v>0</v>
      </c>
      <c r="BD30" s="525" t="n">
        <f aca="false">TradeSum!CB34</f>
        <v>37834</v>
      </c>
      <c r="BE30" s="914" t="n">
        <f aca="false">TradeSum!CD34*TradeSum!CE34</f>
        <v>309.351431602183</v>
      </c>
      <c r="BF30" s="648" t="e">
        <f aca="false">VLOOKUP(J30,TradeSum!$CB$12:$CD$47,3)*BC30</f>
        <v>#N/A</v>
      </c>
      <c r="BG30" s="915" t="n">
        <f aca="false">IF(ISERROR(BF30),0,BF30)</f>
        <v>0</v>
      </c>
      <c r="BH30" s="914" t="e">
        <f aca="false">VLOOKUP(J30,$BD$8:$BE$43,2)</f>
        <v>#N/A</v>
      </c>
      <c r="BI30" s="914" t="n">
        <f aca="false">IF(ISERROR(BH30),0,BH30)</f>
        <v>0</v>
      </c>
      <c r="BJ30" s="222" t="n">
        <v>11</v>
      </c>
      <c r="BK30" s="222" t="n">
        <v>3</v>
      </c>
    </row>
    <row r="31" customFormat="false" ht="15.75" hidden="false" customHeight="false" outlineLevel="0" collapsed="false">
      <c r="A31" s="916"/>
      <c r="B31" s="917"/>
      <c r="C31" s="918"/>
      <c r="D31" s="919"/>
      <c r="E31" s="920" t="n">
        <f aca="false">AZ31</f>
        <v>0</v>
      </c>
      <c r="F31" s="921" t="n">
        <f aca="false">AY31</f>
        <v>0</v>
      </c>
      <c r="G31" s="921" t="n">
        <f aca="false">F31*BI31</f>
        <v>0</v>
      </c>
      <c r="H31" s="922" t="n">
        <f aca="false">(((D31-L31)*K31+(D31-N31)*M31+(D31-P31)*O31+(D31-R31)*Q31+(D31-T31)*S31+(D31-V31)*U31+(D31-X31)*W31+(D31-Z31)*Y31+(D31-AB31)*AA31+(D31-AD31)*AC31+(D31-AF31)*AE31+(D31-AH31)*AG31+(D31-AJ31)*AI31+(D31-AL31)*AK31+(D31-AN31)*AM31+(D31-AP31)*AO31+(D31-AR31)*AQ31+(D31-AT31)*AS31+(D31-AV31)*AU31+(D31-AX31)*AW31)*BI31)</f>
        <v>0</v>
      </c>
      <c r="J31" s="512" t="n">
        <f aca="false">B31</f>
        <v>0</v>
      </c>
      <c r="K31" s="520"/>
      <c r="L31" s="517"/>
      <c r="M31" s="520"/>
      <c r="N31" s="517"/>
      <c r="O31" s="520"/>
      <c r="P31" s="517"/>
      <c r="Q31" s="520"/>
      <c r="R31" s="517"/>
      <c r="S31" s="520"/>
      <c r="T31" s="517"/>
      <c r="U31" s="520"/>
      <c r="V31" s="517"/>
      <c r="W31" s="520"/>
      <c r="X31" s="517"/>
      <c r="Y31" s="520"/>
      <c r="Z31" s="517"/>
      <c r="AA31" s="520"/>
      <c r="AB31" s="517"/>
      <c r="AC31" s="520"/>
      <c r="AD31" s="517"/>
      <c r="AE31" s="520"/>
      <c r="AF31" s="517"/>
      <c r="AG31" s="520"/>
      <c r="AH31" s="517"/>
      <c r="AI31" s="520"/>
      <c r="AJ31" s="517"/>
      <c r="AK31" s="520"/>
      <c r="AL31" s="517"/>
      <c r="AM31" s="520"/>
      <c r="AN31" s="517"/>
      <c r="AO31" s="520"/>
      <c r="AP31" s="517"/>
      <c r="AQ31" s="520"/>
      <c r="AR31" s="517"/>
      <c r="AS31" s="520"/>
      <c r="AT31" s="517"/>
      <c r="AU31" s="520"/>
      <c r="AV31" s="517"/>
      <c r="AW31" s="520"/>
      <c r="AX31" s="517"/>
      <c r="AY31" s="556" t="n">
        <f aca="false">K31+M31+O31+Q31+S31+U31+W31+Y31+AA31+AC31+AE31+AG31+AI31+AK31+AM31+AO31+AQ31+AS31+AU31+AW31</f>
        <v>0</v>
      </c>
      <c r="AZ31" s="524" t="n">
        <f aca="false">IF(AND(AY31=0,BC31=0),0,(ABS(K31)*L31+ABS(M31)*N31+ABS(O31)*P31+ABS(Q31)*R31+ABS(S31)*T31+ABS(U31)*V31+ABS(W31)*X31+ABS(Y31)*Z31+ABS(AA31)*AB31+ABS(AC31)*AD31+ABS(AE31)*AF31+ABS(AG31)*AH31+ABS(AI31)*AJ31+ABS(AK31)*AL31+ABS(AM31)*AN31+ABS(AO31)*AP31+ABS(AQ31)*AR31+ABS(AS31)*AT31+ABS(AU31)*AV31+ABS(AW31)*AX31)/BC31)</f>
        <v>0</v>
      </c>
      <c r="BB31" s="0"/>
      <c r="BC31" s="222" t="n">
        <f aca="false">ABS(K31)+ABS(M31)+ABS(O31)+ABS(Q31)+ABS(S31)+ABS(U31)+ABS(W31)+ABS(Y31)+ABS(AA31)+ABS(AC31)+ABS(AE31)+ABS(AG31)+ABS(AI31)+ABS(AK31)+ABS(AM31)+ABS(AO31)+ABS(AQ31)+ABS(AS31)+ABS(AU31)+ABS(AW31)</f>
        <v>0</v>
      </c>
      <c r="BD31" s="525" t="n">
        <f aca="false">TradeSum!CB35</f>
        <v>37865</v>
      </c>
      <c r="BE31" s="914" t="n">
        <f aca="false">TradeSum!CD35*TradeSum!CE35</f>
        <v>308.022384832032</v>
      </c>
      <c r="BF31" s="648" t="e">
        <f aca="false">VLOOKUP(J31,TradeSum!$CB$12:$CD$47,3)*BC31</f>
        <v>#N/A</v>
      </c>
      <c r="BG31" s="915" t="n">
        <f aca="false">IF(ISERROR(BF31),0,BF31)</f>
        <v>0</v>
      </c>
      <c r="BH31" s="914" t="e">
        <f aca="false">VLOOKUP(J31,$BD$8:$BE$43,2)</f>
        <v>#N/A</v>
      </c>
      <c r="BI31" s="914" t="n">
        <f aca="false">IF(ISERROR(BH31),0,BH31)</f>
        <v>0</v>
      </c>
      <c r="BJ31" s="222" t="n">
        <v>11</v>
      </c>
      <c r="BK31" s="222" t="n">
        <v>3</v>
      </c>
    </row>
    <row r="32" customFormat="false" ht="15.75" hidden="false" customHeight="false" outlineLevel="0" collapsed="false">
      <c r="A32" s="916"/>
      <c r="B32" s="917"/>
      <c r="C32" s="918"/>
      <c r="D32" s="919"/>
      <c r="E32" s="920" t="n">
        <f aca="false">AZ32</f>
        <v>0</v>
      </c>
      <c r="F32" s="921" t="n">
        <f aca="false">AY32</f>
        <v>0</v>
      </c>
      <c r="G32" s="921" t="n">
        <f aca="false">F32*BI32</f>
        <v>0</v>
      </c>
      <c r="H32" s="922" t="n">
        <f aca="false">(((D32-L32)*K32+(D32-N32)*M32+(D32-P32)*O32+(D32-R32)*Q32+(D32-T32)*S32+(D32-V32)*U32+(D32-X32)*W32+(D32-Z32)*Y32+(D32-AB32)*AA32+(D32-AD32)*AC32+(D32-AF32)*AE32+(D32-AH32)*AG32+(D32-AJ32)*AI32+(D32-AL32)*AK32+(D32-AN32)*AM32+(D32-AP32)*AO32+(D32-AR32)*AQ32+(D32-AT32)*AS32+(D32-AV32)*AU32+(D32-AX32)*AW32)*BI32)</f>
        <v>0</v>
      </c>
      <c r="J32" s="512" t="n">
        <f aca="false">B32</f>
        <v>0</v>
      </c>
      <c r="K32" s="520"/>
      <c r="L32" s="517"/>
      <c r="M32" s="520"/>
      <c r="N32" s="517"/>
      <c r="O32" s="520"/>
      <c r="P32" s="517"/>
      <c r="Q32" s="520"/>
      <c r="R32" s="517"/>
      <c r="S32" s="520"/>
      <c r="T32" s="517"/>
      <c r="U32" s="520"/>
      <c r="V32" s="517"/>
      <c r="W32" s="520"/>
      <c r="X32" s="517"/>
      <c r="Y32" s="520"/>
      <c r="Z32" s="517"/>
      <c r="AA32" s="520"/>
      <c r="AB32" s="517"/>
      <c r="AC32" s="520"/>
      <c r="AD32" s="517"/>
      <c r="AE32" s="520"/>
      <c r="AF32" s="517"/>
      <c r="AG32" s="520"/>
      <c r="AH32" s="517"/>
      <c r="AI32" s="520"/>
      <c r="AJ32" s="517"/>
      <c r="AK32" s="520"/>
      <c r="AL32" s="517"/>
      <c r="AM32" s="520"/>
      <c r="AN32" s="517"/>
      <c r="AO32" s="520"/>
      <c r="AP32" s="517"/>
      <c r="AQ32" s="520"/>
      <c r="AR32" s="517"/>
      <c r="AS32" s="520"/>
      <c r="AT32" s="517"/>
      <c r="AU32" s="520"/>
      <c r="AV32" s="517"/>
      <c r="AW32" s="520"/>
      <c r="AX32" s="517"/>
      <c r="AY32" s="556" t="n">
        <f aca="false">K32+M32+O32+Q32+S32+U32+W32+Y32+AA32+AC32+AE32+AG32+AI32+AK32+AM32+AO32+AQ32+AS32+AU32+AW32</f>
        <v>0</v>
      </c>
      <c r="AZ32" s="524" t="n">
        <f aca="false">IF(AND(AY32=0,BC32=0),0,(ABS(K32)*L32+ABS(M32)*N32+ABS(O32)*P32+ABS(Q32)*R32+ABS(S32)*T32+ABS(U32)*V32+ABS(W32)*X32+ABS(Y32)*Z32+ABS(AA32)*AB32+ABS(AC32)*AD32+ABS(AE32)*AF32+ABS(AG32)*AH32+ABS(AI32)*AJ32+ABS(AK32)*AL32+ABS(AM32)*AN32+ABS(AO32)*AP32+ABS(AQ32)*AR32+ABS(AS32)*AT32+ABS(AU32)*AV32+ABS(AW32)*AX32)/BC32)</f>
        <v>0</v>
      </c>
      <c r="BB32" s="0"/>
      <c r="BC32" s="222" t="n">
        <f aca="false">ABS(K32)+ABS(M32)+ABS(O32)+ABS(Q32)+ABS(S32)+ABS(U32)+ABS(W32)+ABS(Y32)+ABS(AA32)+ABS(AC32)+ABS(AE32)+ABS(AG32)+ABS(AI32)+ABS(AK32)+ABS(AM32)+ABS(AO32)+ABS(AQ32)+ABS(AS32)+ABS(AU32)+ABS(AW32)</f>
        <v>0</v>
      </c>
      <c r="BD32" s="525" t="n">
        <f aca="false">TradeSum!CB36</f>
        <v>37895</v>
      </c>
      <c r="BE32" s="914" t="n">
        <f aca="false">TradeSum!CD36*TradeSum!CE36</f>
        <v>335.862949502494</v>
      </c>
      <c r="BF32" s="648" t="e">
        <f aca="false">VLOOKUP(J32,TradeSum!$CB$12:$CD$47,3)*BC32</f>
        <v>#N/A</v>
      </c>
      <c r="BG32" s="915" t="n">
        <f aca="false">IF(ISERROR(BF32),0,BF32)</f>
        <v>0</v>
      </c>
      <c r="BH32" s="914" t="e">
        <f aca="false">VLOOKUP(J32,$BD$8:$BE$43,2)</f>
        <v>#N/A</v>
      </c>
      <c r="BI32" s="914" t="n">
        <f aca="false">IF(ISERROR(BH32),0,BH32)</f>
        <v>0</v>
      </c>
      <c r="BJ32" s="222" t="n">
        <v>11</v>
      </c>
      <c r="BK32" s="222" t="n">
        <v>3</v>
      </c>
    </row>
    <row r="33" customFormat="false" ht="15.75" hidden="false" customHeight="false" outlineLevel="0" collapsed="false">
      <c r="A33" s="916"/>
      <c r="B33" s="917"/>
      <c r="C33" s="918"/>
      <c r="D33" s="919"/>
      <c r="E33" s="920" t="n">
        <f aca="false">AZ33</f>
        <v>0</v>
      </c>
      <c r="F33" s="921" t="n">
        <f aca="false">AY33</f>
        <v>0</v>
      </c>
      <c r="G33" s="921" t="n">
        <f aca="false">F33*BI33</f>
        <v>0</v>
      </c>
      <c r="H33" s="922" t="n">
        <f aca="false">(((D33-L33)*K33+(D33-N33)*M33+(D33-P33)*O33+(D33-R33)*Q33+(D33-T33)*S33+(D33-V33)*U33+(D33-X33)*W33+(D33-Z33)*Y33+(D33-AB33)*AA33+(D33-AD33)*AC33+(D33-AF33)*AE33+(D33-AH33)*AG33+(D33-AJ33)*AI33+(D33-AL33)*AK33+(D33-AN33)*AM33+(D33-AP33)*AO33+(D33-AR33)*AQ33+(D33-AT33)*AS33+(D33-AV33)*AU33+(D33-AX33)*AW33)*BI33)</f>
        <v>0</v>
      </c>
      <c r="J33" s="512" t="n">
        <f aca="false">B33</f>
        <v>0</v>
      </c>
      <c r="K33" s="520"/>
      <c r="L33" s="517"/>
      <c r="M33" s="520"/>
      <c r="N33" s="517"/>
      <c r="O33" s="520"/>
      <c r="P33" s="517"/>
      <c r="Q33" s="520"/>
      <c r="R33" s="517"/>
      <c r="S33" s="520"/>
      <c r="T33" s="517"/>
      <c r="U33" s="520"/>
      <c r="V33" s="517"/>
      <c r="W33" s="520"/>
      <c r="X33" s="517"/>
      <c r="Y33" s="520"/>
      <c r="Z33" s="517"/>
      <c r="AA33" s="520"/>
      <c r="AB33" s="517"/>
      <c r="AC33" s="520"/>
      <c r="AD33" s="517"/>
      <c r="AE33" s="520"/>
      <c r="AF33" s="517"/>
      <c r="AG33" s="520"/>
      <c r="AH33" s="517"/>
      <c r="AI33" s="520"/>
      <c r="AJ33" s="517"/>
      <c r="AK33" s="520"/>
      <c r="AL33" s="517"/>
      <c r="AM33" s="520"/>
      <c r="AN33" s="517"/>
      <c r="AO33" s="520"/>
      <c r="AP33" s="517"/>
      <c r="AQ33" s="520"/>
      <c r="AR33" s="517"/>
      <c r="AS33" s="520"/>
      <c r="AT33" s="517"/>
      <c r="AU33" s="520"/>
      <c r="AV33" s="517"/>
      <c r="AW33" s="520"/>
      <c r="AX33" s="517"/>
      <c r="AY33" s="556" t="n">
        <f aca="false">K33+M33+O33+Q33+S33+U33+W33+Y33+AA33+AC33+AE33+AG33+AI33+AK33+AM33+AO33+AQ33+AS33+AU33+AW33</f>
        <v>0</v>
      </c>
      <c r="AZ33" s="524" t="n">
        <f aca="false">IF(AND(AY33=0,BC33=0),0,(ABS(K33)*L33+ABS(M33)*N33+ABS(O33)*P33+ABS(Q33)*R33+ABS(S33)*T33+ABS(U33)*V33+ABS(W33)*X33+ABS(Y33)*Z33+ABS(AA33)*AB33+ABS(AC33)*AD33+ABS(AE33)*AF33+ABS(AG33)*AH33+ABS(AI33)*AJ33+ABS(AK33)*AL33+ABS(AM33)*AN33+ABS(AO33)*AP33+ABS(AQ33)*AR33+ABS(AS33)*AT33+ABS(AU33)*AV33+ABS(AW33)*AX33)/BC33)</f>
        <v>0</v>
      </c>
      <c r="BB33" s="0"/>
      <c r="BC33" s="222" t="n">
        <f aca="false">ABS(K33)+ABS(M33)+ABS(O33)+ABS(Q33)+ABS(S33)+ABS(U33)+ABS(W33)+ABS(Y33)+ABS(AA33)+ABS(AC33)+ABS(AE33)+ABS(AG33)+ABS(AI33)+ABS(AK33)+ABS(AM33)+ABS(AO33)+ABS(AQ33)+ABS(AS33)+ABS(AU33)+ABS(AW33)</f>
        <v>0</v>
      </c>
      <c r="BD33" s="525" t="n">
        <f aca="false">TradeSum!CB37</f>
        <v>37926</v>
      </c>
      <c r="BE33" s="914" t="n">
        <f aca="false">TradeSum!CD37*TradeSum!CE37</f>
        <v>276.232136373798</v>
      </c>
      <c r="BF33" s="648" t="e">
        <f aca="false">VLOOKUP(J33,TradeSum!$CB$12:$CD$47,3)*BC33</f>
        <v>#N/A</v>
      </c>
      <c r="BG33" s="915" t="n">
        <f aca="false">IF(ISERROR(BF33),0,BF33)</f>
        <v>0</v>
      </c>
      <c r="BH33" s="914" t="e">
        <f aca="false">VLOOKUP(J33,$BD$8:$BE$43,2)</f>
        <v>#N/A</v>
      </c>
      <c r="BI33" s="914" t="n">
        <f aca="false">IF(ISERROR(BH33),0,BH33)</f>
        <v>0</v>
      </c>
      <c r="BJ33" s="222" t="n">
        <v>11</v>
      </c>
      <c r="BK33" s="222" t="n">
        <v>3</v>
      </c>
    </row>
    <row r="34" customFormat="false" ht="15.75" hidden="false" customHeight="false" outlineLevel="0" collapsed="false">
      <c r="A34" s="916"/>
      <c r="B34" s="917"/>
      <c r="C34" s="918"/>
      <c r="D34" s="919"/>
      <c r="E34" s="920" t="n">
        <f aca="false">AZ34</f>
        <v>0</v>
      </c>
      <c r="F34" s="921" t="n">
        <f aca="false">AY34</f>
        <v>0</v>
      </c>
      <c r="G34" s="921" t="n">
        <f aca="false">F34*BI34</f>
        <v>0</v>
      </c>
      <c r="H34" s="922" t="n">
        <f aca="false">(((D34-L34)*K34+(D34-N34)*M34+(D34-P34)*O34+(D34-R34)*Q34+(D34-T34)*S34+(D34-V34)*U34+(D34-X34)*W34+(D34-Z34)*Y34+(D34-AB34)*AA34+(D34-AD34)*AC34+(D34-AF34)*AE34+(D34-AH34)*AG34+(D34-AJ34)*AI34+(D34-AL34)*AK34+(D34-AN34)*AM34+(D34-AP34)*AO34+(D34-AR34)*AQ34+(D34-AT34)*AS34+(D34-AV34)*AU34+(D34-AX34)*AW34)*BI34)</f>
        <v>0</v>
      </c>
      <c r="J34" s="512" t="n">
        <f aca="false">B34</f>
        <v>0</v>
      </c>
      <c r="K34" s="520"/>
      <c r="L34" s="517"/>
      <c r="M34" s="520"/>
      <c r="N34" s="517"/>
      <c r="O34" s="520"/>
      <c r="P34" s="517"/>
      <c r="Q34" s="520"/>
      <c r="R34" s="517"/>
      <c r="S34" s="520"/>
      <c r="T34" s="517"/>
      <c r="U34" s="520"/>
      <c r="V34" s="517"/>
      <c r="W34" s="520"/>
      <c r="X34" s="517"/>
      <c r="Y34" s="520"/>
      <c r="Z34" s="517"/>
      <c r="AA34" s="520"/>
      <c r="AB34" s="517"/>
      <c r="AC34" s="520"/>
      <c r="AD34" s="517"/>
      <c r="AE34" s="520"/>
      <c r="AF34" s="517"/>
      <c r="AG34" s="520"/>
      <c r="AH34" s="517"/>
      <c r="AI34" s="520"/>
      <c r="AJ34" s="517"/>
      <c r="AK34" s="520"/>
      <c r="AL34" s="517"/>
      <c r="AM34" s="520"/>
      <c r="AN34" s="517"/>
      <c r="AO34" s="520"/>
      <c r="AP34" s="517"/>
      <c r="AQ34" s="520"/>
      <c r="AR34" s="517"/>
      <c r="AS34" s="520"/>
      <c r="AT34" s="517"/>
      <c r="AU34" s="520"/>
      <c r="AV34" s="517"/>
      <c r="AW34" s="520"/>
      <c r="AX34" s="517"/>
      <c r="AY34" s="556" t="n">
        <f aca="false">K34+M34+O34+Q34+S34+U34+W34+Y34+AA34+AC34+AE34+AG34+AI34+AK34+AM34+AO34+AQ34+AS34+AU34+AW34</f>
        <v>0</v>
      </c>
      <c r="AZ34" s="524" t="n">
        <f aca="false">IF(AND(AY34=0,BC34=0),0,(ABS(K34)*L34+ABS(M34)*N34+ABS(O34)*P34+ABS(Q34)*R34+ABS(S34)*T34+ABS(U34)*V34+ABS(W34)*X34+ABS(Y34)*Z34+ABS(AA34)*AB34+ABS(AC34)*AD34+ABS(AE34)*AF34+ABS(AG34)*AH34+ABS(AI34)*AJ34+ABS(AK34)*AL34+ABS(AM34)*AN34+ABS(AO34)*AP34+ABS(AQ34)*AR34+ABS(AS34)*AT34+ABS(AU34)*AV34+ABS(AW34)*AX34)/BC34)</f>
        <v>0</v>
      </c>
      <c r="BB34" s="0"/>
      <c r="BC34" s="222" t="n">
        <f aca="false">ABS(K34)+ABS(M34)+ABS(O34)+ABS(Q34)+ABS(S34)+ABS(U34)+ABS(W34)+ABS(Y34)+ABS(AA34)+ABS(AC34)+ABS(AE34)+ABS(AG34)+ABS(AI34)+ABS(AK34)+ABS(AM34)+ABS(AO34)+ABS(AQ34)+ABS(AS34)+ABS(AU34)+ABS(AW34)</f>
        <v>0</v>
      </c>
      <c r="BD34" s="525" t="n">
        <f aca="false">TradeSum!CB38</f>
        <v>37956</v>
      </c>
      <c r="BE34" s="914" t="n">
        <f aca="false">TradeSum!CD38*TradeSum!CE38</f>
        <v>318.392393107281</v>
      </c>
      <c r="BF34" s="648" t="e">
        <f aca="false">VLOOKUP(J34,TradeSum!$CB$12:$CD$47,3)*BC34</f>
        <v>#N/A</v>
      </c>
      <c r="BG34" s="915" t="n">
        <f aca="false">IF(ISERROR(BF34),0,BF34)</f>
        <v>0</v>
      </c>
      <c r="BH34" s="914" t="e">
        <f aca="false">VLOOKUP(J34,$BD$8:$BE$43,2)</f>
        <v>#N/A</v>
      </c>
      <c r="BI34" s="914" t="n">
        <f aca="false">IF(ISERROR(BH34),0,BH34)</f>
        <v>0</v>
      </c>
      <c r="BJ34" s="222" t="n">
        <v>11</v>
      </c>
      <c r="BK34" s="222" t="n">
        <v>3</v>
      </c>
    </row>
    <row r="35" customFormat="false" ht="15.75" hidden="false" customHeight="false" outlineLevel="0" collapsed="false">
      <c r="A35" s="916"/>
      <c r="B35" s="917"/>
      <c r="C35" s="918"/>
      <c r="D35" s="919"/>
      <c r="E35" s="920" t="n">
        <f aca="false">AZ35</f>
        <v>0</v>
      </c>
      <c r="F35" s="921" t="n">
        <f aca="false">AY35</f>
        <v>0</v>
      </c>
      <c r="G35" s="921" t="n">
        <f aca="false">F35*BI35</f>
        <v>0</v>
      </c>
      <c r="H35" s="922" t="n">
        <f aca="false">(((D35-L35)*K35+(D35-N35)*M35+(D35-P35)*O35+(D35-R35)*Q35+(D35-T35)*S35+(D35-V35)*U35+(D35-X35)*W35+(D35-Z35)*Y35+(D35-AB35)*AA35+(D35-AD35)*AC35+(D35-AF35)*AE35+(D35-AH35)*AG35+(D35-AJ35)*AI35+(D35-AL35)*AK35+(D35-AN35)*AM35+(D35-AP35)*AO35+(D35-AR35)*AQ35+(D35-AT35)*AS35+(D35-AV35)*AU35+(D35-AX35)*AW35)*BI35)</f>
        <v>0</v>
      </c>
      <c r="J35" s="512" t="n">
        <f aca="false">B35</f>
        <v>0</v>
      </c>
      <c r="K35" s="520"/>
      <c r="L35" s="517"/>
      <c r="M35" s="520"/>
      <c r="N35" s="517"/>
      <c r="O35" s="520"/>
      <c r="P35" s="517"/>
      <c r="Q35" s="520"/>
      <c r="R35" s="517"/>
      <c r="S35" s="520"/>
      <c r="T35" s="517"/>
      <c r="U35" s="520"/>
      <c r="V35" s="517"/>
      <c r="W35" s="520"/>
      <c r="X35" s="517"/>
      <c r="Y35" s="520"/>
      <c r="Z35" s="517"/>
      <c r="AA35" s="520"/>
      <c r="AB35" s="517"/>
      <c r="AC35" s="520"/>
      <c r="AD35" s="517"/>
      <c r="AE35" s="520"/>
      <c r="AF35" s="517"/>
      <c r="AG35" s="520"/>
      <c r="AH35" s="517"/>
      <c r="AI35" s="520"/>
      <c r="AJ35" s="517"/>
      <c r="AK35" s="520"/>
      <c r="AL35" s="517"/>
      <c r="AM35" s="520"/>
      <c r="AN35" s="517"/>
      <c r="AO35" s="520"/>
      <c r="AP35" s="517"/>
      <c r="AQ35" s="520"/>
      <c r="AR35" s="517"/>
      <c r="AS35" s="520"/>
      <c r="AT35" s="517"/>
      <c r="AU35" s="520"/>
      <c r="AV35" s="517"/>
      <c r="AW35" s="520"/>
      <c r="AX35" s="517"/>
      <c r="AY35" s="556" t="n">
        <f aca="false">K35+M35+O35+Q35+S35+U35+W35+Y35+AA35+AC35+AE35+AG35+AI35+AK35+AM35+AO35+AQ35+AS35+AU35+AW35</f>
        <v>0</v>
      </c>
      <c r="AZ35" s="524" t="n">
        <f aca="false">IF(AND(AY35=0,BC35=0),0,(ABS(K35)*L35+ABS(M35)*N35+ABS(O35)*P35+ABS(Q35)*R35+ABS(S35)*T35+ABS(U35)*V35+ABS(W35)*X35+ABS(Y35)*Z35+ABS(AA35)*AB35+ABS(AC35)*AD35+ABS(AE35)*AF35+ABS(AG35)*AH35+ABS(AI35)*AJ35+ABS(AK35)*AL35+ABS(AM35)*AN35+ABS(AO35)*AP35+ABS(AQ35)*AR35+ABS(AS35)*AT35+ABS(AU35)*AV35+ABS(AW35)*AX35)/BC35)</f>
        <v>0</v>
      </c>
      <c r="BB35" s="0"/>
      <c r="BC35" s="222" t="n">
        <f aca="false">ABS(K35)+ABS(M35)+ABS(O35)+ABS(Q35)+ABS(S35)+ABS(U35)+ABS(W35)+ABS(Y35)+ABS(AA35)+ABS(AC35)+ABS(AE35)+ABS(AG35)+ABS(AI35)+ABS(AK35)+ABS(AM35)+ABS(AO35)+ABS(AQ35)+ABS(AS35)+ABS(AU35)+ABS(AW35)</f>
        <v>0</v>
      </c>
      <c r="BD35" s="525" t="n">
        <f aca="false">TradeSum!CB39</f>
        <v>37987</v>
      </c>
      <c r="BE35" s="914" t="n">
        <f aca="false">TradeSum!CD39*TradeSum!CE39</f>
        <v>302.509885595962</v>
      </c>
      <c r="BF35" s="648" t="e">
        <f aca="false">VLOOKUP(J35,TradeSum!$CB$12:$CD$47,3)*BC35</f>
        <v>#N/A</v>
      </c>
      <c r="BG35" s="915" t="n">
        <f aca="false">IF(ISERROR(BF35),0,BF35)</f>
        <v>0</v>
      </c>
      <c r="BH35" s="914" t="e">
        <f aca="false">VLOOKUP(J35,$BD$8:$BE$43,2)</f>
        <v>#N/A</v>
      </c>
      <c r="BI35" s="914" t="n">
        <f aca="false">IF(ISERROR(BH35),0,BH35)</f>
        <v>0</v>
      </c>
      <c r="BJ35" s="222" t="n">
        <v>11</v>
      </c>
      <c r="BK35" s="222" t="n">
        <v>3</v>
      </c>
    </row>
    <row r="36" customFormat="false" ht="15.75" hidden="false" customHeight="false" outlineLevel="0" collapsed="false">
      <c r="A36" s="916"/>
      <c r="B36" s="917"/>
      <c r="C36" s="918"/>
      <c r="D36" s="919"/>
      <c r="E36" s="920" t="n">
        <f aca="false">AZ36</f>
        <v>0</v>
      </c>
      <c r="F36" s="921" t="n">
        <f aca="false">AY36</f>
        <v>0</v>
      </c>
      <c r="G36" s="921" t="n">
        <f aca="false">F36*BI36</f>
        <v>0</v>
      </c>
      <c r="H36" s="922" t="n">
        <f aca="false">(((D36-L36)*K36+(D36-N36)*M36+(D36-P36)*O36+(D36-R36)*Q36+(D36-T36)*S36+(D36-V36)*U36+(D36-X36)*W36+(D36-Z36)*Y36+(D36-AB36)*AA36+(D36-AD36)*AC36+(D36-AF36)*AE36+(D36-AH36)*AG36+(D36-AJ36)*AI36+(D36-AL36)*AK36+(D36-AN36)*AM36+(D36-AP36)*AO36+(D36-AR36)*AQ36+(D36-AT36)*AS36+(D36-AV36)*AU36+(D36-AX36)*AW36)*BI36)</f>
        <v>0</v>
      </c>
      <c r="J36" s="512" t="n">
        <f aca="false">B36</f>
        <v>0</v>
      </c>
      <c r="K36" s="520"/>
      <c r="L36" s="517"/>
      <c r="M36" s="520"/>
      <c r="N36" s="517"/>
      <c r="O36" s="520"/>
      <c r="P36" s="517"/>
      <c r="Q36" s="520"/>
      <c r="R36" s="517"/>
      <c r="S36" s="520"/>
      <c r="T36" s="517"/>
      <c r="U36" s="520"/>
      <c r="V36" s="517"/>
      <c r="W36" s="520"/>
      <c r="X36" s="517"/>
      <c r="Y36" s="520"/>
      <c r="Z36" s="517"/>
      <c r="AA36" s="520"/>
      <c r="AB36" s="517"/>
      <c r="AC36" s="520"/>
      <c r="AD36" s="517"/>
      <c r="AE36" s="520"/>
      <c r="AF36" s="517"/>
      <c r="AG36" s="520"/>
      <c r="AH36" s="517"/>
      <c r="AI36" s="520"/>
      <c r="AJ36" s="517"/>
      <c r="AK36" s="520"/>
      <c r="AL36" s="517"/>
      <c r="AM36" s="520"/>
      <c r="AN36" s="517"/>
      <c r="AO36" s="520"/>
      <c r="AP36" s="517"/>
      <c r="AQ36" s="520"/>
      <c r="AR36" s="517"/>
      <c r="AS36" s="520"/>
      <c r="AT36" s="517"/>
      <c r="AU36" s="520"/>
      <c r="AV36" s="517"/>
      <c r="AW36" s="520"/>
      <c r="AX36" s="517"/>
      <c r="AY36" s="556" t="n">
        <f aca="false">K36+M36+O36+Q36+S36+U36+W36+Y36+AA36+AC36+AE36+AG36+AI36+AK36+AM36+AO36+AQ36+AS36+AU36+AW36</f>
        <v>0</v>
      </c>
      <c r="AZ36" s="524" t="n">
        <f aca="false">IF(AND(AY36=0,BC36=0),0,(ABS(K36)*L36+ABS(M36)*N36+ABS(O36)*P36+ABS(Q36)*R36+ABS(S36)*T36+ABS(U36)*V36+ABS(W36)*X36+ABS(Y36)*Z36+ABS(AA36)*AB36+ABS(AC36)*AD36+ABS(AE36)*AF36+ABS(AG36)*AH36+ABS(AI36)*AJ36+ABS(AK36)*AL36+ABS(AM36)*AN36+ABS(AO36)*AP36+ABS(AQ36)*AR36+ABS(AS36)*AT36+ABS(AU36)*AV36+ABS(AW36)*AX36)/BC36)</f>
        <v>0</v>
      </c>
      <c r="BB36" s="0"/>
      <c r="BC36" s="222" t="n">
        <f aca="false">ABS(K36)+ABS(M36)+ABS(O36)+ABS(Q36)+ABS(S36)+ABS(U36)+ABS(W36)+ABS(Y36)+ABS(AA36)+ABS(AC36)+ABS(AE36)+ABS(AG36)+ABS(AI36)+ABS(AK36)+ABS(AM36)+ABS(AO36)+ABS(AQ36)+ABS(AS36)+ABS(AU36)+ABS(AW36)</f>
        <v>0</v>
      </c>
      <c r="BD36" s="525" t="n">
        <f aca="false">TradeSum!CB40</f>
        <v>38018</v>
      </c>
      <c r="BE36" s="914" t="n">
        <f aca="false">TradeSum!CD40*TradeSum!CE40</f>
        <v>286.819942759024</v>
      </c>
      <c r="BF36" s="648" t="e">
        <f aca="false">VLOOKUP(J36,TradeSum!$CB$12:$CD$47,3)*BC36</f>
        <v>#N/A</v>
      </c>
      <c r="BG36" s="915" t="n">
        <f aca="false">IF(ISERROR(BF36),0,BF36)</f>
        <v>0</v>
      </c>
      <c r="BH36" s="914" t="e">
        <f aca="false">VLOOKUP(J36,$BD$8:$BE$43,2)</f>
        <v>#N/A</v>
      </c>
      <c r="BI36" s="914" t="n">
        <f aca="false">IF(ISERROR(BH36),0,BH36)</f>
        <v>0</v>
      </c>
      <c r="BJ36" s="222" t="n">
        <v>11</v>
      </c>
      <c r="BK36" s="222" t="n">
        <v>3</v>
      </c>
    </row>
    <row r="37" customFormat="false" ht="15.75" hidden="false" customHeight="false" outlineLevel="0" collapsed="false">
      <c r="A37" s="916"/>
      <c r="B37" s="917"/>
      <c r="C37" s="918"/>
      <c r="D37" s="919"/>
      <c r="E37" s="920" t="n">
        <f aca="false">AZ37</f>
        <v>0</v>
      </c>
      <c r="F37" s="921" t="n">
        <f aca="false">AY37</f>
        <v>0</v>
      </c>
      <c r="G37" s="921" t="n">
        <f aca="false">F37*BI37</f>
        <v>0</v>
      </c>
      <c r="H37" s="922" t="n">
        <f aca="false">(((D37-L37)*K37+(D37-N37)*M37+(D37-P37)*O37+(D37-R37)*Q37+(D37-T37)*S37+(D37-V37)*U37+(D37-X37)*W37+(D37-Z37)*Y37+(D37-AB37)*AA37+(D37-AD37)*AC37+(D37-AF37)*AE37+(D37-AH37)*AG37+(D37-AJ37)*AI37+(D37-AL37)*AK37+(D37-AN37)*AM37+(D37-AP37)*AO37+(D37-AR37)*AQ37+(D37-AT37)*AS37+(D37-AV37)*AU37+(D37-AX37)*AW37)*BI37)</f>
        <v>0</v>
      </c>
      <c r="J37" s="512" t="n">
        <f aca="false">B37</f>
        <v>0</v>
      </c>
      <c r="K37" s="520"/>
      <c r="L37" s="517"/>
      <c r="M37" s="520"/>
      <c r="N37" s="517"/>
      <c r="O37" s="520"/>
      <c r="P37" s="517"/>
      <c r="Q37" s="520"/>
      <c r="R37" s="517"/>
      <c r="S37" s="520"/>
      <c r="T37" s="517"/>
      <c r="U37" s="520"/>
      <c r="V37" s="517"/>
      <c r="W37" s="520"/>
      <c r="X37" s="517"/>
      <c r="Y37" s="520"/>
      <c r="Z37" s="517"/>
      <c r="AA37" s="520"/>
      <c r="AB37" s="517"/>
      <c r="AC37" s="520"/>
      <c r="AD37" s="517"/>
      <c r="AE37" s="520"/>
      <c r="AF37" s="517"/>
      <c r="AG37" s="520"/>
      <c r="AH37" s="517"/>
      <c r="AI37" s="520"/>
      <c r="AJ37" s="517"/>
      <c r="AK37" s="520"/>
      <c r="AL37" s="517"/>
      <c r="AM37" s="520"/>
      <c r="AN37" s="517"/>
      <c r="AO37" s="520"/>
      <c r="AP37" s="517"/>
      <c r="AQ37" s="520"/>
      <c r="AR37" s="517"/>
      <c r="AS37" s="520"/>
      <c r="AT37" s="517"/>
      <c r="AU37" s="520"/>
      <c r="AV37" s="517"/>
      <c r="AW37" s="520"/>
      <c r="AX37" s="517"/>
      <c r="AY37" s="556" t="n">
        <f aca="false">K37+M37+O37+Q37+S37+U37+W37+Y37+AA37+AC37+AE37+AG37+AI37+AK37+AM37+AO37+AQ37+AS37+AU37+AW37</f>
        <v>0</v>
      </c>
      <c r="AZ37" s="524" t="n">
        <f aca="false">IF(AND(AY37=0,BC37=0),0,(ABS(K37)*L37+ABS(M37)*N37+ABS(O37)*P37+ABS(Q37)*R37+ABS(S37)*T37+ABS(U37)*V37+ABS(W37)*X37+ABS(Y37)*Z37+ABS(AA37)*AB37+ABS(AC37)*AD37+ABS(AE37)*AF37+ABS(AG37)*AH37+ABS(AI37)*AJ37+ABS(AK37)*AL37+ABS(AM37)*AN37+ABS(AO37)*AP37+ABS(AQ37)*AR37+ABS(AS37)*AT37+ABS(AU37)*AV37+ABS(AW37)*AX37)/BC37)</f>
        <v>0</v>
      </c>
      <c r="BB37" s="0"/>
      <c r="BC37" s="222" t="n">
        <f aca="false">ABS(K37)+ABS(M37)+ABS(O37)+ABS(Q37)+ABS(S37)+ABS(U37)+ABS(W37)+ABS(Y37)+ABS(AA37)+ABS(AC37)+ABS(AE37)+ABS(AG37)+ABS(AI37)+ABS(AK37)+ABS(AM37)+ABS(AO37)+ABS(AQ37)+ABS(AS37)+ABS(AU37)+ABS(AW37)</f>
        <v>0</v>
      </c>
      <c r="BD37" s="525" t="n">
        <f aca="false">TradeSum!CB41</f>
        <v>38047</v>
      </c>
      <c r="BE37" s="914" t="n">
        <f aca="false">TradeSum!CD41*TradeSum!CE41</f>
        <v>328.295211726338</v>
      </c>
      <c r="BF37" s="648" t="e">
        <f aca="false">VLOOKUP(J37,TradeSum!$CB$12:$CD$47,3)*BC37</f>
        <v>#N/A</v>
      </c>
      <c r="BG37" s="915" t="n">
        <f aca="false">IF(ISERROR(BF37),0,BF37)</f>
        <v>0</v>
      </c>
      <c r="BH37" s="914" t="e">
        <f aca="false">VLOOKUP(J37,$BD$8:$BE$43,2)</f>
        <v>#N/A</v>
      </c>
      <c r="BI37" s="914" t="n">
        <f aca="false">IF(ISERROR(BH37),0,BH37)</f>
        <v>0</v>
      </c>
      <c r="BJ37" s="222" t="n">
        <v>11</v>
      </c>
      <c r="BK37" s="222" t="n">
        <v>3</v>
      </c>
    </row>
    <row r="38" customFormat="false" ht="15.75" hidden="false" customHeight="false" outlineLevel="0" collapsed="false">
      <c r="A38" s="916"/>
      <c r="B38" s="917"/>
      <c r="C38" s="918"/>
      <c r="D38" s="919"/>
      <c r="E38" s="920" t="n">
        <f aca="false">AZ38</f>
        <v>0</v>
      </c>
      <c r="F38" s="921" t="n">
        <f aca="false">AY38</f>
        <v>0</v>
      </c>
      <c r="G38" s="921" t="n">
        <f aca="false">F38*BI38</f>
        <v>0</v>
      </c>
      <c r="H38" s="922" t="n">
        <f aca="false">(((D38-L38)*K38+(D38-N38)*M38+(D38-P38)*O38+(D38-R38)*Q38+(D38-T38)*S38+(D38-V38)*U38+(D38-X38)*W38+(D38-Z38)*Y38+(D38-AB38)*AA38+(D38-AD38)*AC38+(D38-AF38)*AE38+(D38-AH38)*AG38+(D38-AJ38)*AI38+(D38-AL38)*AK38+(D38-AN38)*AM38+(D38-AP38)*AO38+(D38-AR38)*AQ38+(D38-AT38)*AS38+(D38-AV38)*AU38+(D38-AX38)*AW38)*BI38)</f>
        <v>0</v>
      </c>
      <c r="J38" s="512" t="n">
        <f aca="false">B38</f>
        <v>0</v>
      </c>
      <c r="K38" s="520"/>
      <c r="L38" s="517"/>
      <c r="M38" s="520"/>
      <c r="N38" s="517"/>
      <c r="O38" s="520"/>
      <c r="P38" s="517"/>
      <c r="Q38" s="520"/>
      <c r="R38" s="517"/>
      <c r="S38" s="520"/>
      <c r="T38" s="517"/>
      <c r="U38" s="520"/>
      <c r="V38" s="517"/>
      <c r="W38" s="520"/>
      <c r="X38" s="517"/>
      <c r="Y38" s="520"/>
      <c r="Z38" s="517"/>
      <c r="AA38" s="520"/>
      <c r="AB38" s="517"/>
      <c r="AC38" s="520"/>
      <c r="AD38" s="517"/>
      <c r="AE38" s="520"/>
      <c r="AF38" s="517"/>
      <c r="AG38" s="520"/>
      <c r="AH38" s="517"/>
      <c r="AI38" s="520"/>
      <c r="AJ38" s="517"/>
      <c r="AK38" s="520"/>
      <c r="AL38" s="517"/>
      <c r="AM38" s="520"/>
      <c r="AN38" s="517"/>
      <c r="AO38" s="520"/>
      <c r="AP38" s="517"/>
      <c r="AQ38" s="520"/>
      <c r="AR38" s="517"/>
      <c r="AS38" s="520"/>
      <c r="AT38" s="517"/>
      <c r="AU38" s="520"/>
      <c r="AV38" s="517"/>
      <c r="AW38" s="520"/>
      <c r="AX38" s="517"/>
      <c r="AY38" s="556" t="n">
        <f aca="false">K38+M38+O38+Q38+S38+U38+W38+Y38+AA38+AC38+AE38+AG38+AI38+AK38+AM38+AO38+AQ38+AS38+AU38+AW38</f>
        <v>0</v>
      </c>
      <c r="AZ38" s="524" t="n">
        <f aca="false">IF(AND(AY38=0,BC38=0),0,(ABS(K38)*L38+ABS(M38)*N38+ABS(O38)*P38+ABS(Q38)*R38+ABS(S38)*T38+ABS(U38)*V38+ABS(W38)*X38+ABS(Y38)*Z38+ABS(AA38)*AB38+ABS(AC38)*AD38+ABS(AE38)*AF38+ABS(AG38)*AH38+ABS(AI38)*AJ38+ABS(AK38)*AL38+ABS(AM38)*AN38+ABS(AO38)*AP38+ABS(AQ38)*AR38+ABS(AS38)*AT38+ABS(AU38)*AV38+ABS(AW38)*AX38)/BC38)</f>
        <v>0</v>
      </c>
      <c r="BB38" s="0"/>
      <c r="BC38" s="222" t="n">
        <f aca="false">ABS(K38)+ABS(M38)+ABS(O38)+ABS(Q38)+ABS(S38)+ABS(U38)+ABS(W38)+ABS(Y38)+ABS(AA38)+ABS(AC38)+ABS(AE38)+ABS(AG38)+ABS(AI38)+ABS(AK38)+ABS(AM38)+ABS(AO38)+ABS(AQ38)+ABS(AS38)+ABS(AU38)+ABS(AW38)</f>
        <v>0</v>
      </c>
      <c r="BD38" s="525" t="n">
        <f aca="false">TradeSum!CB42</f>
        <v>38078</v>
      </c>
      <c r="BE38" s="914" t="n">
        <f aca="false">TradeSum!CD42*TradeSum!CE42</f>
        <v>312.566095595475</v>
      </c>
      <c r="BF38" s="648" t="e">
        <f aca="false">VLOOKUP(J38,TradeSum!$CB$12:$CD$47,3)*BC38</f>
        <v>#N/A</v>
      </c>
      <c r="BG38" s="915" t="n">
        <f aca="false">IF(ISERROR(BF38),0,BF38)</f>
        <v>0</v>
      </c>
      <c r="BH38" s="914" t="e">
        <f aca="false">VLOOKUP(J38,$BD$8:$BE$43,2)</f>
        <v>#N/A</v>
      </c>
      <c r="BI38" s="914" t="n">
        <f aca="false">IF(ISERROR(BH38),0,BH38)</f>
        <v>0</v>
      </c>
      <c r="BJ38" s="222" t="n">
        <v>11</v>
      </c>
      <c r="BK38" s="222" t="n">
        <v>3</v>
      </c>
    </row>
    <row r="39" customFormat="false" ht="15.75" hidden="false" customHeight="false" outlineLevel="0" collapsed="false">
      <c r="A39" s="916"/>
      <c r="B39" s="917"/>
      <c r="C39" s="918"/>
      <c r="D39" s="919"/>
      <c r="E39" s="920" t="n">
        <f aca="false">AZ39</f>
        <v>0</v>
      </c>
      <c r="F39" s="921" t="n">
        <f aca="false">AY39</f>
        <v>0</v>
      </c>
      <c r="G39" s="921" t="n">
        <f aca="false">F39*BI39</f>
        <v>0</v>
      </c>
      <c r="H39" s="922" t="n">
        <f aca="false">(((D39-L39)*K39+(D39-N39)*M39+(D39-P39)*O39+(D39-R39)*Q39+(D39-T39)*S39+(D39-V39)*U39+(D39-X39)*W39+(D39-Z39)*Y39+(D39-AB39)*AA39+(D39-AD39)*AC39+(D39-AF39)*AE39+(D39-AH39)*AG39+(D39-AJ39)*AI39+(D39-AL39)*AK39+(D39-AN39)*AM39+(D39-AP39)*AO39+(D39-AR39)*AQ39+(D39-AT39)*AS39+(D39-AV39)*AU39+(D39-AX39)*AW39)*BI39)</f>
        <v>0</v>
      </c>
      <c r="J39" s="512" t="n">
        <f aca="false">B39</f>
        <v>0</v>
      </c>
      <c r="K39" s="520"/>
      <c r="L39" s="517"/>
      <c r="M39" s="520"/>
      <c r="N39" s="517"/>
      <c r="O39" s="520"/>
      <c r="P39" s="517"/>
      <c r="Q39" s="520"/>
      <c r="R39" s="517"/>
      <c r="S39" s="520"/>
      <c r="T39" s="517"/>
      <c r="U39" s="520"/>
      <c r="V39" s="517"/>
      <c r="W39" s="520"/>
      <c r="X39" s="517"/>
      <c r="Y39" s="520"/>
      <c r="Z39" s="517"/>
      <c r="AA39" s="520"/>
      <c r="AB39" s="517"/>
      <c r="AC39" s="520"/>
      <c r="AD39" s="517"/>
      <c r="AE39" s="520"/>
      <c r="AF39" s="517"/>
      <c r="AG39" s="520"/>
      <c r="AH39" s="517"/>
      <c r="AI39" s="520"/>
      <c r="AJ39" s="517"/>
      <c r="AK39" s="520"/>
      <c r="AL39" s="517"/>
      <c r="AM39" s="520"/>
      <c r="AN39" s="517"/>
      <c r="AO39" s="520"/>
      <c r="AP39" s="517"/>
      <c r="AQ39" s="520"/>
      <c r="AR39" s="517"/>
      <c r="AS39" s="520"/>
      <c r="AT39" s="517"/>
      <c r="AU39" s="520"/>
      <c r="AV39" s="517"/>
      <c r="AW39" s="520"/>
      <c r="AX39" s="517"/>
      <c r="AY39" s="556" t="n">
        <f aca="false">K39+M39+O39+Q39+S39+U39+W39+Y39+AA39+AC39+AE39+AG39+AI39+AK39+AM39+AO39+AQ39+AS39+AU39+AW39</f>
        <v>0</v>
      </c>
      <c r="AZ39" s="524" t="n">
        <f aca="false">IF(AND(AY39=0,BC39=0),0,(ABS(K39)*L39+ABS(M39)*N39+ABS(O39)*P39+ABS(Q39)*R39+ABS(S39)*T39+ABS(U39)*V39+ABS(W39)*X39+ABS(Y39)*Z39+ABS(AA39)*AB39+ABS(AC39)*AD39+ABS(AE39)*AF39+ABS(AG39)*AH39+ABS(AI39)*AJ39+ABS(AK39)*AL39+ABS(AM39)*AN39+ABS(AO39)*AP39+ABS(AQ39)*AR39+ABS(AS39)*AT39+ABS(AU39)*AV39+ABS(AW39)*AX39)/BC39)</f>
        <v>0</v>
      </c>
      <c r="BB39" s="0"/>
      <c r="BC39" s="222" t="n">
        <f aca="false">ABS(K39)+ABS(M39)+ABS(O39)+ABS(Q39)+ABS(S39)+ABS(U39)+ABS(W39)+ABS(Y39)+ABS(AA39)+ABS(AC39)+ABS(AE39)+ABS(AG39)+ABS(AI39)+ABS(AK39)+ABS(AM39)+ABS(AO39)+ABS(AQ39)+ABS(AS39)+ABS(AU39)+ABS(AW39)</f>
        <v>0</v>
      </c>
      <c r="BD39" s="525" t="n">
        <f aca="false">TradeSum!CB43</f>
        <v>38108</v>
      </c>
      <c r="BE39" s="914" t="n">
        <f aca="false">TradeSum!CD43*TradeSum!CE43</f>
        <v>282.815028363975</v>
      </c>
      <c r="BF39" s="648" t="e">
        <f aca="false">VLOOKUP(J39,TradeSum!$CB$12:$CD$47,3)*BC39</f>
        <v>#N/A</v>
      </c>
      <c r="BG39" s="915" t="n">
        <f aca="false">IF(ISERROR(BF39),0,BF39)</f>
        <v>0</v>
      </c>
      <c r="BH39" s="914" t="e">
        <f aca="false">VLOOKUP(J39,$BD$8:$BE$43,2)</f>
        <v>#N/A</v>
      </c>
      <c r="BI39" s="914" t="n">
        <f aca="false">IF(ISERROR(BH39),0,BH39)</f>
        <v>0</v>
      </c>
      <c r="BJ39" s="222" t="n">
        <v>11</v>
      </c>
      <c r="BK39" s="222" t="n">
        <v>3</v>
      </c>
    </row>
    <row r="40" customFormat="false" ht="15.75" hidden="false" customHeight="false" outlineLevel="0" collapsed="false">
      <c r="A40" s="916"/>
      <c r="B40" s="917"/>
      <c r="C40" s="918"/>
      <c r="D40" s="919"/>
      <c r="E40" s="920" t="n">
        <f aca="false">AZ40</f>
        <v>0</v>
      </c>
      <c r="F40" s="921" t="n">
        <f aca="false">AY40</f>
        <v>0</v>
      </c>
      <c r="G40" s="921" t="n">
        <f aca="false">F40*BI40</f>
        <v>0</v>
      </c>
      <c r="H40" s="922" t="n">
        <f aca="false">(((D40-L40)*K40+(D40-N40)*M40+(D40-P40)*O40+(D40-R40)*Q40+(D40-T40)*S40+(D40-V40)*U40+(D40-X40)*W40+(D40-Z40)*Y40+(D40-AB40)*AA40+(D40-AD40)*AC40+(D40-AF40)*AE40+(D40-AH40)*AG40+(D40-AJ40)*AI40+(D40-AL40)*AK40+(D40-AN40)*AM40+(D40-AP40)*AO40+(D40-AR40)*AQ40+(D40-AT40)*AS40+(D40-AV40)*AU40+(D40-AX40)*AW40)*BI40)</f>
        <v>0</v>
      </c>
      <c r="J40" s="512" t="n">
        <f aca="false">B40</f>
        <v>0</v>
      </c>
      <c r="K40" s="520"/>
      <c r="L40" s="517"/>
      <c r="M40" s="520"/>
      <c r="N40" s="517"/>
      <c r="O40" s="520"/>
      <c r="P40" s="517"/>
      <c r="Q40" s="520"/>
      <c r="R40" s="517"/>
      <c r="S40" s="520"/>
      <c r="T40" s="517"/>
      <c r="U40" s="520"/>
      <c r="V40" s="517"/>
      <c r="W40" s="520"/>
      <c r="X40" s="517"/>
      <c r="Y40" s="520"/>
      <c r="Z40" s="517"/>
      <c r="AA40" s="520"/>
      <c r="AB40" s="517"/>
      <c r="AC40" s="520"/>
      <c r="AD40" s="517"/>
      <c r="AE40" s="520"/>
      <c r="AF40" s="517"/>
      <c r="AG40" s="520"/>
      <c r="AH40" s="517"/>
      <c r="AI40" s="520"/>
      <c r="AJ40" s="517"/>
      <c r="AK40" s="520"/>
      <c r="AL40" s="517"/>
      <c r="AM40" s="520"/>
      <c r="AN40" s="517"/>
      <c r="AO40" s="520"/>
      <c r="AP40" s="517"/>
      <c r="AQ40" s="520"/>
      <c r="AR40" s="517"/>
      <c r="AS40" s="520"/>
      <c r="AT40" s="517"/>
      <c r="AU40" s="520"/>
      <c r="AV40" s="517"/>
      <c r="AW40" s="520"/>
      <c r="AX40" s="517"/>
      <c r="AY40" s="556" t="n">
        <f aca="false">K40+M40+O40+Q40+S40+U40+W40+Y40+AA40+AC40+AE40+AG40+AI40+AK40+AM40+AO40+AQ40+AS40+AU40+AW40</f>
        <v>0</v>
      </c>
      <c r="AZ40" s="524" t="n">
        <f aca="false">IF(AND(AY40=0,BC40=0),0,(ABS(K40)*L40+ABS(M40)*N40+ABS(O40)*P40+ABS(Q40)*R40+ABS(S40)*T40+ABS(U40)*V40+ABS(W40)*X40+ABS(Y40)*Z40+ABS(AA40)*AB40+ABS(AC40)*AD40+ABS(AE40)*AF40+ABS(AG40)*AH40+ABS(AI40)*AJ40+ABS(AK40)*AL40+ABS(AM40)*AN40+ABS(AO40)*AP40+ABS(AQ40)*AR40+ABS(AS40)*AT40+ABS(AU40)*AV40+ABS(AW40)*AX40)/BC40)</f>
        <v>0</v>
      </c>
      <c r="BB40" s="0"/>
      <c r="BC40" s="222" t="n">
        <f aca="false">ABS(K40)+ABS(M40)+ABS(O40)+ABS(Q40)+ABS(S40)+ABS(U40)+ABS(W40)+ABS(Y40)+ABS(AA40)+ABS(AC40)+ABS(AE40)+ABS(AG40)+ABS(AI40)+ABS(AK40)+ABS(AM40)+ABS(AO40)+ABS(AQ40)+ABS(AS40)+ABS(AU40)+ABS(AW40)</f>
        <v>0</v>
      </c>
      <c r="BD40" s="525" t="n">
        <f aca="false">TradeSum!CB44</f>
        <v>38139</v>
      </c>
      <c r="BE40" s="914" t="n">
        <f aca="false">TradeSum!CD44*TradeSum!CE44</f>
        <v>309.64288406781</v>
      </c>
      <c r="BF40" s="648" t="e">
        <f aca="false">VLOOKUP(J40,TradeSum!$CB$12:$CD$47,3)*BC40</f>
        <v>#N/A</v>
      </c>
      <c r="BG40" s="915" t="n">
        <f aca="false">IF(ISERROR(BF40),0,BF40)</f>
        <v>0</v>
      </c>
      <c r="BH40" s="914" t="e">
        <f aca="false">VLOOKUP(J40,$BD$8:$BE$43,2)</f>
        <v>#N/A</v>
      </c>
      <c r="BI40" s="914" t="n">
        <f aca="false">IF(ISERROR(BH40),0,BH40)</f>
        <v>0</v>
      </c>
      <c r="BJ40" s="222" t="n">
        <v>11</v>
      </c>
      <c r="BK40" s="222" t="n">
        <v>3</v>
      </c>
    </row>
    <row r="41" customFormat="false" ht="15.75" hidden="false" customHeight="false" outlineLevel="0" collapsed="false">
      <c r="A41" s="916"/>
      <c r="B41" s="917"/>
      <c r="C41" s="918"/>
      <c r="D41" s="919"/>
      <c r="E41" s="920" t="n">
        <f aca="false">AZ41</f>
        <v>0</v>
      </c>
      <c r="F41" s="921" t="n">
        <f aca="false">AY41</f>
        <v>0</v>
      </c>
      <c r="G41" s="921" t="n">
        <f aca="false">F41*BI41</f>
        <v>0</v>
      </c>
      <c r="H41" s="922" t="n">
        <f aca="false">(((D41-L41)*K41+(D41-N41)*M41+(D41-P41)*O41+(D41-R41)*Q41+(D41-T41)*S41+(D41-V41)*U41+(D41-X41)*W41+(D41-Z41)*Y41+(D41-AB41)*AA41+(D41-AD41)*AC41+(D41-AF41)*AE41+(D41-AH41)*AG41+(D41-AJ41)*AI41+(D41-AL41)*AK41+(D41-AN41)*AM41+(D41-AP41)*AO41+(D41-AR41)*AQ41+(D41-AT41)*AS41+(D41-AV41)*AU41+(D41-AX41)*AW41)*BI41)</f>
        <v>0</v>
      </c>
      <c r="J41" s="512" t="n">
        <f aca="false">B41</f>
        <v>0</v>
      </c>
      <c r="K41" s="520"/>
      <c r="L41" s="517"/>
      <c r="M41" s="520"/>
      <c r="N41" s="517"/>
      <c r="O41" s="520"/>
      <c r="P41" s="517"/>
      <c r="Q41" s="520"/>
      <c r="R41" s="517"/>
      <c r="S41" s="520"/>
      <c r="T41" s="517"/>
      <c r="U41" s="520"/>
      <c r="V41" s="517"/>
      <c r="W41" s="520"/>
      <c r="X41" s="517"/>
      <c r="Y41" s="520"/>
      <c r="Z41" s="517"/>
      <c r="AA41" s="520"/>
      <c r="AB41" s="517"/>
      <c r="AC41" s="520"/>
      <c r="AD41" s="517"/>
      <c r="AE41" s="520"/>
      <c r="AF41" s="517"/>
      <c r="AG41" s="520"/>
      <c r="AH41" s="517"/>
      <c r="AI41" s="520"/>
      <c r="AJ41" s="517"/>
      <c r="AK41" s="520"/>
      <c r="AL41" s="517"/>
      <c r="AM41" s="520"/>
      <c r="AN41" s="517"/>
      <c r="AO41" s="520"/>
      <c r="AP41" s="517"/>
      <c r="AQ41" s="520"/>
      <c r="AR41" s="517"/>
      <c r="AS41" s="520"/>
      <c r="AT41" s="517"/>
      <c r="AU41" s="520"/>
      <c r="AV41" s="517"/>
      <c r="AW41" s="520"/>
      <c r="AX41" s="517"/>
      <c r="AY41" s="556" t="n">
        <f aca="false">K41+M41+O41+Q41+S41+U41+W41+Y41+AA41+AC41+AE41+AG41+AI41+AK41+AM41+AO41+AQ41+AS41+AU41+AW41</f>
        <v>0</v>
      </c>
      <c r="AZ41" s="524" t="n">
        <f aca="false">IF(AND(AY41=0,BC41=0),0,(ABS(K41)*L41+ABS(M41)*N41+ABS(O41)*P41+ABS(Q41)*R41+ABS(S41)*T41+ABS(U41)*V41+ABS(W41)*X41+ABS(Y41)*Z41+ABS(AA41)*AB41+ABS(AC41)*AD41+ABS(AE41)*AF41+ABS(AG41)*AH41+ABS(AI41)*AJ41+ABS(AK41)*AL41+ABS(AM41)*AN41+ABS(AO41)*AP41+ABS(AQ41)*AR41+ABS(AS41)*AT41+ABS(AU41)*AV41+ABS(AW41)*AX41)/BC41)</f>
        <v>0</v>
      </c>
      <c r="BB41" s="0"/>
      <c r="BC41" s="222" t="n">
        <f aca="false">ABS(K41)+ABS(M41)+ABS(O41)+ABS(Q41)+ABS(S41)+ABS(U41)+ABS(W41)+ABS(Y41)+ABS(AA41)+ABS(AC41)+ABS(AE41)+ABS(AG41)+ABS(AI41)+ABS(AK41)+ABS(AM41)+ABS(AO41)+ABS(AQ41)+ABS(AS41)+ABS(AU41)+ABS(AW41)</f>
        <v>0</v>
      </c>
      <c r="BD41" s="525" t="n">
        <f aca="false">TradeSum!CB45</f>
        <v>38169</v>
      </c>
      <c r="BE41" s="914" t="n">
        <f aca="false">TradeSum!CD45*TradeSum!CE45</f>
        <v>308.162358041764</v>
      </c>
      <c r="BF41" s="648" t="e">
        <f aca="false">VLOOKUP(J41,TradeSum!$CB$12:$CD$47,3)*BC41</f>
        <v>#N/A</v>
      </c>
      <c r="BG41" s="915" t="n">
        <f aca="false">IF(ISERROR(BF41),0,BF41)</f>
        <v>0</v>
      </c>
      <c r="BH41" s="914" t="e">
        <f aca="false">VLOOKUP(J41,$BD$8:$BE$43,2)</f>
        <v>#N/A</v>
      </c>
      <c r="BI41" s="914" t="n">
        <f aca="false">IF(ISERROR(BH41),0,BH41)</f>
        <v>0</v>
      </c>
      <c r="BJ41" s="222" t="n">
        <v>11</v>
      </c>
      <c r="BK41" s="222" t="n">
        <v>3</v>
      </c>
    </row>
    <row r="42" customFormat="false" ht="15.75" hidden="false" customHeight="false" outlineLevel="0" collapsed="false">
      <c r="A42" s="916"/>
      <c r="B42" s="917"/>
      <c r="C42" s="918"/>
      <c r="D42" s="919"/>
      <c r="E42" s="920" t="n">
        <f aca="false">AZ42</f>
        <v>0</v>
      </c>
      <c r="F42" s="921" t="n">
        <f aca="false">AY42</f>
        <v>0</v>
      </c>
      <c r="G42" s="921" t="n">
        <f aca="false">F42*BI42</f>
        <v>0</v>
      </c>
      <c r="H42" s="922" t="n">
        <f aca="false">(((D42-L42)*K42+(D42-N42)*M42+(D42-P42)*O42+(D42-R42)*Q42+(D42-T42)*S42+(D42-V42)*U42+(D42-X42)*W42+(D42-Z42)*Y42+(D42-AB42)*AA42+(D42-AD42)*AC42+(D42-AF42)*AE42+(D42-AH42)*AG42+(D42-AJ42)*AI42+(D42-AL42)*AK42+(D42-AN42)*AM42+(D42-AP42)*AO42+(D42-AR42)*AQ42+(D42-AT42)*AS42+(D42-AV42)*AU42+(D42-AX42)*AW42)*BI42)</f>
        <v>0</v>
      </c>
      <c r="J42" s="512" t="n">
        <f aca="false">B42</f>
        <v>0</v>
      </c>
      <c r="K42" s="520"/>
      <c r="L42" s="517"/>
      <c r="M42" s="520"/>
      <c r="N42" s="517"/>
      <c r="O42" s="520"/>
      <c r="P42" s="517"/>
      <c r="Q42" s="520"/>
      <c r="R42" s="517"/>
      <c r="S42" s="520"/>
      <c r="T42" s="517"/>
      <c r="U42" s="520"/>
      <c r="V42" s="517"/>
      <c r="W42" s="520"/>
      <c r="X42" s="517"/>
      <c r="Y42" s="520"/>
      <c r="Z42" s="517"/>
      <c r="AA42" s="520"/>
      <c r="AB42" s="517"/>
      <c r="AC42" s="520"/>
      <c r="AD42" s="517"/>
      <c r="AE42" s="520"/>
      <c r="AF42" s="517"/>
      <c r="AG42" s="520"/>
      <c r="AH42" s="517"/>
      <c r="AI42" s="520"/>
      <c r="AJ42" s="517"/>
      <c r="AK42" s="520"/>
      <c r="AL42" s="517"/>
      <c r="AM42" s="520"/>
      <c r="AN42" s="517"/>
      <c r="AO42" s="520"/>
      <c r="AP42" s="517"/>
      <c r="AQ42" s="520"/>
      <c r="AR42" s="517"/>
      <c r="AS42" s="520"/>
      <c r="AT42" s="517"/>
      <c r="AU42" s="520"/>
      <c r="AV42" s="517"/>
      <c r="AW42" s="520"/>
      <c r="AX42" s="517"/>
      <c r="AY42" s="556" t="n">
        <f aca="false">K42+M42+O42+Q42+S42+U42+W42+Y42+AA42+AC42+AE42+AG42+AI42+AK42+AM42+AO42+AQ42+AS42+AU42+AW42</f>
        <v>0</v>
      </c>
      <c r="AZ42" s="524" t="n">
        <f aca="false">IF(AND(AY42=0,BC42=0),0,(ABS(K42)*L42+ABS(M42)*N42+ABS(O42)*P42+ABS(Q42)*R42+ABS(S42)*T42+ABS(U42)*V42+ABS(W42)*X42+ABS(Y42)*Z42+ABS(AA42)*AB42+ABS(AC42)*AD42+ABS(AE42)*AF42+ABS(AG42)*AH42+ABS(AI42)*AJ42+ABS(AK42)*AL42+ABS(AM42)*AN42+ABS(AO42)*AP42+ABS(AQ42)*AR42+ABS(AS42)*AT42+ABS(AU42)*AV42+ABS(AW42)*AX42)/BC42)</f>
        <v>0</v>
      </c>
      <c r="BB42" s="0"/>
      <c r="BC42" s="222" t="n">
        <f aca="false">ABS(K42)+ABS(M42)+ABS(O42)+ABS(Q42)+ABS(S42)+ABS(U42)+ABS(W42)+ABS(Y42)+ABS(AA42)+ABS(AC42)+ABS(AE42)+ABS(AG42)+ABS(AI42)+ABS(AK42)+ABS(AM42)+ABS(AO42)+ABS(AQ42)+ABS(AS42)+ABS(AU42)+ABS(AW42)</f>
        <v>0</v>
      </c>
      <c r="BD42" s="525" t="n">
        <f aca="false">TradeSum!CB46</f>
        <v>38200</v>
      </c>
      <c r="BE42" s="914" t="n">
        <f aca="false">TradeSum!CD46*TradeSum!CE46</f>
        <v>306.674310310708</v>
      </c>
      <c r="BF42" s="648" t="e">
        <f aca="false">VLOOKUP(J42,TradeSum!$CB$12:$CD$47,3)*BC42</f>
        <v>#N/A</v>
      </c>
      <c r="BG42" s="915" t="n">
        <f aca="false">IF(ISERROR(BF42),0,BF42)</f>
        <v>0</v>
      </c>
      <c r="BH42" s="914" t="e">
        <f aca="false">VLOOKUP(J42,$BD$8:$BE$43,2)</f>
        <v>#N/A</v>
      </c>
      <c r="BI42" s="914" t="n">
        <f aca="false">IF(ISERROR(BH42),0,BH42)</f>
        <v>0</v>
      </c>
      <c r="BJ42" s="222" t="n">
        <v>11</v>
      </c>
      <c r="BK42" s="222" t="n">
        <v>3</v>
      </c>
    </row>
    <row r="43" customFormat="false" ht="15.75" hidden="false" customHeight="false" outlineLevel="0" collapsed="false">
      <c r="A43" s="916"/>
      <c r="B43" s="917"/>
      <c r="C43" s="918"/>
      <c r="D43" s="919"/>
      <c r="E43" s="920" t="n">
        <f aca="false">AZ43</f>
        <v>0</v>
      </c>
      <c r="F43" s="921" t="n">
        <f aca="false">AY43</f>
        <v>0</v>
      </c>
      <c r="G43" s="921" t="n">
        <f aca="false">F43*BI43</f>
        <v>0</v>
      </c>
      <c r="H43" s="922" t="n">
        <f aca="false">(((D43-L43)*K43+(D43-N43)*M43+(D43-P43)*O43+(D43-R43)*Q43+(D43-T43)*S43+(D43-V43)*U43+(D43-X43)*W43+(D43-Z43)*Y43+(D43-AB43)*AA43+(D43-AD43)*AC43+(D43-AF43)*AE43+(D43-AH43)*AG43+(D43-AJ43)*AI43+(D43-AL43)*AK43+(D43-AN43)*AM43+(D43-AP43)*AO43+(D43-AR43)*AQ43+(D43-AT43)*AS43+(D43-AV43)*AU43+(D43-AX43)*AW43)*BI43)</f>
        <v>0</v>
      </c>
      <c r="J43" s="512" t="n">
        <f aca="false">B43</f>
        <v>0</v>
      </c>
      <c r="K43" s="520"/>
      <c r="L43" s="517"/>
      <c r="M43" s="520"/>
      <c r="N43" s="517"/>
      <c r="O43" s="520"/>
      <c r="P43" s="517"/>
      <c r="Q43" s="520"/>
      <c r="R43" s="517"/>
      <c r="S43" s="520"/>
      <c r="T43" s="517"/>
      <c r="U43" s="520"/>
      <c r="V43" s="517"/>
      <c r="W43" s="520"/>
      <c r="X43" s="517"/>
      <c r="Y43" s="520"/>
      <c r="Z43" s="517"/>
      <c r="AA43" s="520"/>
      <c r="AB43" s="517"/>
      <c r="AC43" s="520"/>
      <c r="AD43" s="517"/>
      <c r="AE43" s="520"/>
      <c r="AF43" s="517"/>
      <c r="AG43" s="520"/>
      <c r="AH43" s="517"/>
      <c r="AI43" s="520"/>
      <c r="AJ43" s="517"/>
      <c r="AK43" s="520"/>
      <c r="AL43" s="517"/>
      <c r="AM43" s="520"/>
      <c r="AN43" s="517"/>
      <c r="AO43" s="520"/>
      <c r="AP43" s="517"/>
      <c r="AQ43" s="520"/>
      <c r="AR43" s="517"/>
      <c r="AS43" s="520"/>
      <c r="AT43" s="517"/>
      <c r="AU43" s="520"/>
      <c r="AV43" s="517"/>
      <c r="AW43" s="520"/>
      <c r="AX43" s="517"/>
      <c r="AY43" s="556" t="n">
        <f aca="false">K43+M43+O43+Q43+S43+U43+W43+Y43+AA43+AC43+AE43+AG43+AI43+AK43+AM43+AO43+AQ43+AS43+AU43+AW43</f>
        <v>0</v>
      </c>
      <c r="AZ43" s="524" t="n">
        <f aca="false">IF(AND(AY43=0,BC43=0),0,(ABS(K43)*L43+ABS(M43)*N43+ABS(O43)*P43+ABS(Q43)*R43+ABS(S43)*T43+ABS(U43)*V43+ABS(W43)*X43+ABS(Y43)*Z43+ABS(AA43)*AB43+ABS(AC43)*AD43+ABS(AE43)*AF43+ABS(AG43)*AH43+ABS(AI43)*AJ43+ABS(AK43)*AL43+ABS(AM43)*AN43+ABS(AO43)*AP43+ABS(AQ43)*AR43+ABS(AS43)*AT43+ABS(AU43)*AV43+ABS(AW43)*AX43)/BC43)</f>
        <v>0</v>
      </c>
      <c r="BB43" s="0"/>
      <c r="BC43" s="222" t="n">
        <f aca="false">ABS(K43)+ABS(M43)+ABS(O43)+ABS(Q43)+ABS(S43)+ABS(U43)+ABS(W43)+ABS(Y43)+ABS(AA43)+ABS(AC43)+ABS(AE43)+ABS(AG43)+ABS(AI43)+ABS(AK43)+ABS(AM43)+ABS(AO43)+ABS(AQ43)+ABS(AS43)+ABS(AU43)+ABS(AW43)</f>
        <v>0</v>
      </c>
      <c r="BD43" s="525" t="n">
        <f aca="false">TradeSum!CB47</f>
        <v>38231</v>
      </c>
      <c r="BE43" s="914" t="n">
        <f aca="false">TradeSum!CD47*TradeSum!CE47</f>
        <v>291.340930724612</v>
      </c>
      <c r="BF43" s="648" t="e">
        <f aca="false">VLOOKUP(J43,TradeSum!$CB$12:$CD$47,3)*BC43</f>
        <v>#N/A</v>
      </c>
      <c r="BG43" s="915" t="n">
        <f aca="false">IF(ISERROR(BF43),0,BF43)</f>
        <v>0</v>
      </c>
      <c r="BH43" s="914" t="e">
        <f aca="false">VLOOKUP(J43,$BD$8:$BE$43,2)</f>
        <v>#N/A</v>
      </c>
      <c r="BI43" s="914" t="n">
        <f aca="false">IF(ISERROR(BH43),0,BH43)</f>
        <v>0</v>
      </c>
      <c r="BJ43" s="222" t="n">
        <v>11</v>
      </c>
      <c r="BK43" s="222" t="n">
        <v>3</v>
      </c>
    </row>
    <row r="44" customFormat="false" ht="15.75" hidden="false" customHeight="false" outlineLevel="0" collapsed="false">
      <c r="A44" s="916"/>
      <c r="B44" s="917"/>
      <c r="C44" s="918"/>
      <c r="D44" s="919"/>
      <c r="E44" s="920" t="n">
        <f aca="false">AZ44</f>
        <v>0</v>
      </c>
      <c r="F44" s="921" t="n">
        <f aca="false">AY44</f>
        <v>0</v>
      </c>
      <c r="G44" s="921" t="n">
        <f aca="false">F44*BI44</f>
        <v>0</v>
      </c>
      <c r="H44" s="922" t="n">
        <f aca="false">(((D44-L44)*K44+(D44-N44)*M44+(D44-P44)*O44+(D44-R44)*Q44+(D44-T44)*S44+(D44-V44)*U44+(D44-X44)*W44+(D44-Z44)*Y44+(D44-AB44)*AA44+(D44-AD44)*AC44+(D44-AF44)*AE44+(D44-AH44)*AG44+(D44-AJ44)*AI44+(D44-AL44)*AK44+(D44-AN44)*AM44+(D44-AP44)*AO44+(D44-AR44)*AQ44+(D44-AT44)*AS44+(D44-AV44)*AU44+(D44-AX44)*AW44)*BI44)</f>
        <v>0</v>
      </c>
      <c r="J44" s="512" t="n">
        <f aca="false">B44</f>
        <v>0</v>
      </c>
      <c r="K44" s="520"/>
      <c r="L44" s="517"/>
      <c r="M44" s="520"/>
      <c r="N44" s="517"/>
      <c r="O44" s="520"/>
      <c r="P44" s="517"/>
      <c r="Q44" s="520"/>
      <c r="R44" s="517"/>
      <c r="S44" s="520"/>
      <c r="T44" s="517"/>
      <c r="U44" s="520"/>
      <c r="V44" s="517"/>
      <c r="W44" s="520"/>
      <c r="X44" s="517"/>
      <c r="Y44" s="520"/>
      <c r="Z44" s="517"/>
      <c r="AA44" s="520"/>
      <c r="AB44" s="517"/>
      <c r="AC44" s="520"/>
      <c r="AD44" s="517"/>
      <c r="AE44" s="520"/>
      <c r="AF44" s="517"/>
      <c r="AG44" s="520"/>
      <c r="AH44" s="517"/>
      <c r="AI44" s="520"/>
      <c r="AJ44" s="517"/>
      <c r="AK44" s="520"/>
      <c r="AL44" s="517"/>
      <c r="AM44" s="520"/>
      <c r="AN44" s="517"/>
      <c r="AO44" s="520"/>
      <c r="AP44" s="517"/>
      <c r="AQ44" s="520"/>
      <c r="AR44" s="517"/>
      <c r="AS44" s="520"/>
      <c r="AT44" s="517"/>
      <c r="AU44" s="520"/>
      <c r="AV44" s="517"/>
      <c r="AW44" s="520"/>
      <c r="AX44" s="517"/>
      <c r="AY44" s="556" t="n">
        <f aca="false">K44+M44+O44+Q44+S44+U44+W44+Y44+AA44+AC44+AE44+AG44+AI44+AK44+AM44+AO44+AQ44+AS44+AU44+AW44</f>
        <v>0</v>
      </c>
      <c r="AZ44" s="524" t="n">
        <f aca="false">IF(AND(AY44=0,BC44=0),0,(ABS(K44)*L44+ABS(M44)*N44+ABS(O44)*P44+ABS(Q44)*R44+ABS(S44)*T44+ABS(U44)*V44+ABS(W44)*X44+ABS(Y44)*Z44+ABS(AA44)*AB44+ABS(AC44)*AD44+ABS(AE44)*AF44+ABS(AG44)*AH44+ABS(AI44)*AJ44+ABS(AK44)*AL44+ABS(AM44)*AN44+ABS(AO44)*AP44+ABS(AQ44)*AR44+ABS(AS44)*AT44+ABS(AU44)*AV44+ABS(AW44)*AX44)/BC44)</f>
        <v>0</v>
      </c>
      <c r="BB44" s="0"/>
      <c r="BC44" s="222" t="n">
        <f aca="false">ABS(K44)+ABS(M44)+ABS(O44)+ABS(Q44)+ABS(S44)+ABS(U44)+ABS(W44)+ABS(Y44)+ABS(AA44)+ABS(AC44)+ABS(AE44)+ABS(AG44)+ABS(AI44)+ABS(AK44)+ABS(AM44)+ABS(AO44)+ABS(AQ44)+ABS(AS44)+ABS(AU44)+ABS(AW44)</f>
        <v>0</v>
      </c>
      <c r="BD44" s="222"/>
      <c r="BE44" s="222"/>
      <c r="BF44" s="648" t="e">
        <f aca="false">VLOOKUP(J44,TradeSum!$CB$12:$CD$47,3)*BC44</f>
        <v>#N/A</v>
      </c>
      <c r="BG44" s="915" t="n">
        <f aca="false">IF(ISERROR(BF44),0,BF44)</f>
        <v>0</v>
      </c>
      <c r="BH44" s="914" t="e">
        <f aca="false">VLOOKUP(J44,$BD$8:$BE$43,2)</f>
        <v>#N/A</v>
      </c>
      <c r="BI44" s="914" t="n">
        <f aca="false">IF(ISERROR(BH44),0,BH44)</f>
        <v>0</v>
      </c>
      <c r="BJ44" s="222" t="n">
        <v>11</v>
      </c>
      <c r="BK44" s="222" t="n">
        <v>3</v>
      </c>
    </row>
    <row r="45" customFormat="false" ht="15.75" hidden="false" customHeight="false" outlineLevel="0" collapsed="false">
      <c r="A45" s="916"/>
      <c r="B45" s="917"/>
      <c r="C45" s="918"/>
      <c r="D45" s="919"/>
      <c r="E45" s="920" t="n">
        <f aca="false">AZ45</f>
        <v>0</v>
      </c>
      <c r="F45" s="921" t="n">
        <f aca="false">AY45</f>
        <v>0</v>
      </c>
      <c r="G45" s="921" t="n">
        <f aca="false">F45*BI45</f>
        <v>0</v>
      </c>
      <c r="H45" s="922" t="n">
        <f aca="false">(((D45-L45)*K45+(D45-N45)*M45+(D45-P45)*O45+(D45-R45)*Q45+(D45-T45)*S45+(D45-V45)*U45+(D45-X45)*W45+(D45-Z45)*Y45+(D45-AB45)*AA45+(D45-AD45)*AC45+(D45-AF45)*AE45+(D45-AH45)*AG45+(D45-AJ45)*AI45+(D45-AL45)*AK45+(D45-AN45)*AM45+(D45-AP45)*AO45+(D45-AR45)*AQ45+(D45-AT45)*AS45+(D45-AV45)*AU45+(D45-AX45)*AW45)*BI45)</f>
        <v>0</v>
      </c>
      <c r="J45" s="512" t="n">
        <f aca="false">B45</f>
        <v>0</v>
      </c>
      <c r="K45" s="520"/>
      <c r="L45" s="517"/>
      <c r="M45" s="520"/>
      <c r="N45" s="517"/>
      <c r="O45" s="520"/>
      <c r="P45" s="517"/>
      <c r="Q45" s="520"/>
      <c r="R45" s="517"/>
      <c r="S45" s="520"/>
      <c r="T45" s="517"/>
      <c r="U45" s="520"/>
      <c r="V45" s="517"/>
      <c r="W45" s="520"/>
      <c r="X45" s="517"/>
      <c r="Y45" s="520"/>
      <c r="Z45" s="517"/>
      <c r="AA45" s="520"/>
      <c r="AB45" s="517"/>
      <c r="AC45" s="520"/>
      <c r="AD45" s="517"/>
      <c r="AE45" s="520"/>
      <c r="AF45" s="517"/>
      <c r="AG45" s="520"/>
      <c r="AH45" s="517"/>
      <c r="AI45" s="520"/>
      <c r="AJ45" s="517"/>
      <c r="AK45" s="520"/>
      <c r="AL45" s="517"/>
      <c r="AM45" s="520"/>
      <c r="AN45" s="517"/>
      <c r="AO45" s="520"/>
      <c r="AP45" s="517"/>
      <c r="AQ45" s="520"/>
      <c r="AR45" s="517"/>
      <c r="AS45" s="520"/>
      <c r="AT45" s="517"/>
      <c r="AU45" s="520"/>
      <c r="AV45" s="517"/>
      <c r="AW45" s="520"/>
      <c r="AX45" s="517"/>
      <c r="AY45" s="556" t="n">
        <f aca="false">K45+M45+O45+Q45+S45+U45+W45+Y45+AA45+AC45+AE45+AG45+AI45+AK45+AM45+AO45+AQ45+AS45+AU45+AW45</f>
        <v>0</v>
      </c>
      <c r="AZ45" s="524" t="n">
        <f aca="false">IF(AND(AY45=0,BC45=0),0,(ABS(K45)*L45+ABS(M45)*N45+ABS(O45)*P45+ABS(Q45)*R45+ABS(S45)*T45+ABS(U45)*V45+ABS(W45)*X45+ABS(Y45)*Z45+ABS(AA45)*AB45+ABS(AC45)*AD45+ABS(AE45)*AF45+ABS(AG45)*AH45+ABS(AI45)*AJ45+ABS(AK45)*AL45+ABS(AM45)*AN45+ABS(AO45)*AP45+ABS(AQ45)*AR45+ABS(AS45)*AT45+ABS(AU45)*AV45+ABS(AW45)*AX45)/BC45)</f>
        <v>0</v>
      </c>
      <c r="BB45" s="0"/>
      <c r="BC45" s="222" t="n">
        <f aca="false">ABS(K45)+ABS(M45)+ABS(O45)+ABS(Q45)+ABS(S45)+ABS(U45)+ABS(W45)+ABS(Y45)+ABS(AA45)+ABS(AC45)+ABS(AE45)+ABS(AG45)+ABS(AI45)+ABS(AK45)+ABS(AM45)+ABS(AO45)+ABS(AQ45)+ABS(AS45)+ABS(AU45)+ABS(AW45)</f>
        <v>0</v>
      </c>
      <c r="BD45" s="222"/>
      <c r="BE45" s="222"/>
      <c r="BF45" s="648" t="e">
        <f aca="false">VLOOKUP(J45,TradeSum!$CB$12:$CD$47,3)*BC45</f>
        <v>#N/A</v>
      </c>
      <c r="BG45" s="915" t="n">
        <f aca="false">IF(ISERROR(BF45),0,BF45)</f>
        <v>0</v>
      </c>
      <c r="BH45" s="914" t="e">
        <f aca="false">VLOOKUP(J45,$BD$8:$BE$43,2)</f>
        <v>#N/A</v>
      </c>
      <c r="BI45" s="914" t="n">
        <f aca="false">IF(ISERROR(BH45),0,BH45)</f>
        <v>0</v>
      </c>
      <c r="BJ45" s="222" t="n">
        <v>11</v>
      </c>
      <c r="BK45" s="222" t="n">
        <v>3</v>
      </c>
    </row>
    <row r="46" customFormat="false" ht="16.5" hidden="false" customHeight="false" outlineLevel="0" collapsed="false">
      <c r="A46" s="923"/>
      <c r="B46" s="924"/>
      <c r="C46" s="925"/>
      <c r="D46" s="926"/>
      <c r="E46" s="927" t="n">
        <f aca="false">AZ46</f>
        <v>0</v>
      </c>
      <c r="F46" s="928" t="n">
        <f aca="false">AY46</f>
        <v>0</v>
      </c>
      <c r="G46" s="928" t="n">
        <f aca="false">F46*BI46</f>
        <v>0</v>
      </c>
      <c r="H46" s="929" t="n">
        <f aca="false">(((D46-L46)*K46+(D46-N46)*M46+(D46-P46)*O46+(D46-R46)*Q46+(D46-T46)*S46+(D46-V46)*U46+(D46-X46)*W46+(D46-Z46)*Y46+(D46-AB46)*AA46+(D46-AD46)*AC46+(D46-AF46)*AE46+(D46-AH46)*AG46+(D46-AJ46)*AI46+(D46-AL46)*AK46+(D46-AN46)*AM46+(D46-AP46)*AO46+(D46-AR46)*AQ46+(D46-AT46)*AS46+(D46-AV46)*AU46+(D46-AX46)*AW46)*BI46)</f>
        <v>0</v>
      </c>
      <c r="J46" s="681" t="n">
        <f aca="false">B46</f>
        <v>0</v>
      </c>
      <c r="K46" s="657"/>
      <c r="L46" s="658"/>
      <c r="M46" s="657"/>
      <c r="N46" s="658"/>
      <c r="O46" s="657"/>
      <c r="P46" s="658"/>
      <c r="Q46" s="657"/>
      <c r="R46" s="658"/>
      <c r="S46" s="657"/>
      <c r="T46" s="658"/>
      <c r="U46" s="657"/>
      <c r="V46" s="658"/>
      <c r="W46" s="657"/>
      <c r="X46" s="658"/>
      <c r="Y46" s="657"/>
      <c r="Z46" s="658"/>
      <c r="AA46" s="657"/>
      <c r="AB46" s="658"/>
      <c r="AC46" s="657"/>
      <c r="AD46" s="658"/>
      <c r="AE46" s="657"/>
      <c r="AF46" s="658"/>
      <c r="AG46" s="657"/>
      <c r="AH46" s="658"/>
      <c r="AI46" s="657"/>
      <c r="AJ46" s="658"/>
      <c r="AK46" s="657"/>
      <c r="AL46" s="658"/>
      <c r="AM46" s="657"/>
      <c r="AN46" s="658"/>
      <c r="AO46" s="657"/>
      <c r="AP46" s="658"/>
      <c r="AQ46" s="657"/>
      <c r="AR46" s="658"/>
      <c r="AS46" s="657"/>
      <c r="AT46" s="658"/>
      <c r="AU46" s="657"/>
      <c r="AV46" s="658"/>
      <c r="AW46" s="657"/>
      <c r="AX46" s="658"/>
      <c r="AY46" s="659" t="n">
        <f aca="false">K46+M46+O46+Q46+S46+U46+W46+Y46+AA46+AC46+AE46+AG46+AI46+AK46+AM46+AO46+AQ46+AS46+AU46+AW46</f>
        <v>0</v>
      </c>
      <c r="AZ46" s="660" t="n">
        <f aca="false">IF(AND(AY46=0,BC46=0),0,(ABS(K46)*L46+ABS(M46)*N46+ABS(O46)*P46+ABS(Q46)*R46+ABS(S46)*T46+ABS(U46)*V46+ABS(W46)*X46+ABS(Y46)*Z46+ABS(AA46)*AB46+ABS(AC46)*AD46+ABS(AE46)*AF46+ABS(AG46)*AH46+ABS(AI46)*AJ46+ABS(AK46)*AL46+ABS(AM46)*AN46+ABS(AO46)*AP46+ABS(AQ46)*AR46+ABS(AS46)*AT46+ABS(AU46)*AV46+ABS(AW46)*AX46)/BC46)</f>
        <v>0</v>
      </c>
      <c r="BB46" s="0"/>
      <c r="BC46" s="222" t="n">
        <f aca="false">ABS(K46)+ABS(M46)+ABS(O46)+ABS(Q46)+ABS(S46)+ABS(U46)+ABS(W46)+ABS(Y46)+ABS(AA46)+ABS(AC46)+ABS(AE46)+ABS(AG46)+ABS(AI46)+ABS(AK46)+ABS(AM46)+ABS(AO46)+ABS(AQ46)+ABS(AS46)+ABS(AU46)+ABS(AW46)</f>
        <v>0</v>
      </c>
      <c r="BD46" s="222"/>
      <c r="BE46" s="222"/>
      <c r="BF46" s="914" t="e">
        <f aca="false">VLOOKUP(J46,TradeSum!$CB$12:$CD$47,3)*BC46</f>
        <v>#N/A</v>
      </c>
      <c r="BG46" s="930" t="n">
        <f aca="false">IF(ISERROR(BF46),0,BF46)</f>
        <v>0</v>
      </c>
      <c r="BH46" s="914" t="e">
        <f aca="false">VLOOKUP(J46,$BD$8:$BE$43,2)</f>
        <v>#N/A</v>
      </c>
      <c r="BI46" s="914" t="n">
        <f aca="false">IF(ISERROR(BH46),0,BH46)</f>
        <v>0</v>
      </c>
      <c r="BJ46" s="222" t="n">
        <v>11</v>
      </c>
      <c r="BK46" s="222" t="n">
        <v>3</v>
      </c>
    </row>
    <row r="47" customFormat="false" ht="12.75" hidden="false" customHeight="false" outlineLevel="0" collapsed="false">
      <c r="BF47" s="931" t="s">
        <v>299</v>
      </c>
      <c r="BG47" s="439" t="n">
        <f aca="false">SUM(BG8:BG46)</f>
        <v>0</v>
      </c>
    </row>
    <row r="60" customFormat="false" ht="12.75" hidden="true" customHeight="false" outlineLevel="0" collapsed="false">
      <c r="A60" s="932" t="s">
        <v>400</v>
      </c>
    </row>
    <row r="61" customFormat="false" ht="12.75" hidden="true" customHeight="false" outlineLevel="0" collapsed="false">
      <c r="A61" s="439" t="s">
        <v>401</v>
      </c>
      <c r="B61" s="439" t="s">
        <v>402</v>
      </c>
    </row>
    <row r="62" customFormat="false" ht="12.75" hidden="true" customHeight="false" outlineLevel="0" collapsed="false">
      <c r="A62" s="439" t="s">
        <v>403</v>
      </c>
      <c r="B62" s="439" t="s">
        <v>404</v>
      </c>
    </row>
    <row r="63" customFormat="false" ht="12.75" hidden="true" customHeight="false" outlineLevel="0" collapsed="false">
      <c r="A63" s="439" t="s">
        <v>405</v>
      </c>
      <c r="B63" s="0"/>
    </row>
    <row r="64" customFormat="false" ht="12.75" hidden="true" customHeight="false" outlineLevel="0" collapsed="false">
      <c r="A64" s="439" t="s">
        <v>406</v>
      </c>
    </row>
    <row r="65" customFormat="false" ht="12.75" hidden="true" customHeight="false" outlineLevel="0" collapsed="false">
      <c r="A65" s="439" t="s">
        <v>407</v>
      </c>
    </row>
    <row r="66" customFormat="false" ht="12.75" hidden="true" customHeight="false" outlineLevel="0" collapsed="false">
      <c r="A66" s="439" t="s">
        <v>408</v>
      </c>
    </row>
    <row r="67" customFormat="false" ht="12.75" hidden="true" customHeight="false" outlineLevel="0" collapsed="false">
      <c r="A67" s="439" t="s">
        <v>409</v>
      </c>
    </row>
    <row r="68" customFormat="false" ht="12.75" hidden="true" customHeight="false" outlineLevel="0" collapsed="false">
      <c r="A68" s="439" t="s">
        <v>410</v>
      </c>
    </row>
    <row r="69" customFormat="false" ht="12.75" hidden="true" customHeight="false" outlineLevel="0" collapsed="false">
      <c r="A69" s="439" t="s">
        <v>411</v>
      </c>
    </row>
    <row r="70" customFormat="false" ht="12.75" hidden="true" customHeight="false" outlineLevel="0" collapsed="false">
      <c r="A70" s="439" t="s">
        <v>412</v>
      </c>
    </row>
    <row r="71" customFormat="false" ht="12.75" hidden="true" customHeight="false" outlineLevel="0" collapsed="false">
      <c r="A71" s="0"/>
    </row>
    <row r="72" customFormat="false" ht="12.75" hidden="true" customHeight="false" outlineLevel="0" collapsed="false">
      <c r="A72" s="439" t="n">
        <v>3</v>
      </c>
      <c r="B72" s="439" t="n">
        <v>3</v>
      </c>
    </row>
  </sheetData>
  <mergeCells count="20"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I6:AJ6"/>
    <mergeCell ref="AK6:AL6"/>
    <mergeCell ref="AM6:AN6"/>
    <mergeCell ref="AO6:AP6"/>
    <mergeCell ref="AQ6:AR6"/>
    <mergeCell ref="AS6:AT6"/>
    <mergeCell ref="AU6:AV6"/>
    <mergeCell ref="AW6:AX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N100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897" width="15.99"/>
    <col collapsed="false" customWidth="true" hidden="false" outlineLevel="0" max="2" min="2" style="0" width="14.41"/>
    <col collapsed="false" customWidth="true" hidden="false" outlineLevel="0" max="3" min="3" style="0" width="12.42"/>
    <col collapsed="false" customWidth="true" hidden="false" outlineLevel="0" max="7" min="7" style="0" width="18.28"/>
    <col collapsed="false" customWidth="true" hidden="false" outlineLevel="0" max="12" min="12" style="0" width="18.28"/>
    <col collapsed="false" customWidth="true" hidden="false" outlineLevel="0" max="16" min="16" style="898" width="11.99"/>
    <col collapsed="false" customWidth="true" hidden="false" outlineLevel="0" max="19" min="19" style="0" width="16.99"/>
    <col collapsed="false" customWidth="true" hidden="false" outlineLevel="0" max="20" min="20" style="0" width="15.85"/>
    <col collapsed="false" customWidth="true" hidden="false" outlineLevel="0" max="21" min="21" style="0" width="12.42"/>
    <col collapsed="false" customWidth="true" hidden="false" outlineLevel="0" max="23" min="23" style="0" width="21.28"/>
    <col collapsed="false" customWidth="true" hidden="false" outlineLevel="0" max="24" min="24" style="0" width="16.84"/>
    <col collapsed="false" customWidth="true" hidden="false" outlineLevel="0" max="25" min="25" style="0" width="12.42"/>
    <col collapsed="false" customWidth="true" hidden="false" outlineLevel="0" max="27" min="27" style="0" width="19.28"/>
    <col collapsed="false" customWidth="true" hidden="false" outlineLevel="0" max="28" min="28" style="0" width="16.84"/>
    <col collapsed="false" customWidth="true" hidden="false" outlineLevel="0" max="29" min="29" style="0" width="12.7"/>
  </cols>
  <sheetData>
    <row r="1" customFormat="false" ht="15.75" hidden="false" customHeight="false" outlineLevel="0" collapsed="false">
      <c r="A1" s="933" t="s">
        <v>413</v>
      </c>
      <c r="E1" s="934" t="s">
        <v>414</v>
      </c>
      <c r="S1" s="933" t="s">
        <v>415</v>
      </c>
      <c r="AA1" s="933" t="s">
        <v>416</v>
      </c>
    </row>
    <row r="2" customFormat="false" ht="12.75" hidden="false" customHeight="false" outlineLevel="0" collapsed="false">
      <c r="S2" s="897"/>
    </row>
    <row r="3" customFormat="false" ht="12.75" hidden="false" customHeight="false" outlineLevel="0" collapsed="false">
      <c r="A3" s="935" t="s">
        <v>417</v>
      </c>
      <c r="B3" s="936" t="s">
        <v>418</v>
      </c>
      <c r="F3" s="754" t="s">
        <v>66</v>
      </c>
      <c r="G3" s="754" t="s">
        <v>419</v>
      </c>
      <c r="H3" s="754" t="s">
        <v>66</v>
      </c>
      <c r="I3" s="754" t="s">
        <v>420</v>
      </c>
      <c r="L3" s="754" t="s">
        <v>419</v>
      </c>
      <c r="M3" s="754" t="s">
        <v>66</v>
      </c>
      <c r="O3" s="783" t="s">
        <v>83</v>
      </c>
      <c r="S3" s="935" t="s">
        <v>417</v>
      </c>
      <c r="T3" s="936" t="s">
        <v>418</v>
      </c>
      <c r="AA3" s="935" t="s">
        <v>417</v>
      </c>
      <c r="AB3" s="936" t="s">
        <v>418</v>
      </c>
    </row>
    <row r="4" customFormat="false" ht="12.75" hidden="false" customHeight="false" outlineLevel="0" collapsed="false">
      <c r="A4" s="935" t="s">
        <v>421</v>
      </c>
      <c r="B4" s="937" t="s">
        <v>422</v>
      </c>
      <c r="F4" s="754" t="s">
        <v>423</v>
      </c>
      <c r="G4" s="938" t="s">
        <v>424</v>
      </c>
      <c r="H4" s="754" t="s">
        <v>425</v>
      </c>
      <c r="I4" s="754" t="s">
        <v>423</v>
      </c>
      <c r="L4" s="938" t="s">
        <v>424</v>
      </c>
      <c r="M4" s="754" t="s">
        <v>425</v>
      </c>
      <c r="O4" s="783" t="s">
        <v>426</v>
      </c>
      <c r="P4" s="939" t="s">
        <v>427</v>
      </c>
      <c r="S4" s="935" t="s">
        <v>421</v>
      </c>
      <c r="T4" s="937" t="s">
        <v>422</v>
      </c>
      <c r="AA4" s="935" t="s">
        <v>421</v>
      </c>
      <c r="AB4" s="937" t="s">
        <v>422</v>
      </c>
    </row>
    <row r="5" customFormat="false" ht="15.75" hidden="false" customHeight="false" outlineLevel="0" collapsed="false">
      <c r="A5" s="935" t="s">
        <v>428</v>
      </c>
      <c r="B5" s="937" t="s">
        <v>422</v>
      </c>
      <c r="E5" s="940"/>
      <c r="F5" s="941"/>
      <c r="G5" s="940"/>
      <c r="H5" s="940"/>
      <c r="I5" s="942"/>
      <c r="K5" s="0" t="n">
        <f aca="false">E5</f>
        <v>0</v>
      </c>
      <c r="L5" s="915" t="n">
        <f aca="false">IF(ISERROR(G5/1000),0,G5/1000)</f>
        <v>0</v>
      </c>
      <c r="M5" s="915" t="n">
        <f aca="false">IF(ISERROR(H5/1000),0,H5/1000)</f>
        <v>0</v>
      </c>
      <c r="O5" s="897" t="n">
        <f aca="false">FuturesPosn!E8</f>
        <v>0</v>
      </c>
      <c r="P5" s="898" t="n">
        <f aca="false">FuturesPosn!F8</f>
        <v>0</v>
      </c>
      <c r="S5" s="935" t="s">
        <v>428</v>
      </c>
      <c r="T5" s="937" t="s">
        <v>422</v>
      </c>
      <c r="AA5" s="935" t="s">
        <v>428</v>
      </c>
      <c r="AB5" s="937" t="s">
        <v>422</v>
      </c>
    </row>
    <row r="6" customFormat="false" ht="15.75" hidden="false" customHeight="false" outlineLevel="0" collapsed="false">
      <c r="B6" s="754" t="s">
        <v>429</v>
      </c>
      <c r="C6" s="754" t="s">
        <v>430</v>
      </c>
      <c r="E6" s="940"/>
      <c r="F6" s="941"/>
      <c r="G6" s="940"/>
      <c r="H6" s="940"/>
      <c r="I6" s="942"/>
      <c r="K6" s="0" t="n">
        <f aca="false">E6</f>
        <v>0</v>
      </c>
      <c r="L6" s="915" t="n">
        <f aca="false">IF(ISERROR(G6/1000),0,G6/1000)</f>
        <v>0</v>
      </c>
      <c r="M6" s="915" t="n">
        <f aca="false">IF(ISERROR(H6/1000),0,H6/1000)</f>
        <v>0</v>
      </c>
      <c r="O6" s="897" t="n">
        <f aca="false">FuturesPosn!E9</f>
        <v>0</v>
      </c>
      <c r="P6" s="898" t="n">
        <f aca="false">FuturesPosn!F9</f>
        <v>0</v>
      </c>
      <c r="S6" s="897"/>
      <c r="T6" s="754" t="s">
        <v>429</v>
      </c>
      <c r="U6" s="754" t="s">
        <v>430</v>
      </c>
      <c r="AA6" s="897"/>
      <c r="AB6" s="754" t="s">
        <v>431</v>
      </c>
      <c r="AC6" s="754" t="s">
        <v>432</v>
      </c>
    </row>
    <row r="7" customFormat="false" ht="15.75" hidden="false" customHeight="false" outlineLevel="0" collapsed="false">
      <c r="A7" s="935" t="s">
        <v>433</v>
      </c>
      <c r="B7" s="943" t="n">
        <f aca="false">Interest!X5</f>
        <v>37140</v>
      </c>
      <c r="C7" s="943" t="n">
        <f aca="false">B7</f>
        <v>37140</v>
      </c>
      <c r="E7" s="940"/>
      <c r="F7" s="941"/>
      <c r="G7" s="940"/>
      <c r="H7" s="940"/>
      <c r="I7" s="942"/>
      <c r="K7" s="0" t="n">
        <f aca="false">E7</f>
        <v>0</v>
      </c>
      <c r="L7" s="915" t="n">
        <f aca="false">IF(ISERROR(G7/1000),0,G7/1000)</f>
        <v>0</v>
      </c>
      <c r="M7" s="915" t="n">
        <f aca="false">IF(ISERROR(H7/1000),0,H7/1000)</f>
        <v>0</v>
      </c>
      <c r="O7" s="897" t="n">
        <f aca="false">FuturesPosn!E10</f>
        <v>0</v>
      </c>
      <c r="P7" s="898" t="n">
        <f aca="false">FuturesPosn!F10</f>
        <v>0</v>
      </c>
      <c r="S7" s="935" t="s">
        <v>433</v>
      </c>
      <c r="T7" s="943" t="n">
        <f aca="false">B7</f>
        <v>37140</v>
      </c>
      <c r="U7" s="943" t="n">
        <f aca="false">C7</f>
        <v>37140</v>
      </c>
      <c r="AA7" s="935" t="s">
        <v>433</v>
      </c>
      <c r="AB7" s="943" t="n">
        <f aca="false">TradeDate</f>
        <v>37141</v>
      </c>
      <c r="AC7" s="943" t="n">
        <f aca="false">AB7</f>
        <v>37141</v>
      </c>
    </row>
    <row r="8" customFormat="false" ht="15.75" hidden="false" customHeight="false" outlineLevel="0" collapsed="false">
      <c r="A8" s="935" t="s">
        <v>434</v>
      </c>
      <c r="B8" s="944" t="n">
        <f aca="false">Interest!X6</f>
        <v>37165</v>
      </c>
      <c r="C8" s="944" t="n">
        <f aca="false">B8</f>
        <v>37165</v>
      </c>
      <c r="E8" s="940"/>
      <c r="F8" s="941"/>
      <c r="G8" s="940"/>
      <c r="H8" s="940"/>
      <c r="I8" s="942"/>
      <c r="K8" s="0" t="n">
        <f aca="false">E8</f>
        <v>0</v>
      </c>
      <c r="L8" s="915" t="n">
        <f aca="false">IF(ISERROR(G8/1000),0,G8/1000)</f>
        <v>0</v>
      </c>
      <c r="M8" s="915" t="n">
        <f aca="false">IF(ISERROR(H8/1000),0,H8/1000)</f>
        <v>0</v>
      </c>
      <c r="O8" s="897" t="n">
        <f aca="false">FuturesPosn!E11</f>
        <v>0</v>
      </c>
      <c r="P8" s="898" t="n">
        <f aca="false">FuturesPosn!F11</f>
        <v>0</v>
      </c>
      <c r="S8" s="935" t="s">
        <v>434</v>
      </c>
      <c r="T8" s="944" t="n">
        <f aca="false">B8</f>
        <v>37165</v>
      </c>
      <c r="U8" s="944" t="n">
        <f aca="false">C8</f>
        <v>37165</v>
      </c>
      <c r="AA8" s="935" t="s">
        <v>434</v>
      </c>
      <c r="AB8" s="944" t="n">
        <f aca="false">T8</f>
        <v>37165</v>
      </c>
      <c r="AC8" s="944" t="n">
        <f aca="false">AB8</f>
        <v>37165</v>
      </c>
    </row>
    <row r="9" customFormat="false" ht="15.75" hidden="false" customHeight="false" outlineLevel="0" collapsed="false">
      <c r="A9" s="935" t="s">
        <v>435</v>
      </c>
      <c r="B9" s="945" t="s">
        <v>436</v>
      </c>
      <c r="C9" s="945" t="str">
        <f aca="false">B9</f>
        <v>PWCN</v>
      </c>
      <c r="E9" s="940"/>
      <c r="F9" s="941"/>
      <c r="G9" s="940"/>
      <c r="H9" s="940"/>
      <c r="I9" s="942"/>
      <c r="K9" s="0" t="n">
        <f aca="false">E9</f>
        <v>0</v>
      </c>
      <c r="L9" s="915" t="n">
        <f aca="false">IF(ISERROR(G9/1000),0,G9/1000)</f>
        <v>0</v>
      </c>
      <c r="M9" s="915" t="n">
        <f aca="false">IF(ISERROR(H9/1000),0,H9/1000)</f>
        <v>0</v>
      </c>
      <c r="O9" s="897" t="n">
        <f aca="false">FuturesPosn!E12</f>
        <v>0</v>
      </c>
      <c r="P9" s="898" t="n">
        <f aca="false">FuturesPosn!F12</f>
        <v>0</v>
      </c>
      <c r="S9" s="935" t="s">
        <v>435</v>
      </c>
      <c r="T9" s="945" t="s">
        <v>437</v>
      </c>
      <c r="U9" s="945" t="s">
        <v>437</v>
      </c>
      <c r="AA9" s="935" t="s">
        <v>435</v>
      </c>
      <c r="AB9" s="945" t="s">
        <v>437</v>
      </c>
      <c r="AC9" s="945" t="s">
        <v>437</v>
      </c>
    </row>
    <row r="10" customFormat="false" ht="15.75" hidden="false" customHeight="false" outlineLevel="0" collapsed="false">
      <c r="A10" s="935" t="s">
        <v>438</v>
      </c>
      <c r="B10" s="945" t="s">
        <v>439</v>
      </c>
      <c r="C10" s="945" t="s">
        <v>440</v>
      </c>
      <c r="E10" s="940"/>
      <c r="F10" s="941"/>
      <c r="G10" s="940"/>
      <c r="H10" s="940"/>
      <c r="I10" s="942"/>
      <c r="K10" s="0" t="n">
        <f aca="false">E10</f>
        <v>0</v>
      </c>
      <c r="L10" s="915" t="n">
        <f aca="false">IF(ISERROR(G10/1000),0,G10/1000)</f>
        <v>0</v>
      </c>
      <c r="M10" s="915" t="n">
        <f aca="false">IF(ISERROR(H10/1000),0,H10/1000)</f>
        <v>0</v>
      </c>
      <c r="O10" s="897" t="n">
        <f aca="false">FuturesPosn!E13</f>
        <v>0</v>
      </c>
      <c r="P10" s="898" t="n">
        <f aca="false">FuturesPosn!F13</f>
        <v>0</v>
      </c>
      <c r="S10" s="935" t="s">
        <v>438</v>
      </c>
      <c r="T10" s="945" t="s">
        <v>439</v>
      </c>
      <c r="U10" s="945" t="s">
        <v>440</v>
      </c>
      <c r="X10" s="946" t="s">
        <v>441</v>
      </c>
      <c r="AA10" s="935" t="s">
        <v>438</v>
      </c>
      <c r="AB10" s="945" t="s">
        <v>439</v>
      </c>
      <c r="AC10" s="945" t="s">
        <v>440</v>
      </c>
      <c r="AH10" s="946" t="s">
        <v>442</v>
      </c>
    </row>
    <row r="11" customFormat="false" ht="15.75" hidden="false" customHeight="false" outlineLevel="0" collapsed="false">
      <c r="A11" s="935" t="s">
        <v>443</v>
      </c>
      <c r="B11" s="945" t="s">
        <v>116</v>
      </c>
      <c r="C11" s="945" t="str">
        <f aca="false">B11</f>
        <v>X</v>
      </c>
      <c r="E11" s="940"/>
      <c r="F11" s="941"/>
      <c r="G11" s="940"/>
      <c r="H11" s="940"/>
      <c r="I11" s="942"/>
      <c r="K11" s="0" t="n">
        <f aca="false">E11</f>
        <v>0</v>
      </c>
      <c r="L11" s="915" t="n">
        <f aca="false">IF(ISERROR(G11/1000),0,G11/1000)</f>
        <v>0</v>
      </c>
      <c r="M11" s="915" t="n">
        <f aca="false">IF(ISERROR(H11/1000),0,H11/1000)</f>
        <v>0</v>
      </c>
      <c r="O11" s="897" t="n">
        <f aca="false">FuturesPosn!E14</f>
        <v>0</v>
      </c>
      <c r="P11" s="898" t="n">
        <f aca="false">FuturesPosn!F14</f>
        <v>0</v>
      </c>
      <c r="S11" s="935" t="s">
        <v>443</v>
      </c>
      <c r="T11" s="945" t="s">
        <v>402</v>
      </c>
      <c r="U11" s="945" t="s">
        <v>402</v>
      </c>
      <c r="X11" s="0" t="s">
        <v>275</v>
      </c>
      <c r="Y11" s="0" t="s">
        <v>381</v>
      </c>
      <c r="AA11" s="935" t="s">
        <v>443</v>
      </c>
      <c r="AB11" s="945" t="s">
        <v>402</v>
      </c>
      <c r="AC11" s="945" t="s">
        <v>402</v>
      </c>
    </row>
    <row r="12" customFormat="false" ht="15.75" hidden="false" customHeight="false" outlineLevel="0" collapsed="false">
      <c r="A12" s="947" t="n">
        <v>37165</v>
      </c>
      <c r="B12" s="0" t="n">
        <v>26</v>
      </c>
      <c r="E12" s="940"/>
      <c r="F12" s="941"/>
      <c r="G12" s="940"/>
      <c r="H12" s="940"/>
      <c r="I12" s="942"/>
      <c r="K12" s="0" t="n">
        <f aca="false">E12</f>
        <v>0</v>
      </c>
      <c r="L12" s="915" t="n">
        <f aca="false">IF(ISERROR(G12/1000),0,G12/1000)</f>
        <v>0</v>
      </c>
      <c r="M12" s="915" t="n">
        <f aca="false">IF(ISERROR(H12/1000),0,H12/1000)</f>
        <v>0</v>
      </c>
      <c r="O12" s="897" t="n">
        <f aca="false">FuturesPosn!E15</f>
        <v>0</v>
      </c>
      <c r="P12" s="898" t="n">
        <f aca="false">FuturesPosn!F15</f>
        <v>0</v>
      </c>
      <c r="S12" s="947" t="n">
        <v>37165</v>
      </c>
      <c r="T12" s="0" t="n">
        <v>2.44</v>
      </c>
      <c r="U12" s="0" t="n">
        <v>0.75</v>
      </c>
      <c r="X12" s="0" t="n">
        <f aca="false">AB12-T12</f>
        <v>-2.44</v>
      </c>
      <c r="Y12" s="0" t="n">
        <f aca="false">AC12-U12</f>
        <v>-0.75</v>
      </c>
      <c r="AH12" s="0" t="str">
        <f aca="false" t="array" ref="AH12:AH25">DDE("TWINDDE","RSFPage","0#NG: 2 0 4 14")</f>
        <v>OCT1</v>
      </c>
      <c r="AI12" s="0" t="str">
        <f aca="false" t="array" ref="AI12:AI25">DDE("TWINDDE","RSFPage","0#NG: 2 5 7 14")</f>
        <v> _x001b_)1Þ2.445</v>
      </c>
      <c r="AJ12" s="0" t="str">
        <f aca="false" t="array" ref="AJ12:AJ25">DDE("TWINDDE","RSFPage","0#NG: 2 16 6 14")</f>
        <v>+0.005</v>
      </c>
      <c r="AL12" s="0" t="str">
        <f aca="false">IF(LEFT(AJ12,2)="--",RIGHT(AJ12,5),AJ12)</f>
        <v>+0.005</v>
      </c>
      <c r="AM12" s="0" t="n">
        <f aca="false">VALUE(AL12)</f>
        <v>0.005</v>
      </c>
      <c r="AN12" s="0" t="n">
        <f aca="false">IF(ISERROR(AM12),0,AM12)</f>
        <v>0.005</v>
      </c>
    </row>
    <row r="13" customFormat="false" ht="15.75" hidden="false" customHeight="false" outlineLevel="0" collapsed="false">
      <c r="A13" s="947" t="n">
        <v>37196</v>
      </c>
      <c r="B13" s="0" t="n">
        <v>26.1</v>
      </c>
      <c r="E13" s="940"/>
      <c r="F13" s="941"/>
      <c r="G13" s="940"/>
      <c r="H13" s="940"/>
      <c r="I13" s="942"/>
      <c r="K13" s="0" t="n">
        <f aca="false">E13</f>
        <v>0</v>
      </c>
      <c r="L13" s="915" t="n">
        <f aca="false">IF(ISERROR(G13/1000),0,G13/1000)</f>
        <v>0</v>
      </c>
      <c r="M13" s="915" t="n">
        <f aca="false">IF(ISERROR(H13/1000),0,H13/1000)</f>
        <v>0</v>
      </c>
      <c r="O13" s="897" t="n">
        <f aca="false">FuturesPosn!E16</f>
        <v>0</v>
      </c>
      <c r="P13" s="898" t="n">
        <f aca="false">FuturesPosn!F16</f>
        <v>0</v>
      </c>
      <c r="S13" s="947" t="n">
        <v>37196</v>
      </c>
      <c r="T13" s="0" t="n">
        <v>2.74</v>
      </c>
      <c r="U13" s="0" t="n">
        <v>0.655</v>
      </c>
      <c r="X13" s="0" t="n">
        <f aca="false">AB13-T13</f>
        <v>-2.74</v>
      </c>
      <c r="Y13" s="0" t="n">
        <f aca="false">AC13-U13</f>
        <v>-0.655</v>
      </c>
      <c r="AH13" s="0" t="str">
        <v>NOV1</v>
      </c>
      <c r="AI13" s="0" t="str">
        <v> _x001b_)1Þ2.735</v>
      </c>
      <c r="AJ13" s="0" t="str">
        <v>--0.00</v>
      </c>
      <c r="AL13" s="0" t="str">
        <f aca="false">IF(LEFT(AJ13,2)="--",RIGHT(AJ13,5),AJ13)</f>
        <v>-0.00</v>
      </c>
      <c r="AM13" s="0" t="n">
        <f aca="false">VALUE(AL13)</f>
        <v>-0</v>
      </c>
      <c r="AN13" s="0" t="n">
        <f aca="false">IF(ISERROR(AM13),0,AM13)</f>
        <v>-0</v>
      </c>
    </row>
    <row r="14" customFormat="false" ht="15.75" hidden="false" customHeight="false" outlineLevel="0" collapsed="false">
      <c r="A14" s="947" t="n">
        <v>37226</v>
      </c>
      <c r="B14" s="0" t="n">
        <v>27.6</v>
      </c>
      <c r="E14" s="940"/>
      <c r="F14" s="941"/>
      <c r="G14" s="940"/>
      <c r="H14" s="940"/>
      <c r="I14" s="942"/>
      <c r="K14" s="0" t="n">
        <f aca="false">E14</f>
        <v>0</v>
      </c>
      <c r="L14" s="915" t="n">
        <f aca="false">IF(ISERROR(G14/1000),0,G14/1000)</f>
        <v>0</v>
      </c>
      <c r="M14" s="915" t="n">
        <f aca="false">IF(ISERROR(H14/1000),0,H14/1000)</f>
        <v>0</v>
      </c>
      <c r="O14" s="897" t="n">
        <f aca="false">FuturesPosn!E17</f>
        <v>0</v>
      </c>
      <c r="P14" s="898" t="n">
        <f aca="false">FuturesPosn!F17</f>
        <v>0</v>
      </c>
      <c r="S14" s="947" t="n">
        <v>37226</v>
      </c>
      <c r="T14" s="0" t="n">
        <v>3.06</v>
      </c>
      <c r="U14" s="0" t="n">
        <v>0.5975</v>
      </c>
      <c r="X14" s="0" t="n">
        <f aca="false">AB14-T14</f>
        <v>-3.06</v>
      </c>
      <c r="Y14" s="0" t="n">
        <f aca="false">AC14-U14</f>
        <v>-0.5975</v>
      </c>
      <c r="AH14" s="0" t="str">
        <v>DEC1</v>
      </c>
      <c r="AI14" s="0" t="str">
        <v> _x001b_)1Þ3.050</v>
      </c>
      <c r="AJ14" s="0" t="str">
        <v>--0.01</v>
      </c>
      <c r="AL14" s="0" t="str">
        <f aca="false">IF(LEFT(AJ14,2)="--",RIGHT(AJ14,5),AJ14)</f>
        <v>-0.01</v>
      </c>
      <c r="AM14" s="0" t="n">
        <f aca="false">VALUE(AL14)</f>
        <v>-0.01</v>
      </c>
      <c r="AN14" s="0" t="n">
        <f aca="false">IF(ISERROR(AM14),0,AM14)</f>
        <v>-0.01</v>
      </c>
    </row>
    <row r="15" customFormat="false" ht="15.75" hidden="false" customHeight="false" outlineLevel="0" collapsed="false">
      <c r="A15" s="947" t="n">
        <v>37257</v>
      </c>
      <c r="B15" s="0" t="n">
        <v>29.5</v>
      </c>
      <c r="E15" s="940"/>
      <c r="F15" s="941"/>
      <c r="G15" s="940"/>
      <c r="H15" s="940"/>
      <c r="I15" s="942"/>
      <c r="K15" s="0" t="n">
        <f aca="false">E15</f>
        <v>0</v>
      </c>
      <c r="L15" s="915" t="n">
        <f aca="false">IF(ISERROR(G15/1000),0,G15/1000)</f>
        <v>0</v>
      </c>
      <c r="M15" s="915" t="n">
        <f aca="false">IF(ISERROR(H15/1000),0,H15/1000)</f>
        <v>0</v>
      </c>
      <c r="O15" s="897" t="n">
        <f aca="false">FuturesPosn!E18</f>
        <v>0</v>
      </c>
      <c r="P15" s="898" t="n">
        <f aca="false">FuturesPosn!F18</f>
        <v>0</v>
      </c>
      <c r="S15" s="947" t="n">
        <v>37257</v>
      </c>
      <c r="T15" s="0" t="n">
        <v>3.205</v>
      </c>
      <c r="U15" s="0" t="n">
        <v>0.59</v>
      </c>
      <c r="X15" s="0" t="n">
        <f aca="false">AB15-T15</f>
        <v>-3.205</v>
      </c>
      <c r="Y15" s="0" t="n">
        <f aca="false">AC15-U15</f>
        <v>-0.59</v>
      </c>
      <c r="AH15" s="0" t="str">
        <v>JAN2</v>
      </c>
      <c r="AI15" s="0" t="str">
        <v> _x001b_)1þ3.200</v>
      </c>
      <c r="AJ15" s="0" t="str">
        <v>--0.00</v>
      </c>
      <c r="AL15" s="0" t="str">
        <f aca="false">IF(LEFT(AJ15,2)="--",RIGHT(AJ15,5),AJ15)</f>
        <v>-0.00</v>
      </c>
      <c r="AM15" s="0" t="n">
        <f aca="false">VALUE(AL15)</f>
        <v>-0</v>
      </c>
      <c r="AN15" s="0" t="n">
        <f aca="false">IF(ISERROR(AM15),0,AM15)</f>
        <v>-0</v>
      </c>
    </row>
    <row r="16" customFormat="false" ht="15.75" hidden="false" customHeight="false" outlineLevel="0" collapsed="false">
      <c r="A16" s="947" t="n">
        <v>37288</v>
      </c>
      <c r="B16" s="0" t="n">
        <v>29.5</v>
      </c>
      <c r="E16" s="940"/>
      <c r="F16" s="941"/>
      <c r="G16" s="940"/>
      <c r="H16" s="940"/>
      <c r="I16" s="942"/>
      <c r="K16" s="0" t="n">
        <f aca="false">E16</f>
        <v>0</v>
      </c>
      <c r="L16" s="915" t="n">
        <f aca="false">IF(ISERROR(G16/1000),0,G16/1000)</f>
        <v>0</v>
      </c>
      <c r="M16" s="915" t="n">
        <f aca="false">IF(ISERROR(H16/1000),0,H16/1000)</f>
        <v>0</v>
      </c>
      <c r="O16" s="897" t="n">
        <f aca="false">FuturesPosn!E19</f>
        <v>0</v>
      </c>
      <c r="P16" s="898" t="n">
        <f aca="false">FuturesPosn!F19</f>
        <v>0</v>
      </c>
      <c r="S16" s="947" t="n">
        <v>37288</v>
      </c>
      <c r="T16" s="0" t="n">
        <v>3.177</v>
      </c>
      <c r="U16" s="0" t="n">
        <v>0.57</v>
      </c>
      <c r="X16" s="0" t="n">
        <f aca="false">AB16-T16</f>
        <v>-3.177</v>
      </c>
      <c r="Y16" s="0" t="n">
        <f aca="false">AC16-U16</f>
        <v>-0.57</v>
      </c>
      <c r="AH16" s="0" t="str">
        <v>FEB2</v>
      </c>
      <c r="AI16" s="0" t="str">
        <v> A3.175</v>
      </c>
      <c r="AJ16" s="0" t="str">
        <v>--0.00</v>
      </c>
      <c r="AL16" s="0" t="str">
        <f aca="false">IF(LEFT(AJ16,2)="--",RIGHT(AJ16,5),AJ16)</f>
        <v>-0.00</v>
      </c>
      <c r="AM16" s="0" t="n">
        <f aca="false">VALUE(AL16)</f>
        <v>-0</v>
      </c>
      <c r="AN16" s="0" t="n">
        <f aca="false">IF(ISERROR(AM16),0,AM16)</f>
        <v>-0</v>
      </c>
    </row>
    <row r="17" customFormat="false" ht="15.75" hidden="false" customHeight="false" outlineLevel="0" collapsed="false">
      <c r="A17" s="947" t="n">
        <v>37316</v>
      </c>
      <c r="B17" s="0" t="n">
        <v>28</v>
      </c>
      <c r="E17" s="940"/>
      <c r="F17" s="941"/>
      <c r="G17" s="940"/>
      <c r="H17" s="940"/>
      <c r="I17" s="942"/>
      <c r="K17" s="0" t="n">
        <f aca="false">E17</f>
        <v>0</v>
      </c>
      <c r="L17" s="915" t="n">
        <f aca="false">IF(ISERROR(G17/1000),0,G17/1000)</f>
        <v>0</v>
      </c>
      <c r="M17" s="915" t="n">
        <f aca="false">IF(ISERROR(H17/1000),0,H17/1000)</f>
        <v>0</v>
      </c>
      <c r="O17" s="897" t="n">
        <f aca="false">FuturesPosn!E20</f>
        <v>0</v>
      </c>
      <c r="P17" s="898" t="n">
        <f aca="false">FuturesPosn!F20</f>
        <v>0</v>
      </c>
      <c r="S17" s="947" t="n">
        <v>37316</v>
      </c>
      <c r="T17" s="0" t="n">
        <v>3.105</v>
      </c>
      <c r="U17" s="0" t="n">
        <v>0.5125</v>
      </c>
      <c r="X17" s="0" t="n">
        <f aca="false">AB17-T17</f>
        <v>-3.105</v>
      </c>
      <c r="Y17" s="0" t="n">
        <f aca="false">AC17-U17</f>
        <v>-0.5125</v>
      </c>
      <c r="AH17" s="0" t="str">
        <v>MAR2</v>
      </c>
      <c r="AI17" s="0" t="str">
        <v> _x001b_)1Þ3.105</v>
      </c>
      <c r="AJ17" s="0" t="str">
        <v>      </v>
      </c>
      <c r="AL17" s="0" t="str">
        <f aca="false">IF(LEFT(AJ17,2)="--",RIGHT(AJ17,5),AJ17)</f>
        <v>      </v>
      </c>
      <c r="AM17" s="0" t="e">
        <f aca="false">VALUE(AL17)</f>
        <v>#VALUE!</v>
      </c>
      <c r="AN17" s="0" t="n">
        <f aca="false">IF(ISERROR(AM17),0,AM17)</f>
        <v>0</v>
      </c>
    </row>
    <row r="18" customFormat="false" ht="15.75" hidden="false" customHeight="false" outlineLevel="0" collapsed="false">
      <c r="A18" s="947" t="n">
        <v>37347</v>
      </c>
      <c r="B18" s="0" t="n">
        <v>28</v>
      </c>
      <c r="E18" s="940"/>
      <c r="F18" s="941"/>
      <c r="G18" s="940"/>
      <c r="H18" s="940"/>
      <c r="I18" s="942"/>
      <c r="K18" s="0" t="n">
        <f aca="false">E18</f>
        <v>0</v>
      </c>
      <c r="L18" s="915" t="n">
        <f aca="false">IF(ISERROR(G18/1000),0,G18/1000)</f>
        <v>0</v>
      </c>
      <c r="M18" s="915" t="n">
        <f aca="false">IF(ISERROR(H18/1000),0,H18/1000)</f>
        <v>0</v>
      </c>
      <c r="O18" s="897" t="n">
        <f aca="false">FuturesPosn!E21</f>
        <v>0</v>
      </c>
      <c r="P18" s="898" t="n">
        <f aca="false">FuturesPosn!F21</f>
        <v>0</v>
      </c>
      <c r="S18" s="947" t="n">
        <v>37347</v>
      </c>
      <c r="T18" s="0" t="n">
        <v>3.012</v>
      </c>
      <c r="U18" s="0" t="n">
        <v>0.4725</v>
      </c>
      <c r="X18" s="0" t="n">
        <f aca="false">AB18-T18</f>
        <v>-3.012</v>
      </c>
      <c r="Y18" s="0" t="n">
        <f aca="false">AC18-U18</f>
        <v>-0.4725</v>
      </c>
      <c r="AH18" s="0" t="str">
        <v>APR2</v>
      </c>
      <c r="AI18" s="0" t="str">
        <v> B3.000</v>
      </c>
      <c r="AJ18" s="0" t="str">
        <v>--0.01</v>
      </c>
      <c r="AL18" s="0" t="str">
        <f aca="false">IF(LEFT(AJ18,2)="--",RIGHT(AJ18,5),AJ18)</f>
        <v>-0.01</v>
      </c>
      <c r="AM18" s="0" t="n">
        <f aca="false">VALUE(AL18)</f>
        <v>-0.01</v>
      </c>
      <c r="AN18" s="0" t="n">
        <f aca="false">IF(ISERROR(AM18),0,AM18)</f>
        <v>-0.01</v>
      </c>
    </row>
    <row r="19" customFormat="false" ht="15.75" hidden="false" customHeight="false" outlineLevel="0" collapsed="false">
      <c r="A19" s="947" t="n">
        <v>37377</v>
      </c>
      <c r="B19" s="0" t="n">
        <v>31.25</v>
      </c>
      <c r="E19" s="940"/>
      <c r="F19" s="941"/>
      <c r="G19" s="940"/>
      <c r="H19" s="940"/>
      <c r="I19" s="942"/>
      <c r="K19" s="0" t="n">
        <f aca="false">E19</f>
        <v>0</v>
      </c>
      <c r="L19" s="915" t="n">
        <f aca="false">IF(ISERROR(G19/1000),0,G19/1000)</f>
        <v>0</v>
      </c>
      <c r="M19" s="915" t="n">
        <f aca="false">IF(ISERROR(H19/1000),0,H19/1000)</f>
        <v>0</v>
      </c>
      <c r="O19" s="897" t="n">
        <f aca="false">FuturesPosn!E22</f>
        <v>0</v>
      </c>
      <c r="P19" s="898" t="n">
        <f aca="false">FuturesPosn!F22</f>
        <v>0</v>
      </c>
      <c r="S19" s="947" t="n">
        <v>37377</v>
      </c>
      <c r="T19" s="0" t="n">
        <v>3.035</v>
      </c>
      <c r="U19" s="0" t="n">
        <v>0.4425</v>
      </c>
      <c r="X19" s="0" t="n">
        <f aca="false">AB19-T19</f>
        <v>-3.035</v>
      </c>
      <c r="Y19" s="0" t="n">
        <f aca="false">AC19-U19</f>
        <v>-0.4425</v>
      </c>
      <c r="AH19" s="0" t="str">
        <v>MAY2</v>
      </c>
      <c r="AI19" s="0" t="str">
        <v> _x001b_)1þ3.020</v>
      </c>
      <c r="AJ19" s="0" t="str">
        <v>--0.01</v>
      </c>
      <c r="AL19" s="0" t="str">
        <f aca="false">IF(LEFT(AJ19,2)="--",RIGHT(AJ19,5),AJ19)</f>
        <v>-0.01</v>
      </c>
      <c r="AM19" s="0" t="n">
        <f aca="false">VALUE(AL19)</f>
        <v>-0.01</v>
      </c>
      <c r="AN19" s="0" t="n">
        <f aca="false">IF(ISERROR(AM19),0,AM19)</f>
        <v>-0.01</v>
      </c>
    </row>
    <row r="20" customFormat="false" ht="12.75" hidden="false" customHeight="false" outlineLevel="0" collapsed="false">
      <c r="A20" s="947" t="n">
        <v>37408</v>
      </c>
      <c r="B20" s="0" t="n">
        <v>41.25</v>
      </c>
      <c r="E20" s="940"/>
      <c r="G20" s="940"/>
      <c r="H20" s="940"/>
      <c r="K20" s="0" t="n">
        <f aca="false">E20</f>
        <v>0</v>
      </c>
      <c r="L20" s="915" t="n">
        <f aca="false">IF(ISERROR(G20/1000),0,G20/1000)</f>
        <v>0</v>
      </c>
      <c r="M20" s="915" t="n">
        <f aca="false">IF(ISERROR(H20/1000),0,H20/1000)</f>
        <v>0</v>
      </c>
      <c r="O20" s="897" t="n">
        <f aca="false">FuturesPosn!E23</f>
        <v>0</v>
      </c>
      <c r="P20" s="898" t="n">
        <f aca="false">FuturesPosn!F23</f>
        <v>0</v>
      </c>
      <c r="S20" s="947" t="n">
        <v>37408</v>
      </c>
      <c r="T20" s="0" t="n">
        <v>3.07</v>
      </c>
      <c r="U20" s="0" t="n">
        <v>0.4175</v>
      </c>
      <c r="X20" s="0" t="n">
        <f aca="false">AB20-T20</f>
        <v>-3.07</v>
      </c>
      <c r="Y20" s="0" t="n">
        <f aca="false">AC20-U20</f>
        <v>-0.4175</v>
      </c>
      <c r="AH20" s="0" t="str">
        <v>JUN2</v>
      </c>
      <c r="AI20" s="0" t="str">
        <v> _x001b_)1þ3.060</v>
      </c>
      <c r="AJ20" s="0" t="str">
        <v>--0.01</v>
      </c>
      <c r="AL20" s="0" t="str">
        <f aca="false">IF(LEFT(AJ20,2)="--",RIGHT(AJ20,5),AJ20)</f>
        <v>-0.01</v>
      </c>
      <c r="AM20" s="0" t="n">
        <f aca="false">VALUE(AL20)</f>
        <v>-0.01</v>
      </c>
      <c r="AN20" s="0" t="n">
        <f aca="false">IF(ISERROR(AM20),0,AM20)</f>
        <v>-0.01</v>
      </c>
    </row>
    <row r="21" customFormat="false" ht="12.75" hidden="false" customHeight="false" outlineLevel="0" collapsed="false">
      <c r="A21" s="947" t="n">
        <v>37438</v>
      </c>
      <c r="B21" s="0" t="n">
        <v>54.75</v>
      </c>
      <c r="E21" s="940"/>
      <c r="G21" s="940"/>
      <c r="H21" s="940"/>
      <c r="K21" s="0" t="n">
        <f aca="false">E21</f>
        <v>0</v>
      </c>
      <c r="L21" s="915" t="n">
        <f aca="false">IF(ISERROR(G21/1000),0,G21/1000)</f>
        <v>0</v>
      </c>
      <c r="M21" s="915" t="n">
        <f aca="false">IF(ISERROR(H21/1000),0,H21/1000)</f>
        <v>0</v>
      </c>
      <c r="O21" s="897" t="n">
        <f aca="false">FuturesPosn!E24</f>
        <v>0</v>
      </c>
      <c r="P21" s="898" t="n">
        <f aca="false">FuturesPosn!F24</f>
        <v>0</v>
      </c>
      <c r="S21" s="947" t="n">
        <v>37438</v>
      </c>
      <c r="T21" s="0" t="n">
        <v>3.112</v>
      </c>
      <c r="U21" s="0" t="n">
        <v>0.415</v>
      </c>
      <c r="X21" s="0" t="n">
        <f aca="false">AB21-T21</f>
        <v>-3.112</v>
      </c>
      <c r="Y21" s="0" t="n">
        <f aca="false">AC21-U21</f>
        <v>-0.415</v>
      </c>
      <c r="AH21" s="0" t="str">
        <v>JUL2</v>
      </c>
      <c r="AI21" s="0" t="str">
        <v> B3.090</v>
      </c>
      <c r="AJ21" s="0" t="str">
        <v>+0.023</v>
      </c>
      <c r="AL21" s="0" t="str">
        <f aca="false">IF(LEFT(AJ21,2)="--",RIGHT(AJ21,5),AJ21)</f>
        <v>+0.023</v>
      </c>
      <c r="AM21" s="0" t="n">
        <f aca="false">VALUE(AL21)</f>
        <v>0.023</v>
      </c>
      <c r="AN21" s="0" t="n">
        <f aca="false">IF(ISERROR(AM21),0,AM21)</f>
        <v>0.023</v>
      </c>
    </row>
    <row r="22" customFormat="false" ht="12.75" hidden="false" customHeight="false" outlineLevel="0" collapsed="false">
      <c r="A22" s="947" t="n">
        <v>37469</v>
      </c>
      <c r="B22" s="0" t="n">
        <v>54.75</v>
      </c>
      <c r="E22" s="940"/>
      <c r="G22" s="940"/>
      <c r="H22" s="940"/>
      <c r="K22" s="0" t="n">
        <f aca="false">E22</f>
        <v>0</v>
      </c>
      <c r="L22" s="915" t="n">
        <f aca="false">IF(ISERROR(G22/1000),0,G22/1000)</f>
        <v>0</v>
      </c>
      <c r="M22" s="915" t="n">
        <f aca="false">IF(ISERROR(H22/1000),0,H22/1000)</f>
        <v>0</v>
      </c>
      <c r="O22" s="897" t="n">
        <f aca="false">FuturesPosn!E25</f>
        <v>0</v>
      </c>
      <c r="P22" s="898" t="n">
        <f aca="false">FuturesPosn!F25</f>
        <v>0</v>
      </c>
      <c r="S22" s="947" t="n">
        <v>37469</v>
      </c>
      <c r="T22" s="0" t="n">
        <v>3.147</v>
      </c>
      <c r="U22" s="0" t="n">
        <v>0.415</v>
      </c>
      <c r="X22" s="0" t="n">
        <f aca="false">AB22-T22</f>
        <v>-3.147</v>
      </c>
      <c r="Y22" s="0" t="n">
        <f aca="false">AC22-U22</f>
        <v>-0.415</v>
      </c>
      <c r="AH22" s="0" t="str">
        <v>AUG2</v>
      </c>
      <c r="AI22" s="0" t="str">
        <v> A3.160</v>
      </c>
      <c r="AJ22" s="0" t="str">
        <v>+0.013</v>
      </c>
      <c r="AL22" s="0" t="str">
        <f aca="false">IF(LEFT(AJ22,2)="--",RIGHT(AJ22,5),AJ22)</f>
        <v>+0.013</v>
      </c>
      <c r="AM22" s="0" t="n">
        <f aca="false">VALUE(AL22)</f>
        <v>0.013</v>
      </c>
      <c r="AN22" s="0" t="n">
        <f aca="false">IF(ISERROR(AM22),0,AM22)</f>
        <v>0.013</v>
      </c>
    </row>
    <row r="23" customFormat="false" ht="12.75" hidden="false" customHeight="false" outlineLevel="0" collapsed="false">
      <c r="A23" s="947" t="n">
        <v>37500</v>
      </c>
      <c r="B23" s="0" t="n">
        <v>28</v>
      </c>
      <c r="E23" s="940"/>
      <c r="G23" s="940"/>
      <c r="H23" s="940"/>
      <c r="K23" s="0" t="n">
        <f aca="false">E23</f>
        <v>0</v>
      </c>
      <c r="L23" s="915" t="n">
        <f aca="false">IF(ISERROR(G23/1000),0,G23/1000)</f>
        <v>0</v>
      </c>
      <c r="M23" s="915" t="n">
        <f aca="false">IF(ISERROR(H23/1000),0,H23/1000)</f>
        <v>0</v>
      </c>
      <c r="O23" s="897" t="n">
        <f aca="false">FuturesPosn!E26</f>
        <v>0</v>
      </c>
      <c r="P23" s="898" t="n">
        <f aca="false">FuturesPosn!F26</f>
        <v>0</v>
      </c>
      <c r="S23" s="947" t="n">
        <v>37500</v>
      </c>
      <c r="T23" s="0" t="n">
        <v>3.146</v>
      </c>
      <c r="U23" s="0" t="n">
        <v>0.415</v>
      </c>
      <c r="X23" s="0" t="n">
        <f aca="false">AB23-T23</f>
        <v>-3.146</v>
      </c>
      <c r="Y23" s="0" t="n">
        <f aca="false">AC23-U23</f>
        <v>-0.415</v>
      </c>
      <c r="AH23" s="0" t="str">
        <v>SEP2</v>
      </c>
      <c r="AI23" s="0" t="str">
        <v> _x001b_)1Þ3.150</v>
      </c>
      <c r="AJ23" s="0" t="str">
        <v>+0.004</v>
      </c>
      <c r="AL23" s="0" t="str">
        <f aca="false">IF(LEFT(AJ23,2)="--",RIGHT(AJ23,5),AJ23)</f>
        <v>+0.004</v>
      </c>
      <c r="AM23" s="0" t="n">
        <f aca="false">VALUE(AL23)</f>
        <v>0.004</v>
      </c>
      <c r="AN23" s="0" t="n">
        <f aca="false">IF(ISERROR(AM23),0,AM23)</f>
        <v>0.004</v>
      </c>
    </row>
    <row r="24" customFormat="false" ht="12.75" hidden="false" customHeight="false" outlineLevel="0" collapsed="false">
      <c r="A24" s="947" t="n">
        <v>37530</v>
      </c>
      <c r="B24" s="0" t="n">
        <v>29</v>
      </c>
      <c r="E24" s="940"/>
      <c r="G24" s="940"/>
      <c r="H24" s="940"/>
      <c r="K24" s="0" t="n">
        <f aca="false">E24</f>
        <v>0</v>
      </c>
      <c r="L24" s="915" t="n">
        <f aca="false">IF(ISERROR(G24/1000),0,G24/1000)</f>
        <v>0</v>
      </c>
      <c r="M24" s="915" t="n">
        <f aca="false">IF(ISERROR(H24/1000),0,H24/1000)</f>
        <v>0</v>
      </c>
      <c r="O24" s="897" t="n">
        <f aca="false">FuturesPosn!E27</f>
        <v>0</v>
      </c>
      <c r="P24" s="898" t="n">
        <f aca="false">FuturesPosn!F27</f>
        <v>0</v>
      </c>
      <c r="S24" s="947" t="n">
        <v>37530</v>
      </c>
      <c r="T24" s="0" t="n">
        <v>3.157</v>
      </c>
      <c r="U24" s="0" t="n">
        <v>0.41</v>
      </c>
      <c r="X24" s="0" t="n">
        <f aca="false">AB24-T24</f>
        <v>-3.157</v>
      </c>
      <c r="Y24" s="0" t="n">
        <f aca="false">AC24-U24</f>
        <v>-0.41</v>
      </c>
      <c r="AH24" s="0" t="str">
        <v>OCT2</v>
      </c>
      <c r="AI24" s="0" t="str">
        <v> _x001b_)1þ3.155</v>
      </c>
      <c r="AJ24" s="0" t="str">
        <v>--0.00</v>
      </c>
      <c r="AL24" s="0" t="str">
        <f aca="false">IF(LEFT(AJ24,2)="--",RIGHT(AJ24,5),AJ24)</f>
        <v>-0.00</v>
      </c>
      <c r="AM24" s="0" t="n">
        <f aca="false">VALUE(AL24)</f>
        <v>-0</v>
      </c>
      <c r="AN24" s="0" t="n">
        <f aca="false">IF(ISERROR(AM24),0,AM24)</f>
        <v>-0</v>
      </c>
    </row>
    <row r="25" customFormat="false" ht="12.75" hidden="false" customHeight="false" outlineLevel="0" collapsed="false">
      <c r="A25" s="947" t="n">
        <v>37561</v>
      </c>
      <c r="B25" s="0" t="n">
        <v>29</v>
      </c>
      <c r="E25" s="940"/>
      <c r="G25" s="940"/>
      <c r="H25" s="940"/>
      <c r="K25" s="0" t="n">
        <f aca="false">E25</f>
        <v>0</v>
      </c>
      <c r="L25" s="915" t="n">
        <f aca="false">IF(ISERROR(G25/1000),0,G25/1000)</f>
        <v>0</v>
      </c>
      <c r="M25" s="915" t="n">
        <f aca="false">IF(ISERROR(H25/1000),0,H25/1000)</f>
        <v>0</v>
      </c>
      <c r="O25" s="897" t="n">
        <f aca="false">FuturesPosn!E28</f>
        <v>0</v>
      </c>
      <c r="P25" s="898" t="n">
        <f aca="false">FuturesPosn!F28</f>
        <v>0</v>
      </c>
      <c r="S25" s="947" t="n">
        <v>37561</v>
      </c>
      <c r="T25" s="0" t="n">
        <v>3.317</v>
      </c>
      <c r="U25" s="0" t="n">
        <v>0.415</v>
      </c>
      <c r="X25" s="0" t="n">
        <f aca="false">AB25-T25</f>
        <v>-3.317</v>
      </c>
      <c r="Y25" s="0" t="n">
        <f aca="false">AC25-U25</f>
        <v>-0.415</v>
      </c>
      <c r="AH25" s="0" t="str">
        <v>NOV2</v>
      </c>
      <c r="AI25" s="0" t="str">
        <v>PS3.317</v>
      </c>
      <c r="AJ25" s="0" t="str">
        <v>+0.019</v>
      </c>
      <c r="AL25" s="0" t="str">
        <f aca="false">IF(LEFT(AJ25,2)="--",RIGHT(AJ25,5),AJ25)</f>
        <v>+0.019</v>
      </c>
      <c r="AM25" s="0" t="n">
        <f aca="false">VALUE(AL25)</f>
        <v>0.019</v>
      </c>
      <c r="AN25" s="0" t="n">
        <f aca="false">IF(ISERROR(AM25),0,AM25)</f>
        <v>0.019</v>
      </c>
    </row>
    <row r="26" customFormat="false" ht="12.75" hidden="false" customHeight="false" outlineLevel="0" collapsed="false">
      <c r="A26" s="947" t="n">
        <v>37591</v>
      </c>
      <c r="B26" s="0" t="n">
        <v>29</v>
      </c>
      <c r="E26" s="940"/>
      <c r="G26" s="940"/>
      <c r="H26" s="940"/>
      <c r="K26" s="0" t="n">
        <f aca="false">E26</f>
        <v>0</v>
      </c>
      <c r="L26" s="915" t="n">
        <f aca="false">IF(ISERROR(G26/1000),0,G26/1000)</f>
        <v>0</v>
      </c>
      <c r="M26" s="915" t="n">
        <f aca="false">IF(ISERROR(H26/1000),0,H26/1000)</f>
        <v>0</v>
      </c>
      <c r="O26" s="897" t="n">
        <f aca="false">FuturesPosn!E29</f>
        <v>0</v>
      </c>
      <c r="P26" s="898" t="n">
        <f aca="false">FuturesPosn!F29</f>
        <v>0</v>
      </c>
      <c r="S26" s="947" t="n">
        <v>37591</v>
      </c>
      <c r="T26" s="0" t="n">
        <v>3.478</v>
      </c>
      <c r="U26" s="0" t="n">
        <v>0.415</v>
      </c>
      <c r="X26" s="0" t="n">
        <f aca="false">AB26-T26</f>
        <v>-3.478</v>
      </c>
      <c r="Y26" s="0" t="n">
        <f aca="false">AC26-U26</f>
        <v>-0.415</v>
      </c>
      <c r="AH26" s="0" t="str">
        <f aca="false" t="array" ref="AH26:AH38">DDE("TWINDDE","RSFPage","1#NG: 3 0 4 13")</f>
        <v>DEC2</v>
      </c>
      <c r="AI26" s="0" t="str">
        <f aca="false" t="array" ref="AI26:AI38">DDE("TWINDDE","RSFPage","1#NG: 3 5 7 13")</f>
        <v> B3.420</v>
      </c>
      <c r="AJ26" s="0" t="str">
        <f aca="false" t="array" ref="AJ26:AJ38">DDE("TWINDDE","RSFPage","1#NG: 3 16 7 13")</f>
        <v>+0.010 </v>
      </c>
      <c r="AL26" s="0" t="str">
        <f aca="false">IF(LEFT(AJ26,2)="--",RIGHT(AJ26,5),AJ26)</f>
        <v>+0.010 </v>
      </c>
      <c r="AM26" s="0" t="n">
        <f aca="false">VALUE(AL26)</f>
        <v>0.01</v>
      </c>
      <c r="AN26" s="0" t="n">
        <f aca="false">IF(ISERROR(AM26),0,AM26)</f>
        <v>0.01</v>
      </c>
    </row>
    <row r="27" customFormat="false" ht="12.75" hidden="false" customHeight="false" outlineLevel="0" collapsed="false">
      <c r="A27" s="947" t="n">
        <v>37622</v>
      </c>
      <c r="B27" s="0" t="n">
        <v>30</v>
      </c>
      <c r="E27" s="948"/>
      <c r="G27" s="940"/>
      <c r="H27" s="940"/>
      <c r="K27" s="0" t="n">
        <f aca="false">E27</f>
        <v>0</v>
      </c>
      <c r="L27" s="915" t="n">
        <f aca="false">IF(ISERROR(G27/1000),0,G27/1000)</f>
        <v>0</v>
      </c>
      <c r="M27" s="915" t="n">
        <f aca="false">IF(ISERROR(H27/1000),0,H27/1000)</f>
        <v>0</v>
      </c>
      <c r="O27" s="897" t="n">
        <f aca="false">FuturesPosn!E30</f>
        <v>0</v>
      </c>
      <c r="P27" s="898" t="n">
        <f aca="false">FuturesPosn!F30</f>
        <v>0</v>
      </c>
      <c r="S27" s="947" t="n">
        <v>37622</v>
      </c>
      <c r="T27" s="0" t="n">
        <v>3.555</v>
      </c>
      <c r="U27" s="0" t="n">
        <v>0.415</v>
      </c>
      <c r="X27" s="0" t="n">
        <f aca="false">AB27-T27</f>
        <v>-3.555</v>
      </c>
      <c r="Y27" s="0" t="n">
        <f aca="false">AC27-U27</f>
        <v>-0.415</v>
      </c>
      <c r="AH27" s="0" t="str">
        <v>JAN3</v>
      </c>
      <c r="AI27" s="0" t="str">
        <v>PS3.555</v>
      </c>
      <c r="AJ27" s="0" t="str">
        <v>+0.008 </v>
      </c>
      <c r="AL27" s="0" t="str">
        <f aca="false">IF(LEFT(AJ27,2)="--",RIGHT(AJ27,5),AJ27)</f>
        <v>+0.008 </v>
      </c>
      <c r="AM27" s="0" t="n">
        <f aca="false">VALUE(AL27)</f>
        <v>0.008</v>
      </c>
      <c r="AN27" s="0" t="n">
        <f aca="false">IF(ISERROR(AM27),0,AM27)</f>
        <v>0.008</v>
      </c>
    </row>
    <row r="28" customFormat="false" ht="12.75" hidden="false" customHeight="false" outlineLevel="0" collapsed="false">
      <c r="A28" s="947" t="n">
        <v>37653</v>
      </c>
      <c r="B28" s="0" t="n">
        <v>30</v>
      </c>
      <c r="E28" s="940"/>
      <c r="G28" s="940"/>
      <c r="H28" s="940"/>
      <c r="K28" s="0" t="n">
        <f aca="false">E28</f>
        <v>0</v>
      </c>
      <c r="L28" s="915" t="n">
        <f aca="false">IF(ISERROR(G28/1000),0,G28/1000)</f>
        <v>0</v>
      </c>
      <c r="M28" s="915" t="n">
        <f aca="false">IF(ISERROR(H28/1000),0,H28/1000)</f>
        <v>0</v>
      </c>
      <c r="O28" s="897" t="n">
        <f aca="false">FuturesPosn!E31</f>
        <v>0</v>
      </c>
      <c r="P28" s="898" t="n">
        <f aca="false">FuturesPosn!F31</f>
        <v>0</v>
      </c>
      <c r="S28" s="947" t="n">
        <v>37653</v>
      </c>
      <c r="T28" s="0" t="n">
        <v>3.445</v>
      </c>
      <c r="U28" s="0" t="n">
        <v>0.4025</v>
      </c>
      <c r="X28" s="0" t="n">
        <f aca="false">AB28-T28</f>
        <v>-3.445</v>
      </c>
      <c r="Y28" s="0" t="n">
        <f aca="false">AC28-U28</f>
        <v>-0.4025</v>
      </c>
      <c r="AH28" s="0" t="str">
        <v>FEB3</v>
      </c>
      <c r="AI28" s="0" t="str">
        <v>PS3.445</v>
      </c>
      <c r="AJ28" s="0" t="str">
        <v>+0.013 </v>
      </c>
      <c r="AL28" s="0" t="str">
        <f aca="false">IF(LEFT(AJ28,2)="--",RIGHT(AJ28,5),AJ28)</f>
        <v>+0.013 </v>
      </c>
      <c r="AM28" s="0" t="n">
        <f aca="false">VALUE(AL28)</f>
        <v>0.013</v>
      </c>
      <c r="AN28" s="0" t="n">
        <f aca="false">IF(ISERROR(AM28),0,AM28)</f>
        <v>0.013</v>
      </c>
    </row>
    <row r="29" customFormat="false" ht="12.75" hidden="false" customHeight="false" outlineLevel="0" collapsed="false">
      <c r="A29" s="947" t="n">
        <v>37681</v>
      </c>
      <c r="B29" s="0" t="n">
        <v>28.75</v>
      </c>
      <c r="E29" s="940"/>
      <c r="G29" s="940"/>
      <c r="H29" s="940"/>
      <c r="K29" s="0" t="n">
        <f aca="false">E29</f>
        <v>0</v>
      </c>
      <c r="L29" s="915" t="n">
        <f aca="false">IF(ISERROR(G29/1000),0,G29/1000)</f>
        <v>0</v>
      </c>
      <c r="M29" s="915" t="n">
        <f aca="false">IF(ISERROR(H29/1000),0,H29/1000)</f>
        <v>0</v>
      </c>
      <c r="O29" s="897" t="n">
        <f aca="false">FuturesPosn!E32</f>
        <v>0</v>
      </c>
      <c r="P29" s="898" t="n">
        <f aca="false">FuturesPosn!F32</f>
        <v>0</v>
      </c>
      <c r="S29" s="947" t="n">
        <v>37681</v>
      </c>
      <c r="T29" s="0" t="n">
        <v>3.318</v>
      </c>
      <c r="U29" s="0" t="n">
        <v>0.3875</v>
      </c>
      <c r="X29" s="0" t="n">
        <f aca="false">AB29-T29</f>
        <v>-3.318</v>
      </c>
      <c r="Y29" s="0" t="n">
        <f aca="false">AC29-U29</f>
        <v>-0.3875</v>
      </c>
      <c r="AH29" s="0" t="str">
        <v>MAR3</v>
      </c>
      <c r="AI29" s="0" t="str">
        <v>PS3.318</v>
      </c>
      <c r="AJ29" s="0" t="str">
        <v>+0.005 </v>
      </c>
      <c r="AL29" s="0" t="str">
        <f aca="false">IF(LEFT(AJ29,2)="--",RIGHT(AJ29,5),AJ29)</f>
        <v>+0.005 </v>
      </c>
      <c r="AM29" s="0" t="n">
        <f aca="false">VALUE(AL29)</f>
        <v>0.005</v>
      </c>
      <c r="AN29" s="0" t="n">
        <f aca="false">IF(ISERROR(AM29),0,AM29)</f>
        <v>0.005</v>
      </c>
    </row>
    <row r="30" customFormat="false" ht="12.75" hidden="false" customHeight="false" outlineLevel="0" collapsed="false">
      <c r="A30" s="0"/>
      <c r="E30" s="940"/>
      <c r="G30" s="940"/>
      <c r="H30" s="940"/>
      <c r="K30" s="0" t="n">
        <f aca="false">E30</f>
        <v>0</v>
      </c>
      <c r="L30" s="915" t="n">
        <f aca="false">IF(ISERROR(G30/1000),0,G30/1000)</f>
        <v>0</v>
      </c>
      <c r="M30" s="915" t="n">
        <f aca="false">IF(ISERROR(H30/1000),0,H30/1000)</f>
        <v>0</v>
      </c>
      <c r="O30" s="897" t="n">
        <f aca="false">FuturesPosn!E33</f>
        <v>0</v>
      </c>
      <c r="P30" s="898" t="n">
        <f aca="false">FuturesPosn!F33</f>
        <v>0</v>
      </c>
      <c r="S30" s="947" t="n">
        <v>37712</v>
      </c>
      <c r="T30" s="0" t="n">
        <v>3.138</v>
      </c>
      <c r="U30" s="0" t="n">
        <v>0.3325</v>
      </c>
      <c r="X30" s="0" t="n">
        <f aca="false">AB30-T30</f>
        <v>-3.138</v>
      </c>
      <c r="Y30" s="0" t="n">
        <f aca="false">AC30-U30</f>
        <v>-0.3325</v>
      </c>
      <c r="AH30" s="0" t="str">
        <v>APR3</v>
      </c>
      <c r="AI30" s="0" t="str">
        <v>PS3.138</v>
      </c>
      <c r="AJ30" s="0" t="str">
        <v>+0.005 </v>
      </c>
      <c r="AL30" s="0" t="str">
        <f aca="false">IF(LEFT(AJ30,2)="--",RIGHT(AJ30,5),AJ30)</f>
        <v>+0.005 </v>
      </c>
      <c r="AM30" s="0" t="n">
        <f aca="false">VALUE(AL30)</f>
        <v>0.005</v>
      </c>
      <c r="AN30" s="0" t="n">
        <f aca="false">IF(ISERROR(AM30),0,AM30)</f>
        <v>0.005</v>
      </c>
    </row>
    <row r="31" customFormat="false" ht="12.75" hidden="false" customHeight="false" outlineLevel="0" collapsed="false">
      <c r="A31" s="0"/>
      <c r="E31" s="940"/>
      <c r="G31" s="940"/>
      <c r="H31" s="940"/>
      <c r="K31" s="0" t="n">
        <f aca="false">E31</f>
        <v>0</v>
      </c>
      <c r="L31" s="915" t="n">
        <f aca="false">IF(ISERROR(G31/1000),0,G31/1000)</f>
        <v>0</v>
      </c>
      <c r="M31" s="915" t="n">
        <f aca="false">IF(ISERROR(H31/1000),0,H31/1000)</f>
        <v>0</v>
      </c>
      <c r="O31" s="897" t="n">
        <f aca="false">FuturesPosn!E34</f>
        <v>0</v>
      </c>
      <c r="P31" s="898" t="n">
        <f aca="false">FuturesPosn!F34</f>
        <v>0</v>
      </c>
      <c r="S31" s="947" t="n">
        <v>37742</v>
      </c>
      <c r="T31" s="0" t="n">
        <v>3.143</v>
      </c>
      <c r="U31" s="0" t="n">
        <v>0.325</v>
      </c>
      <c r="X31" s="0" t="n">
        <f aca="false">AB31-T31</f>
        <v>-3.143</v>
      </c>
      <c r="Y31" s="0" t="n">
        <f aca="false">AC31-U31</f>
        <v>-0.325</v>
      </c>
      <c r="AH31" s="0" t="str">
        <v>MAY3</v>
      </c>
      <c r="AI31" s="0" t="str">
        <v>PS3.143</v>
      </c>
      <c r="AJ31" s="0" t="str">
        <v>+0.005 </v>
      </c>
      <c r="AL31" s="0" t="str">
        <f aca="false">IF(LEFT(AJ31,2)="--",RIGHT(AJ31,5),AJ31)</f>
        <v>+0.005 </v>
      </c>
      <c r="AM31" s="0" t="n">
        <f aca="false">VALUE(AL31)</f>
        <v>0.005</v>
      </c>
      <c r="AN31" s="0" t="n">
        <f aca="false">IF(ISERROR(AM31),0,AM31)</f>
        <v>0.005</v>
      </c>
    </row>
    <row r="32" customFormat="false" ht="12.75" hidden="false" customHeight="false" outlineLevel="0" collapsed="false">
      <c r="A32" s="0"/>
      <c r="E32" s="940"/>
      <c r="G32" s="940"/>
      <c r="H32" s="949"/>
      <c r="K32" s="0" t="n">
        <f aca="false">E32</f>
        <v>0</v>
      </c>
      <c r="L32" s="915" t="n">
        <f aca="false">IF(ISERROR(G32/1000),0,G32/1000)</f>
        <v>0</v>
      </c>
      <c r="M32" s="915" t="n">
        <f aca="false">IF(ISERROR(H32/1000),0,H32/1000)</f>
        <v>0</v>
      </c>
      <c r="O32" s="897" t="n">
        <f aca="false">FuturesPosn!E35</f>
        <v>0</v>
      </c>
      <c r="P32" s="898" t="n">
        <f aca="false">FuturesPosn!F35</f>
        <v>0</v>
      </c>
      <c r="S32" s="947" t="n">
        <v>37773</v>
      </c>
      <c r="T32" s="0" t="n">
        <v>3.171</v>
      </c>
      <c r="U32" s="0" t="n">
        <v>0.3175</v>
      </c>
      <c r="X32" s="0" t="n">
        <f aca="false">AB32-T32</f>
        <v>-3.171</v>
      </c>
      <c r="Y32" s="0" t="n">
        <f aca="false">AC32-U32</f>
        <v>-0.3175</v>
      </c>
      <c r="AH32" s="0" t="str">
        <v>JUN3</v>
      </c>
      <c r="AI32" s="0" t="str">
        <v>PS3.171</v>
      </c>
      <c r="AJ32" s="0" t="str">
        <v>+0.005 </v>
      </c>
      <c r="AL32" s="0" t="str">
        <f aca="false">IF(LEFT(AJ32,2)="--",RIGHT(AJ32,5),AJ32)</f>
        <v>+0.005 </v>
      </c>
      <c r="AM32" s="0" t="n">
        <f aca="false">VALUE(AL32)</f>
        <v>0.005</v>
      </c>
      <c r="AN32" s="0" t="n">
        <f aca="false">IF(ISERROR(AM32),0,AM32)</f>
        <v>0.005</v>
      </c>
    </row>
    <row r="33" customFormat="false" ht="12.75" hidden="false" customHeight="false" outlineLevel="0" collapsed="false">
      <c r="A33" s="0"/>
      <c r="E33" s="940"/>
      <c r="G33" s="940"/>
      <c r="H33" s="950"/>
      <c r="K33" s="0" t="n">
        <f aca="false">E33</f>
        <v>0</v>
      </c>
      <c r="L33" s="915" t="n">
        <f aca="false">IF(ISERROR(G33/1000),0,G33/1000)</f>
        <v>0</v>
      </c>
      <c r="M33" s="915" t="n">
        <f aca="false">IF(ISERROR(H33/1000),0,H33/1000)</f>
        <v>0</v>
      </c>
      <c r="O33" s="897" t="n">
        <f aca="false">FuturesPosn!E36</f>
        <v>0</v>
      </c>
      <c r="P33" s="898" t="n">
        <f aca="false">FuturesPosn!F36</f>
        <v>0</v>
      </c>
      <c r="S33" s="947" t="n">
        <v>37803</v>
      </c>
      <c r="T33" s="0" t="n">
        <v>3.196</v>
      </c>
      <c r="U33" s="0" t="n">
        <v>0.3175</v>
      </c>
      <c r="X33" s="0" t="n">
        <f aca="false">AB33-T33</f>
        <v>-3.196</v>
      </c>
      <c r="Y33" s="0" t="n">
        <f aca="false">AC33-U33</f>
        <v>-0.3175</v>
      </c>
      <c r="AH33" s="0" t="str">
        <v>JUL3</v>
      </c>
      <c r="AI33" s="0" t="str">
        <v>PS3.196</v>
      </c>
      <c r="AJ33" s="0" t="str">
        <v>+0.002 </v>
      </c>
      <c r="AL33" s="0" t="str">
        <f aca="false">IF(LEFT(AJ33,2)="--",RIGHT(AJ33,5),AJ33)</f>
        <v>+0.002 </v>
      </c>
      <c r="AM33" s="0" t="n">
        <f aca="false">VALUE(AL33)</f>
        <v>0.002</v>
      </c>
      <c r="AN33" s="0" t="n">
        <f aca="false">IF(ISERROR(AM33),0,AM33)</f>
        <v>0.002</v>
      </c>
    </row>
    <row r="34" customFormat="false" ht="12.75" hidden="false" customHeight="false" outlineLevel="0" collapsed="false">
      <c r="A34" s="0"/>
      <c r="E34" s="940"/>
      <c r="G34" s="940"/>
      <c r="H34" s="951"/>
      <c r="K34" s="0" t="n">
        <f aca="false">E34</f>
        <v>0</v>
      </c>
      <c r="L34" s="915" t="n">
        <f aca="false">IF(ISERROR(G34/1000),0,G34/1000)</f>
        <v>0</v>
      </c>
      <c r="M34" s="915" t="n">
        <f aca="false">IF(ISERROR(H34/1000),0,H34/1000)</f>
        <v>0</v>
      </c>
      <c r="O34" s="897" t="n">
        <f aca="false">FuturesPosn!E37</f>
        <v>0</v>
      </c>
      <c r="P34" s="898" t="n">
        <f aca="false">FuturesPosn!F37</f>
        <v>0</v>
      </c>
      <c r="S34" s="947" t="n">
        <v>37834</v>
      </c>
      <c r="T34" s="0" t="n">
        <v>3.216</v>
      </c>
      <c r="U34" s="0" t="n">
        <v>0.3175</v>
      </c>
      <c r="X34" s="0" t="n">
        <f aca="false">AB34-T34</f>
        <v>-3.216</v>
      </c>
      <c r="Y34" s="0" t="n">
        <f aca="false">AC34-U34</f>
        <v>-0.3175</v>
      </c>
      <c r="AH34" s="0" t="str">
        <v>AUG3</v>
      </c>
      <c r="AI34" s="0" t="str">
        <v>PS3.216</v>
      </c>
      <c r="AJ34" s="0" t="str">
        <v>+0.002 </v>
      </c>
      <c r="AL34" s="0" t="str">
        <f aca="false">IF(LEFT(AJ34,2)="--",RIGHT(AJ34,5),AJ34)</f>
        <v>+0.002 </v>
      </c>
      <c r="AM34" s="0" t="n">
        <f aca="false">VALUE(AL34)</f>
        <v>0.002</v>
      </c>
      <c r="AN34" s="0" t="n">
        <f aca="false">IF(ISERROR(AM34),0,AM34)</f>
        <v>0.002</v>
      </c>
    </row>
    <row r="35" customFormat="false" ht="12.75" hidden="false" customHeight="false" outlineLevel="0" collapsed="false">
      <c r="A35" s="0"/>
      <c r="E35" s="940"/>
      <c r="G35" s="940"/>
      <c r="H35" s="940"/>
      <c r="K35" s="0" t="n">
        <f aca="false">E35</f>
        <v>0</v>
      </c>
      <c r="L35" s="915" t="n">
        <f aca="false">IF(ISERROR(G35/1000),0,G35/1000)</f>
        <v>0</v>
      </c>
      <c r="M35" s="915" t="n">
        <f aca="false">IF(ISERROR(H35/1000),0,H35/1000)</f>
        <v>0</v>
      </c>
      <c r="O35" s="897" t="n">
        <f aca="false">FuturesPosn!E38</f>
        <v>0</v>
      </c>
      <c r="P35" s="898" t="n">
        <f aca="false">FuturesPosn!F38</f>
        <v>0</v>
      </c>
      <c r="S35" s="947" t="n">
        <v>37865</v>
      </c>
      <c r="T35" s="0" t="n">
        <v>3.216</v>
      </c>
      <c r="U35" s="0" t="n">
        <v>0.3176</v>
      </c>
      <c r="X35" s="0" t="n">
        <f aca="false">AB35-T35</f>
        <v>-3.216</v>
      </c>
      <c r="Y35" s="0" t="n">
        <f aca="false">AC35-U35</f>
        <v>-0.3176</v>
      </c>
      <c r="AH35" s="0" t="str">
        <v>SEP3</v>
      </c>
      <c r="AI35" s="0" t="str">
        <v>PS3.216</v>
      </c>
      <c r="AJ35" s="0" t="str">
        <v>+0.001 </v>
      </c>
      <c r="AL35" s="0" t="str">
        <f aca="false">IF(LEFT(AJ35,2)="--",RIGHT(AJ35,5),AJ35)</f>
        <v>+0.001 </v>
      </c>
      <c r="AM35" s="0" t="n">
        <f aca="false">VALUE(AL35)</f>
        <v>0.001</v>
      </c>
      <c r="AN35" s="0" t="n">
        <f aca="false">IF(ISERROR(AM35),0,AM35)</f>
        <v>0.001</v>
      </c>
    </row>
    <row r="36" customFormat="false" ht="12.75" hidden="false" customHeight="false" outlineLevel="0" collapsed="false">
      <c r="A36" s="0"/>
      <c r="E36" s="940"/>
      <c r="G36" s="940"/>
      <c r="H36" s="940"/>
      <c r="K36" s="0" t="n">
        <f aca="false">E36</f>
        <v>0</v>
      </c>
      <c r="L36" s="915" t="n">
        <f aca="false">IF(ISERROR(G36/1000),0,G36/1000)</f>
        <v>0</v>
      </c>
      <c r="M36" s="915" t="n">
        <f aca="false">IF(ISERROR(H36/1000),0,H36/1000)</f>
        <v>0</v>
      </c>
      <c r="O36" s="897" t="n">
        <f aca="false">FuturesPosn!E39</f>
        <v>0</v>
      </c>
      <c r="P36" s="898" t="n">
        <f aca="false">FuturesPosn!F39</f>
        <v>0</v>
      </c>
      <c r="S36" s="947" t="n">
        <v>37895</v>
      </c>
      <c r="T36" s="0" t="n">
        <v>3.221</v>
      </c>
      <c r="U36" s="0" t="n">
        <v>0.3175</v>
      </c>
      <c r="X36" s="0" t="n">
        <f aca="false">AB36-T36</f>
        <v>-3.221</v>
      </c>
      <c r="Y36" s="0" t="n">
        <f aca="false">AC36-U36</f>
        <v>-0.3175</v>
      </c>
      <c r="AH36" s="0" t="str">
        <v>OCT3</v>
      </c>
      <c r="AI36" s="0" t="str">
        <v>PS3.221</v>
      </c>
      <c r="AJ36" s="0" t="str">
        <v>+0.001 </v>
      </c>
      <c r="AL36" s="0" t="str">
        <f aca="false">IF(LEFT(AJ36,2)="--",RIGHT(AJ36,5),AJ36)</f>
        <v>+0.001 </v>
      </c>
      <c r="AM36" s="0" t="n">
        <f aca="false">VALUE(AL36)</f>
        <v>0.001</v>
      </c>
      <c r="AN36" s="0" t="n">
        <f aca="false">IF(ISERROR(AM36),0,AM36)</f>
        <v>0.001</v>
      </c>
    </row>
    <row r="37" customFormat="false" ht="12.75" hidden="false" customHeight="false" outlineLevel="0" collapsed="false">
      <c r="A37" s="0"/>
      <c r="E37" s="940"/>
      <c r="G37" s="940"/>
      <c r="H37" s="940"/>
      <c r="K37" s="0" t="n">
        <f aca="false">E37</f>
        <v>0</v>
      </c>
      <c r="L37" s="915" t="n">
        <f aca="false">IF(ISERROR(G37/1000),0,G37/1000)</f>
        <v>0</v>
      </c>
      <c r="M37" s="915" t="n">
        <f aca="false">IF(ISERROR(H37/1000),0,H37/1000)</f>
        <v>0</v>
      </c>
      <c r="O37" s="897" t="n">
        <f aca="false">FuturesPosn!E40</f>
        <v>0</v>
      </c>
      <c r="P37" s="898" t="n">
        <f aca="false">FuturesPosn!F40</f>
        <v>0</v>
      </c>
      <c r="S37" s="947" t="n">
        <v>37926</v>
      </c>
      <c r="T37" s="0" t="n">
        <v>3.371</v>
      </c>
      <c r="U37" s="0" t="n">
        <v>0.32</v>
      </c>
      <c r="X37" s="0" t="n">
        <f aca="false">AB37-T37</f>
        <v>-3.371</v>
      </c>
      <c r="Y37" s="0" t="n">
        <f aca="false">AC37-U37</f>
        <v>-0.32</v>
      </c>
      <c r="AH37" s="0" t="str">
        <v>NOV3</v>
      </c>
      <c r="AI37" s="0" t="str">
        <v>PS3.371</v>
      </c>
      <c r="AJ37" s="0" t="str">
        <v>+0.001 </v>
      </c>
      <c r="AL37" s="0" t="str">
        <f aca="false">IF(LEFT(AJ37,2)="--",RIGHT(AJ37,5),AJ37)</f>
        <v>+0.001 </v>
      </c>
      <c r="AM37" s="0" t="n">
        <f aca="false">VALUE(AL37)</f>
        <v>0.001</v>
      </c>
      <c r="AN37" s="0" t="n">
        <f aca="false">IF(ISERROR(AM37),0,AM37)</f>
        <v>0.001</v>
      </c>
    </row>
    <row r="38" customFormat="false" ht="12.75" hidden="false" customHeight="false" outlineLevel="0" collapsed="false">
      <c r="A38" s="0"/>
      <c r="E38" s="940"/>
      <c r="G38" s="940"/>
      <c r="H38" s="940"/>
      <c r="K38" s="0" t="n">
        <f aca="false">E38</f>
        <v>0</v>
      </c>
      <c r="L38" s="915" t="n">
        <f aca="false">IF(ISERROR(G38/1000),0,G38/1000)</f>
        <v>0</v>
      </c>
      <c r="M38" s="915" t="n">
        <f aca="false">IF(ISERROR(H38/1000),0,H38/1000)</f>
        <v>0</v>
      </c>
      <c r="O38" s="897" t="n">
        <f aca="false">FuturesPosn!E41</f>
        <v>0</v>
      </c>
      <c r="P38" s="898" t="n">
        <f aca="false">FuturesPosn!F41</f>
        <v>0</v>
      </c>
      <c r="S38" s="947" t="n">
        <v>37956</v>
      </c>
      <c r="T38" s="0" t="n">
        <v>3.526</v>
      </c>
      <c r="U38" s="0" t="n">
        <v>0.32</v>
      </c>
      <c r="X38" s="0" t="n">
        <f aca="false">AB38-T38</f>
        <v>-3.526</v>
      </c>
      <c r="Y38" s="0" t="n">
        <f aca="false">AC38-U38</f>
        <v>-0.32</v>
      </c>
      <c r="AH38" s="0" t="str">
        <v>DEC3</v>
      </c>
      <c r="AI38" s="0" t="str">
        <v>PS3.526</v>
      </c>
      <c r="AJ38" s="0" t="str">
        <v>       </v>
      </c>
      <c r="AL38" s="0" t="str">
        <f aca="false">IF(LEFT(AJ38,2)="--",RIGHT(AJ38,5),AJ38)</f>
        <v>       </v>
      </c>
      <c r="AM38" s="0" t="e">
        <f aca="false">VALUE(AL38)</f>
        <v>#VALUE!</v>
      </c>
      <c r="AN38" s="0" t="n">
        <f aca="false">IF(ISERROR(AM38),0,AM38)</f>
        <v>0</v>
      </c>
    </row>
    <row r="39" customFormat="false" ht="12.75" hidden="false" customHeight="false" outlineLevel="0" collapsed="false">
      <c r="A39" s="0"/>
      <c r="E39" s="940"/>
      <c r="G39" s="940"/>
      <c r="H39" s="940"/>
      <c r="K39" s="0" t="n">
        <f aca="false">E39</f>
        <v>0</v>
      </c>
      <c r="L39" s="915" t="n">
        <f aca="false">IF(ISERROR(G39/1000),0,G39/1000)</f>
        <v>0</v>
      </c>
      <c r="M39" s="915" t="n">
        <f aca="false">IF(ISERROR(H39/1000),0,H39/1000)</f>
        <v>0</v>
      </c>
      <c r="O39" s="897" t="n">
        <f aca="false">FuturesPosn!E42</f>
        <v>0</v>
      </c>
      <c r="P39" s="898" t="n">
        <f aca="false">FuturesPosn!F42</f>
        <v>0</v>
      </c>
      <c r="S39" s="947" t="n">
        <v>37987</v>
      </c>
      <c r="T39" s="0" t="n">
        <v>3.581</v>
      </c>
      <c r="U39" s="0" t="n">
        <v>0.32</v>
      </c>
      <c r="X39" s="0" t="n">
        <f aca="false">AB39-T39</f>
        <v>-3.581</v>
      </c>
      <c r="Y39" s="0" t="n">
        <f aca="false">AC39-U39</f>
        <v>-0.32</v>
      </c>
      <c r="AH39" s="0" t="str">
        <f aca="false" t="array" ref="AH39:AH47">DDE("TWINDDE","RSFPage","2#NG: 2 0 4 9")</f>
        <v>JAN4</v>
      </c>
      <c r="AI39" s="0" t="str">
        <f aca="false" t="array" ref="AI39:AI47">DDE("TWINDDE","RSFPage","2#NG: 2 5 7 9")</f>
        <v>PS3.581</v>
      </c>
      <c r="AJ39" s="0" t="str">
        <f aca="false" t="array" ref="AJ39:AJ47">DDE("TWINDDE","RSFPage","2#NG: 2 16 7 9")</f>
        <v>--0.00 </v>
      </c>
      <c r="AL39" s="0" t="str">
        <f aca="false">IF(LEFT(AJ39,2)="--",RIGHT(AJ39,5),AJ39)</f>
        <v>0.00 </v>
      </c>
      <c r="AM39" s="0" t="n">
        <f aca="false">VALUE(AL39)</f>
        <v>0</v>
      </c>
      <c r="AN39" s="0" t="n">
        <f aca="false">IF(ISERROR(AM39),0,AM39)</f>
        <v>0</v>
      </c>
    </row>
    <row r="40" customFormat="false" ht="12.75" hidden="false" customHeight="false" outlineLevel="0" collapsed="false">
      <c r="A40" s="0"/>
      <c r="E40" s="940"/>
      <c r="G40" s="940"/>
      <c r="H40" s="940"/>
      <c r="K40" s="0" t="n">
        <f aca="false">E40</f>
        <v>0</v>
      </c>
      <c r="L40" s="915" t="n">
        <f aca="false">IF(ISERROR(G40/1000),0,G40/1000)</f>
        <v>0</v>
      </c>
      <c r="M40" s="915" t="n">
        <f aca="false">IF(ISERROR(H40/1000),0,H40/1000)</f>
        <v>0</v>
      </c>
      <c r="O40" s="897" t="n">
        <f aca="false">FuturesPosn!E43</f>
        <v>0</v>
      </c>
      <c r="P40" s="898" t="n">
        <f aca="false">FuturesPosn!F43</f>
        <v>0</v>
      </c>
      <c r="S40" s="947" t="n">
        <v>38018</v>
      </c>
      <c r="T40" s="0" t="n">
        <v>3.467</v>
      </c>
      <c r="U40" s="0" t="n">
        <v>0.3125</v>
      </c>
      <c r="X40" s="0" t="n">
        <f aca="false">AB40-T40</f>
        <v>-3.467</v>
      </c>
      <c r="Y40" s="0" t="n">
        <f aca="false">AC40-U40</f>
        <v>-0.3125</v>
      </c>
      <c r="AH40" s="0" t="str">
        <v>FEB4</v>
      </c>
      <c r="AI40" s="0" t="str">
        <v>PS3.467</v>
      </c>
      <c r="AJ40" s="0" t="str">
        <v>--0.00 </v>
      </c>
      <c r="AL40" s="0" t="str">
        <f aca="false">IF(LEFT(AJ40,2)="--",RIGHT(AJ40,5),AJ40)</f>
        <v>0.00 </v>
      </c>
      <c r="AM40" s="0" t="n">
        <f aca="false">VALUE(AL40)</f>
        <v>0</v>
      </c>
      <c r="AN40" s="0" t="n">
        <f aca="false">IF(ISERROR(AM40),0,AM40)</f>
        <v>0</v>
      </c>
    </row>
    <row r="41" customFormat="false" ht="12.75" hidden="false" customHeight="false" outlineLevel="0" collapsed="false">
      <c r="A41" s="0"/>
      <c r="O41" s="897" t="n">
        <f aca="false">FuturesPosn!E44</f>
        <v>0</v>
      </c>
      <c r="P41" s="898" t="n">
        <f aca="false">FuturesPosn!F44</f>
        <v>0</v>
      </c>
      <c r="S41" s="947" t="n">
        <v>38047</v>
      </c>
      <c r="T41" s="0" t="n">
        <v>3.335</v>
      </c>
      <c r="U41" s="0" t="n">
        <v>0.305</v>
      </c>
      <c r="X41" s="0" t="n">
        <f aca="false">AB41-T41</f>
        <v>-3.335</v>
      </c>
      <c r="Y41" s="0" t="n">
        <f aca="false">AC41-U41</f>
        <v>-0.305</v>
      </c>
      <c r="AH41" s="0" t="str">
        <v>MAR4</v>
      </c>
      <c r="AI41" s="0" t="str">
        <v>PS3.335</v>
      </c>
      <c r="AJ41" s="0" t="str">
        <v>--0.00 </v>
      </c>
      <c r="AL41" s="0" t="str">
        <f aca="false">IF(LEFT(AJ41,2)="--",RIGHT(AJ41,5),AJ41)</f>
        <v>0.00 </v>
      </c>
      <c r="AM41" s="0" t="n">
        <f aca="false">VALUE(AL41)</f>
        <v>0</v>
      </c>
      <c r="AN41" s="0" t="n">
        <f aca="false">IF(ISERROR(AM41),0,AM41)</f>
        <v>0</v>
      </c>
    </row>
    <row r="42" customFormat="false" ht="12.75" hidden="false" customHeight="false" outlineLevel="0" collapsed="false">
      <c r="A42" s="0"/>
      <c r="O42" s="897" t="n">
        <f aca="false">FuturesPosn!E45</f>
        <v>0</v>
      </c>
      <c r="P42" s="898" t="n">
        <f aca="false">FuturesPosn!F45</f>
        <v>0</v>
      </c>
      <c r="S42" s="947" t="n">
        <v>38078</v>
      </c>
      <c r="T42" s="0" t="n">
        <v>3.137</v>
      </c>
      <c r="U42" s="0" t="n">
        <v>0.28</v>
      </c>
      <c r="X42" s="0" t="n">
        <f aca="false">AB42-T42</f>
        <v>-3.137</v>
      </c>
      <c r="Y42" s="0" t="n">
        <f aca="false">AC42-U42</f>
        <v>-0.28</v>
      </c>
      <c r="AH42" s="0" t="str">
        <v>APR4</v>
      </c>
      <c r="AI42" s="0" t="str">
        <v>PS3.137</v>
      </c>
      <c r="AJ42" s="0" t="str">
        <v>--0.00 </v>
      </c>
      <c r="AL42" s="0" t="str">
        <f aca="false">IF(LEFT(AJ42,2)="--",RIGHT(AJ42,5),AJ42)</f>
        <v>0.00 </v>
      </c>
      <c r="AM42" s="0" t="n">
        <f aca="false">VALUE(AL42)</f>
        <v>0</v>
      </c>
      <c r="AN42" s="0" t="n">
        <f aca="false">IF(ISERROR(AM42),0,AM42)</f>
        <v>0</v>
      </c>
    </row>
    <row r="43" customFormat="false" ht="12.75" hidden="false" customHeight="false" outlineLevel="0" collapsed="false">
      <c r="A43" s="0"/>
      <c r="O43" s="897" t="n">
        <f aca="false">FuturesPosn!E46</f>
        <v>0</v>
      </c>
      <c r="P43" s="898" t="n">
        <f aca="false">FuturesPosn!F46</f>
        <v>0</v>
      </c>
      <c r="S43" s="947" t="n">
        <v>38108</v>
      </c>
      <c r="T43" s="0" t="n">
        <v>3.133</v>
      </c>
      <c r="U43" s="0" t="n">
        <v>0.28</v>
      </c>
      <c r="X43" s="0" t="n">
        <f aca="false">AB43-T43</f>
        <v>-3.133</v>
      </c>
      <c r="Y43" s="0" t="n">
        <f aca="false">AC43-U43</f>
        <v>-0.28</v>
      </c>
      <c r="AH43" s="0" t="str">
        <v>MAY4</v>
      </c>
      <c r="AI43" s="0" t="str">
        <v> B3.125</v>
      </c>
      <c r="AJ43" s="0" t="str">
        <v>--0.00 </v>
      </c>
      <c r="AL43" s="0" t="str">
        <f aca="false">IF(LEFT(AJ43,2)="--",RIGHT(AJ43,5),AJ43)</f>
        <v>0.00 </v>
      </c>
      <c r="AM43" s="0" t="n">
        <f aca="false">VALUE(AL43)</f>
        <v>0</v>
      </c>
      <c r="AN43" s="0" t="n">
        <f aca="false">IF(ISERROR(AM43),0,AM43)</f>
        <v>0</v>
      </c>
    </row>
    <row r="44" customFormat="false" ht="12.75" hidden="false" customHeight="false" outlineLevel="0" collapsed="false">
      <c r="A44" s="0"/>
      <c r="O44" s="897" t="n">
        <f aca="false">FuturesPosn!E47</f>
        <v>0</v>
      </c>
      <c r="P44" s="898" t="n">
        <f aca="false">FuturesPosn!F47</f>
        <v>0</v>
      </c>
      <c r="S44" s="947" t="n">
        <v>38139</v>
      </c>
      <c r="T44" s="0" t="n">
        <v>3.165</v>
      </c>
      <c r="U44" s="0" t="n">
        <v>0.2775</v>
      </c>
      <c r="X44" s="0" t="n">
        <f aca="false">AB44-T44</f>
        <v>-3.165</v>
      </c>
      <c r="Y44" s="0" t="n">
        <f aca="false">AC44-U44</f>
        <v>-0.2775</v>
      </c>
      <c r="AH44" s="0" t="str">
        <v>JUN4</v>
      </c>
      <c r="AI44" s="0" t="str">
        <v>PS3.165</v>
      </c>
      <c r="AJ44" s="0" t="str">
        <v>--0.00 </v>
      </c>
      <c r="AL44" s="0" t="str">
        <f aca="false">IF(LEFT(AJ44,2)="--",RIGHT(AJ44,5),AJ44)</f>
        <v>0.00 </v>
      </c>
      <c r="AM44" s="0" t="n">
        <f aca="false">VALUE(AL44)</f>
        <v>0</v>
      </c>
      <c r="AN44" s="0" t="n">
        <f aca="false">IF(ISERROR(AM44),0,AM44)</f>
        <v>0</v>
      </c>
    </row>
    <row r="45" customFormat="false" ht="12.75" hidden="false" customHeight="false" outlineLevel="0" collapsed="false">
      <c r="A45" s="0"/>
      <c r="O45" s="897" t="n">
        <f aca="false">FuturesPosn!E48</f>
        <v>0</v>
      </c>
      <c r="P45" s="898" t="n">
        <f aca="false">FuturesPosn!F48</f>
        <v>0</v>
      </c>
      <c r="S45" s="947" t="n">
        <v>38169</v>
      </c>
      <c r="T45" s="0" t="n">
        <v>3.215</v>
      </c>
      <c r="U45" s="0" t="n">
        <v>0.2775</v>
      </c>
      <c r="X45" s="0" t="n">
        <f aca="false">AB45-T45</f>
        <v>-3.215</v>
      </c>
      <c r="Y45" s="0" t="n">
        <f aca="false">AC45-U45</f>
        <v>-0.2775</v>
      </c>
      <c r="AH45" s="0" t="str">
        <v>JUL4</v>
      </c>
      <c r="AI45" s="0" t="str">
        <v>PS3.215</v>
      </c>
      <c r="AJ45" s="0" t="str">
        <v>--0.00 </v>
      </c>
      <c r="AL45" s="0" t="str">
        <f aca="false">IF(LEFT(AJ45,2)="--",RIGHT(AJ45,5),AJ45)</f>
        <v>0.00 </v>
      </c>
      <c r="AM45" s="0" t="n">
        <f aca="false">VALUE(AL45)</f>
        <v>0</v>
      </c>
      <c r="AN45" s="0" t="n">
        <f aca="false">IF(ISERROR(AM45),0,AM45)</f>
        <v>0</v>
      </c>
    </row>
    <row r="46" customFormat="false" ht="12.75" hidden="false" customHeight="false" outlineLevel="0" collapsed="false">
      <c r="A46" s="0"/>
      <c r="O46" s="897" t="n">
        <f aca="false">FuturesPosn!E49</f>
        <v>0</v>
      </c>
      <c r="P46" s="898" t="n">
        <f aca="false">FuturesPosn!F49</f>
        <v>0</v>
      </c>
      <c r="S46" s="947" t="n">
        <v>38200</v>
      </c>
      <c r="T46" s="0" t="n">
        <v>3.249</v>
      </c>
      <c r="U46" s="0" t="n">
        <v>0.2775</v>
      </c>
      <c r="X46" s="0" t="n">
        <f aca="false">AB46-T46</f>
        <v>-3.249</v>
      </c>
      <c r="Y46" s="0" t="n">
        <f aca="false">AC46-U46</f>
        <v>-0.2775</v>
      </c>
      <c r="AH46" s="0" t="str">
        <v>AUG4</v>
      </c>
      <c r="AI46" s="0" t="str">
        <v>PS3.249</v>
      </c>
      <c r="AJ46" s="0" t="str">
        <v>--0.00 </v>
      </c>
      <c r="AL46" s="0" t="str">
        <f aca="false">IF(LEFT(AJ46,2)="--",RIGHT(AJ46,5),AJ46)</f>
        <v>0.00 </v>
      </c>
      <c r="AM46" s="0" t="n">
        <f aca="false">VALUE(AL46)</f>
        <v>0</v>
      </c>
      <c r="AN46" s="0" t="n">
        <f aca="false">IF(ISERROR(AM46),0,AM46)</f>
        <v>0</v>
      </c>
    </row>
    <row r="47" customFormat="false" ht="12.75" hidden="false" customHeight="false" outlineLevel="0" collapsed="false">
      <c r="A47" s="0"/>
      <c r="S47" s="947" t="n">
        <v>38231</v>
      </c>
      <c r="T47" s="0" t="n">
        <v>3.262</v>
      </c>
      <c r="U47" s="0" t="n">
        <v>0.28</v>
      </c>
      <c r="X47" s="0" t="n">
        <f aca="false">AB47-T47</f>
        <v>-3.262</v>
      </c>
      <c r="Y47" s="0" t="n">
        <f aca="false">AC47-U47</f>
        <v>-0.28</v>
      </c>
      <c r="AH47" s="0" t="str">
        <v>SEP4</v>
      </c>
      <c r="AI47" s="0" t="str">
        <v>PS3.262</v>
      </c>
      <c r="AJ47" s="0" t="str">
        <v>--0.00 </v>
      </c>
      <c r="AL47" s="0" t="str">
        <f aca="false">IF(LEFT(AJ47,2)="--",RIGHT(AJ47,5),AJ47)</f>
        <v>0.00 </v>
      </c>
      <c r="AM47" s="0" t="n">
        <f aca="false">VALUE(AL47)</f>
        <v>0</v>
      </c>
      <c r="AN47" s="0" t="n">
        <f aca="false">IF(ISERROR(AM47),0,AM47)</f>
        <v>0</v>
      </c>
    </row>
    <row r="48" customFormat="false" ht="12.75" hidden="false" customHeight="false" outlineLevel="0" collapsed="false">
      <c r="A48" s="0"/>
      <c r="S48" s="947" t="n">
        <v>38261</v>
      </c>
      <c r="T48" s="0" t="n">
        <v>3.261</v>
      </c>
      <c r="U48" s="0" t="n">
        <v>0.28</v>
      </c>
      <c r="X48" s="0" t="n">
        <f aca="false">AB48-T48</f>
        <v>-3.261</v>
      </c>
      <c r="Y48" s="0" t="n">
        <f aca="false">AC48-U48</f>
        <v>-0.28</v>
      </c>
    </row>
    <row r="49" customFormat="false" ht="12.75" hidden="false" customHeight="false" outlineLevel="0" collapsed="false">
      <c r="A49" s="0"/>
      <c r="S49" s="947" t="n">
        <v>38292</v>
      </c>
      <c r="T49" s="0" t="n">
        <v>3.416</v>
      </c>
      <c r="U49" s="0" t="n">
        <v>0.2775</v>
      </c>
      <c r="X49" s="0" t="n">
        <f aca="false">AB49-T49</f>
        <v>-3.416</v>
      </c>
      <c r="Y49" s="0" t="n">
        <f aca="false">AC49-U49</f>
        <v>-0.2775</v>
      </c>
    </row>
    <row r="50" customFormat="false" ht="12.75" hidden="false" customHeight="false" outlineLevel="0" collapsed="false">
      <c r="A50" s="0"/>
      <c r="S50" s="947" t="n">
        <v>38322</v>
      </c>
      <c r="T50" s="0" t="n">
        <v>3.581</v>
      </c>
      <c r="U50" s="0" t="n">
        <v>0.2775</v>
      </c>
      <c r="X50" s="0" t="n">
        <f aca="false">AB50-T50</f>
        <v>-3.581</v>
      </c>
      <c r="Y50" s="0" t="n">
        <f aca="false">AC50-U50</f>
        <v>-0.2775</v>
      </c>
    </row>
    <row r="51" customFormat="false" ht="12.75" hidden="false" customHeight="false" outlineLevel="0" collapsed="false">
      <c r="A51" s="0"/>
      <c r="S51" s="947" t="n">
        <v>38353</v>
      </c>
      <c r="T51" s="0" t="n">
        <v>3.631</v>
      </c>
      <c r="U51" s="0" t="n">
        <v>0.28</v>
      </c>
      <c r="X51" s="0" t="n">
        <f aca="false">AB51-T51</f>
        <v>-3.631</v>
      </c>
      <c r="Y51" s="0" t="n">
        <f aca="false">AC51-U51</f>
        <v>-0.28</v>
      </c>
    </row>
    <row r="52" customFormat="false" ht="12.75" hidden="false" customHeight="false" outlineLevel="0" collapsed="false">
      <c r="A52" s="0"/>
      <c r="S52" s="947" t="n">
        <v>38384</v>
      </c>
      <c r="T52" s="0" t="n">
        <v>3.517</v>
      </c>
      <c r="U52" s="0" t="n">
        <v>0.2725</v>
      </c>
      <c r="X52" s="0" t="n">
        <f aca="false">AB52-T52</f>
        <v>-3.517</v>
      </c>
      <c r="Y52" s="0" t="n">
        <f aca="false">AC52-U52</f>
        <v>-0.2725</v>
      </c>
    </row>
    <row r="53" customFormat="false" ht="12.75" hidden="false" customHeight="false" outlineLevel="0" collapsed="false">
      <c r="A53" s="0"/>
      <c r="S53" s="947" t="n">
        <v>38412</v>
      </c>
      <c r="T53" s="0" t="n">
        <v>3.385</v>
      </c>
      <c r="U53" s="0" t="n">
        <v>0.2575</v>
      </c>
      <c r="X53" s="0" t="n">
        <f aca="false">AB53-T53</f>
        <v>-3.385</v>
      </c>
      <c r="Y53" s="0" t="n">
        <f aca="false">AC53-U53</f>
        <v>-0.2575</v>
      </c>
    </row>
    <row r="54" customFormat="false" ht="12.75" hidden="false" customHeight="false" outlineLevel="0" collapsed="false">
      <c r="A54" s="0"/>
      <c r="S54" s="947" t="n">
        <v>38443</v>
      </c>
      <c r="T54" s="0" t="n">
        <v>3.187</v>
      </c>
      <c r="U54" s="0" t="n">
        <v>0.2425</v>
      </c>
      <c r="X54" s="0" t="n">
        <f aca="false">AB54-T54</f>
        <v>-3.187</v>
      </c>
      <c r="Y54" s="0" t="n">
        <f aca="false">AC54-U54</f>
        <v>-0.2425</v>
      </c>
    </row>
    <row r="55" customFormat="false" ht="12.75" hidden="false" customHeight="false" outlineLevel="0" collapsed="false">
      <c r="A55" s="0"/>
      <c r="S55" s="947" t="n">
        <v>38473</v>
      </c>
      <c r="T55" s="0" t="n">
        <v>3.183</v>
      </c>
      <c r="U55" s="0" t="n">
        <v>0.235</v>
      </c>
      <c r="X55" s="0" t="n">
        <f aca="false">AB55-T55</f>
        <v>-3.183</v>
      </c>
      <c r="Y55" s="0" t="n">
        <f aca="false">AC55-U55</f>
        <v>-0.235</v>
      </c>
    </row>
    <row r="56" customFormat="false" ht="12.75" hidden="false" customHeight="false" outlineLevel="0" collapsed="false">
      <c r="A56" s="0"/>
      <c r="S56" s="947" t="n">
        <v>38504</v>
      </c>
      <c r="T56" s="0" t="n">
        <v>3.215</v>
      </c>
      <c r="U56" s="0" t="n">
        <v>0.23</v>
      </c>
      <c r="X56" s="0" t="n">
        <f aca="false">AB56-T56</f>
        <v>-3.215</v>
      </c>
      <c r="Y56" s="0" t="n">
        <f aca="false">AC56-U56</f>
        <v>-0.23</v>
      </c>
    </row>
    <row r="57" customFormat="false" ht="12.75" hidden="false" customHeight="false" outlineLevel="0" collapsed="false">
      <c r="A57" s="0"/>
      <c r="S57" s="947" t="n">
        <v>38534</v>
      </c>
      <c r="T57" s="0" t="n">
        <v>3.265</v>
      </c>
      <c r="U57" s="0" t="n">
        <v>0.23</v>
      </c>
      <c r="X57" s="0" t="n">
        <f aca="false">AB57-T57</f>
        <v>-3.265</v>
      </c>
      <c r="Y57" s="0" t="n">
        <f aca="false">AC57-U57</f>
        <v>-0.23</v>
      </c>
    </row>
    <row r="58" customFormat="false" ht="12.75" hidden="false" customHeight="false" outlineLevel="0" collapsed="false">
      <c r="A58" s="0"/>
      <c r="S58" s="947" t="n">
        <v>38565</v>
      </c>
      <c r="T58" s="0" t="n">
        <v>3.299</v>
      </c>
      <c r="U58" s="0" t="n">
        <v>0.23</v>
      </c>
      <c r="X58" s="0" t="n">
        <f aca="false">AB58-T58</f>
        <v>-3.299</v>
      </c>
      <c r="Y58" s="0" t="n">
        <f aca="false">AC58-U58</f>
        <v>-0.23</v>
      </c>
    </row>
    <row r="59" customFormat="false" ht="12.75" hidden="false" customHeight="false" outlineLevel="0" collapsed="false">
      <c r="A59" s="0"/>
      <c r="S59" s="947" t="n">
        <v>38596</v>
      </c>
      <c r="T59" s="0" t="n">
        <v>3.312</v>
      </c>
      <c r="U59" s="0" t="n">
        <v>0.23</v>
      </c>
      <c r="X59" s="0" t="n">
        <f aca="false">AB59-T59</f>
        <v>-3.312</v>
      </c>
      <c r="Y59" s="0" t="n">
        <f aca="false">AC59-U59</f>
        <v>-0.23</v>
      </c>
    </row>
    <row r="60" customFormat="false" ht="12.75" hidden="false" customHeight="false" outlineLevel="0" collapsed="false">
      <c r="A60" s="0"/>
      <c r="S60" s="947" t="n">
        <v>38626</v>
      </c>
      <c r="T60" s="0" t="n">
        <v>3.311</v>
      </c>
      <c r="U60" s="0" t="n">
        <v>0.23</v>
      </c>
      <c r="X60" s="0" t="n">
        <f aca="false">AB60-T60</f>
        <v>-3.311</v>
      </c>
      <c r="Y60" s="0" t="n">
        <f aca="false">AC60-U60</f>
        <v>-0.23</v>
      </c>
    </row>
    <row r="61" customFormat="false" ht="12.75" hidden="false" customHeight="false" outlineLevel="0" collapsed="false">
      <c r="A61" s="0"/>
      <c r="S61" s="947" t="n">
        <v>38657</v>
      </c>
      <c r="T61" s="0" t="n">
        <v>3.466</v>
      </c>
      <c r="U61" s="0" t="n">
        <v>0.2325</v>
      </c>
      <c r="X61" s="0" t="n">
        <f aca="false">AB61-T61</f>
        <v>-3.466</v>
      </c>
      <c r="Y61" s="0" t="n">
        <f aca="false">AC61-U61</f>
        <v>-0.2325</v>
      </c>
    </row>
    <row r="62" customFormat="false" ht="12.75" hidden="false" customHeight="false" outlineLevel="0" collapsed="false">
      <c r="A62" s="0"/>
      <c r="S62" s="947" t="n">
        <v>38687</v>
      </c>
      <c r="T62" s="0" t="n">
        <v>3.631</v>
      </c>
      <c r="U62" s="0" t="n">
        <v>0.235</v>
      </c>
      <c r="X62" s="0" t="n">
        <f aca="false">AB62-T62</f>
        <v>-3.631</v>
      </c>
      <c r="Y62" s="0" t="n">
        <f aca="false">AC62-U62</f>
        <v>-0.235</v>
      </c>
    </row>
    <row r="63" customFormat="false" ht="12.75" hidden="false" customHeight="false" outlineLevel="0" collapsed="false">
      <c r="A63" s="0"/>
      <c r="S63" s="947" t="n">
        <v>38718</v>
      </c>
      <c r="T63" s="0" t="n">
        <v>3.691</v>
      </c>
      <c r="U63" s="0" t="n">
        <v>0.2375</v>
      </c>
      <c r="X63" s="0" t="n">
        <f aca="false">AB63-T63</f>
        <v>-3.691</v>
      </c>
      <c r="Y63" s="0" t="n">
        <f aca="false">AC63-U63</f>
        <v>-0.2375</v>
      </c>
    </row>
    <row r="64" customFormat="false" ht="12.75" hidden="false" customHeight="false" outlineLevel="0" collapsed="false">
      <c r="A64" s="0"/>
      <c r="S64" s="947" t="n">
        <v>38749</v>
      </c>
      <c r="T64" s="0" t="n">
        <v>3.577</v>
      </c>
      <c r="U64" s="0" t="n">
        <v>0.2375</v>
      </c>
      <c r="X64" s="0" t="n">
        <f aca="false">AB64-T64</f>
        <v>-3.577</v>
      </c>
      <c r="Y64" s="0" t="n">
        <f aca="false">AC64-U64</f>
        <v>-0.2375</v>
      </c>
    </row>
    <row r="65" customFormat="false" ht="12.75" hidden="false" customHeight="false" outlineLevel="0" collapsed="false">
      <c r="A65" s="0"/>
      <c r="S65" s="947" t="n">
        <v>38777</v>
      </c>
      <c r="T65" s="0" t="n">
        <v>3.445</v>
      </c>
      <c r="U65" s="0" t="n">
        <v>0.2375</v>
      </c>
      <c r="X65" s="0" t="n">
        <f aca="false">AB65-T65</f>
        <v>-3.445</v>
      </c>
      <c r="Y65" s="0" t="n">
        <f aca="false">AC65-U65</f>
        <v>-0.2375</v>
      </c>
    </row>
    <row r="66" customFormat="false" ht="12.75" hidden="false" customHeight="false" outlineLevel="0" collapsed="false">
      <c r="A66" s="0"/>
      <c r="S66" s="947" t="n">
        <v>38808</v>
      </c>
      <c r="T66" s="0" t="n">
        <v>3.247</v>
      </c>
      <c r="U66" s="0" t="n">
        <v>0.2375</v>
      </c>
      <c r="X66" s="0" t="n">
        <f aca="false">AB66-T66</f>
        <v>-3.247</v>
      </c>
      <c r="Y66" s="0" t="n">
        <f aca="false">AC66-U66</f>
        <v>-0.2375</v>
      </c>
    </row>
    <row r="67" customFormat="false" ht="12.75" hidden="false" customHeight="false" outlineLevel="0" collapsed="false">
      <c r="A67" s="0"/>
      <c r="S67" s="947" t="n">
        <v>38838</v>
      </c>
      <c r="T67" s="0" t="n">
        <v>3.243</v>
      </c>
      <c r="U67" s="0" t="n">
        <v>0.235</v>
      </c>
      <c r="X67" s="0" t="n">
        <f aca="false">AB67-T67</f>
        <v>-3.243</v>
      </c>
      <c r="Y67" s="0" t="n">
        <f aca="false">AC67-U67</f>
        <v>-0.235</v>
      </c>
    </row>
    <row r="68" customFormat="false" ht="12.75" hidden="false" customHeight="false" outlineLevel="0" collapsed="false">
      <c r="A68" s="0"/>
      <c r="S68" s="947" t="n">
        <v>38869</v>
      </c>
      <c r="T68" s="0" t="n">
        <v>3.275</v>
      </c>
      <c r="U68" s="0" t="n">
        <v>0.235</v>
      </c>
      <c r="X68" s="0" t="n">
        <f aca="false">AB68-T68</f>
        <v>-3.275</v>
      </c>
      <c r="Y68" s="0" t="n">
        <f aca="false">AC68-U68</f>
        <v>-0.235</v>
      </c>
    </row>
    <row r="69" customFormat="false" ht="12.75" hidden="false" customHeight="false" outlineLevel="0" collapsed="false">
      <c r="A69" s="0"/>
      <c r="S69" s="947" t="n">
        <v>38899</v>
      </c>
      <c r="T69" s="0" t="n">
        <v>3.325</v>
      </c>
      <c r="U69" s="0" t="n">
        <v>0.235</v>
      </c>
      <c r="X69" s="0" t="n">
        <f aca="false">AB69-T69</f>
        <v>-3.325</v>
      </c>
      <c r="Y69" s="0" t="n">
        <f aca="false">AC69-U69</f>
        <v>-0.235</v>
      </c>
    </row>
    <row r="70" customFormat="false" ht="12.75" hidden="false" customHeight="false" outlineLevel="0" collapsed="false">
      <c r="A70" s="0"/>
      <c r="S70" s="947" t="n">
        <v>38930</v>
      </c>
      <c r="T70" s="0" t="n">
        <v>3.359</v>
      </c>
      <c r="U70" s="0" t="n">
        <v>0.235</v>
      </c>
      <c r="X70" s="0" t="n">
        <f aca="false">AB70-T70</f>
        <v>-3.359</v>
      </c>
      <c r="Y70" s="0" t="n">
        <f aca="false">AC70-U70</f>
        <v>-0.235</v>
      </c>
    </row>
    <row r="71" customFormat="false" ht="12.75" hidden="false" customHeight="false" outlineLevel="0" collapsed="false">
      <c r="A71" s="0"/>
      <c r="S71" s="947" t="n">
        <v>38961</v>
      </c>
      <c r="T71" s="0" t="n">
        <v>3.372</v>
      </c>
      <c r="U71" s="0" t="n">
        <v>0.235</v>
      </c>
      <c r="X71" s="0" t="n">
        <f aca="false">AB71-T71</f>
        <v>-3.372</v>
      </c>
      <c r="Y71" s="0" t="n">
        <f aca="false">AC71-U71</f>
        <v>-0.235</v>
      </c>
    </row>
    <row r="72" customFormat="false" ht="12.75" hidden="false" customHeight="false" outlineLevel="0" collapsed="false">
      <c r="A72" s="0"/>
      <c r="S72" s="947" t="n">
        <v>38991</v>
      </c>
      <c r="T72" s="0" t="n">
        <v>3.371</v>
      </c>
      <c r="U72" s="0" t="n">
        <v>0.235</v>
      </c>
      <c r="X72" s="0" t="n">
        <f aca="false">AB72-T72</f>
        <v>-3.371</v>
      </c>
      <c r="Y72" s="0" t="n">
        <f aca="false">AC72-U72</f>
        <v>-0.235</v>
      </c>
    </row>
    <row r="73" customFormat="false" ht="12.75" hidden="false" customHeight="false" outlineLevel="0" collapsed="false">
      <c r="A73" s="0"/>
      <c r="S73" s="947" t="n">
        <v>39022</v>
      </c>
      <c r="T73" s="0" t="n">
        <v>3.526</v>
      </c>
      <c r="U73" s="0" t="n">
        <v>0.2375</v>
      </c>
      <c r="X73" s="0" t="n">
        <f aca="false">AB73-T73</f>
        <v>-3.526</v>
      </c>
      <c r="Y73" s="0" t="n">
        <f aca="false">AC73-U73</f>
        <v>-0.2375</v>
      </c>
    </row>
    <row r="74" customFormat="false" ht="12.75" hidden="false" customHeight="false" outlineLevel="0" collapsed="false">
      <c r="A74" s="0"/>
      <c r="S74" s="947" t="n">
        <v>39052</v>
      </c>
      <c r="T74" s="0" t="n">
        <v>3.691</v>
      </c>
      <c r="U74" s="0" t="n">
        <v>0.24</v>
      </c>
      <c r="X74" s="0" t="n">
        <f aca="false">AB74-T74</f>
        <v>-3.691</v>
      </c>
      <c r="Y74" s="0" t="n">
        <f aca="false">AC74-U74</f>
        <v>-0.24</v>
      </c>
    </row>
    <row r="75" customFormat="false" ht="12.75" hidden="false" customHeight="false" outlineLevel="0" collapsed="false">
      <c r="A75" s="0"/>
      <c r="S75" s="947" t="n">
        <v>39083</v>
      </c>
      <c r="T75" s="0" t="n">
        <v>3.756</v>
      </c>
      <c r="U75" s="0" t="n">
        <v>0.2425</v>
      </c>
      <c r="X75" s="0" t="n">
        <f aca="false">AB75-T75</f>
        <v>-3.756</v>
      </c>
      <c r="Y75" s="0" t="n">
        <f aca="false">AC75-U75</f>
        <v>-0.2425</v>
      </c>
    </row>
    <row r="76" customFormat="false" ht="12.75" hidden="false" customHeight="false" outlineLevel="0" collapsed="false">
      <c r="A76" s="0"/>
      <c r="S76" s="947" t="n">
        <v>39114</v>
      </c>
      <c r="T76" s="0" t="n">
        <v>3.642</v>
      </c>
      <c r="U76" s="0" t="n">
        <v>0.2375</v>
      </c>
      <c r="X76" s="0" t="n">
        <f aca="false">AB76-T76</f>
        <v>-3.642</v>
      </c>
      <c r="Y76" s="0" t="n">
        <f aca="false">AC76-U76</f>
        <v>-0.2375</v>
      </c>
    </row>
    <row r="77" customFormat="false" ht="12.75" hidden="false" customHeight="false" outlineLevel="0" collapsed="false">
      <c r="A77" s="0"/>
      <c r="S77" s="947" t="n">
        <v>39142</v>
      </c>
      <c r="T77" s="0" t="n">
        <v>3.51</v>
      </c>
      <c r="U77" s="0" t="n">
        <v>0.2325</v>
      </c>
      <c r="X77" s="0" t="n">
        <f aca="false">AB77-T77</f>
        <v>-3.51</v>
      </c>
      <c r="Y77" s="0" t="n">
        <f aca="false">AC77-U77</f>
        <v>-0.2325</v>
      </c>
    </row>
    <row r="78" customFormat="false" ht="12.75" hidden="false" customHeight="false" outlineLevel="0" collapsed="false">
      <c r="A78" s="0"/>
      <c r="S78" s="947" t="n">
        <v>39173</v>
      </c>
      <c r="T78" s="0" t="n">
        <v>3.312</v>
      </c>
      <c r="U78" s="0" t="n">
        <v>0.2325</v>
      </c>
      <c r="X78" s="0" t="n">
        <f aca="false">AB78-T78</f>
        <v>-3.312</v>
      </c>
      <c r="Y78" s="0" t="n">
        <f aca="false">AC78-U78</f>
        <v>-0.2325</v>
      </c>
    </row>
    <row r="79" customFormat="false" ht="12.75" hidden="false" customHeight="false" outlineLevel="0" collapsed="false">
      <c r="A79" s="0"/>
      <c r="S79" s="947" t="n">
        <v>39203</v>
      </c>
      <c r="T79" s="0" t="n">
        <v>3.308</v>
      </c>
      <c r="U79" s="0" t="n">
        <v>0.2325</v>
      </c>
      <c r="X79" s="0" t="n">
        <f aca="false">AB79-T79</f>
        <v>-3.308</v>
      </c>
      <c r="Y79" s="0" t="n">
        <f aca="false">AC79-U79</f>
        <v>-0.2325</v>
      </c>
    </row>
    <row r="80" customFormat="false" ht="12.75" hidden="false" customHeight="false" outlineLevel="0" collapsed="false">
      <c r="A80" s="0"/>
      <c r="S80" s="947" t="n">
        <v>39234</v>
      </c>
      <c r="T80" s="0" t="n">
        <v>3.34</v>
      </c>
      <c r="U80" s="0" t="n">
        <v>0.2325</v>
      </c>
      <c r="X80" s="0" t="n">
        <f aca="false">AB80-T80</f>
        <v>-3.34</v>
      </c>
      <c r="Y80" s="0" t="n">
        <f aca="false">AC80-U80</f>
        <v>-0.2325</v>
      </c>
    </row>
    <row r="81" customFormat="false" ht="12.75" hidden="false" customHeight="false" outlineLevel="0" collapsed="false">
      <c r="A81" s="0"/>
      <c r="S81" s="947" t="n">
        <v>39264</v>
      </c>
      <c r="T81" s="0" t="n">
        <v>3.39</v>
      </c>
      <c r="U81" s="0" t="n">
        <v>0.2325</v>
      </c>
      <c r="X81" s="0" t="n">
        <f aca="false">AB81-T81</f>
        <v>-3.39</v>
      </c>
      <c r="Y81" s="0" t="n">
        <f aca="false">AC81-U81</f>
        <v>-0.2325</v>
      </c>
    </row>
    <row r="82" customFormat="false" ht="12.75" hidden="false" customHeight="false" outlineLevel="0" collapsed="false">
      <c r="A82" s="0"/>
      <c r="S82" s="947" t="n">
        <v>39295</v>
      </c>
      <c r="T82" s="0" t="n">
        <v>3.424</v>
      </c>
      <c r="U82" s="0" t="n">
        <v>0.2325</v>
      </c>
      <c r="X82" s="0" t="n">
        <f aca="false">AB82-T82</f>
        <v>-3.424</v>
      </c>
      <c r="Y82" s="0" t="n">
        <f aca="false">AC82-U82</f>
        <v>-0.2325</v>
      </c>
    </row>
    <row r="83" customFormat="false" ht="12.75" hidden="false" customHeight="false" outlineLevel="0" collapsed="false">
      <c r="A83" s="0"/>
      <c r="S83" s="947" t="n">
        <v>39326</v>
      </c>
      <c r="T83" s="0" t="n">
        <v>3.437</v>
      </c>
      <c r="U83" s="0" t="n">
        <v>0.2325</v>
      </c>
      <c r="X83" s="0" t="n">
        <f aca="false">AB83-T83</f>
        <v>-3.437</v>
      </c>
      <c r="Y83" s="0" t="n">
        <f aca="false">AC83-U83</f>
        <v>-0.2325</v>
      </c>
    </row>
    <row r="84" customFormat="false" ht="12.75" hidden="false" customHeight="false" outlineLevel="0" collapsed="false">
      <c r="A84" s="0"/>
      <c r="S84" s="947" t="n">
        <v>39356</v>
      </c>
      <c r="T84" s="0" t="n">
        <v>3.436</v>
      </c>
      <c r="U84" s="0" t="n">
        <v>0.2325</v>
      </c>
      <c r="X84" s="0" t="n">
        <f aca="false">AB84-T84</f>
        <v>-3.436</v>
      </c>
      <c r="Y84" s="0" t="n">
        <f aca="false">AC84-U84</f>
        <v>-0.2325</v>
      </c>
    </row>
    <row r="85" customFormat="false" ht="12.75" hidden="false" customHeight="false" outlineLevel="0" collapsed="false">
      <c r="A85" s="0"/>
      <c r="S85" s="947" t="n">
        <v>39387</v>
      </c>
      <c r="T85" s="0" t="n">
        <v>3.591</v>
      </c>
      <c r="U85" s="0" t="n">
        <v>0.2325</v>
      </c>
      <c r="X85" s="0" t="n">
        <f aca="false">AB85-T85</f>
        <v>-3.591</v>
      </c>
      <c r="Y85" s="0" t="n">
        <f aca="false">AC85-U85</f>
        <v>-0.2325</v>
      </c>
    </row>
    <row r="86" customFormat="false" ht="12.75" hidden="false" customHeight="false" outlineLevel="0" collapsed="false">
      <c r="A86" s="0"/>
      <c r="S86" s="947" t="n">
        <v>39417</v>
      </c>
      <c r="T86" s="0" t="n">
        <v>3.756</v>
      </c>
      <c r="U86" s="0" t="n">
        <v>0.2325</v>
      </c>
      <c r="X86" s="0" t="n">
        <f aca="false">AB86-T86</f>
        <v>-3.756</v>
      </c>
      <c r="Y86" s="0" t="n">
        <f aca="false">AC86-U86</f>
        <v>-0.2325</v>
      </c>
    </row>
    <row r="87" customFormat="false" ht="12.75" hidden="false" customHeight="false" outlineLevel="0" collapsed="false">
      <c r="A87" s="0"/>
      <c r="S87" s="947" t="n">
        <v>39448</v>
      </c>
      <c r="T87" s="0" t="n">
        <v>3.826</v>
      </c>
      <c r="U87" s="0" t="n">
        <v>0.2325</v>
      </c>
      <c r="X87" s="0" t="n">
        <f aca="false">AB87-T87</f>
        <v>-3.826</v>
      </c>
      <c r="Y87" s="0" t="n">
        <f aca="false">AC87-U87</f>
        <v>-0.2325</v>
      </c>
    </row>
    <row r="88" customFormat="false" ht="12.75" hidden="false" customHeight="false" outlineLevel="0" collapsed="false">
      <c r="A88" s="0"/>
      <c r="S88" s="947" t="n">
        <v>39479</v>
      </c>
      <c r="T88" s="0" t="n">
        <v>3.712</v>
      </c>
      <c r="U88" s="0" t="n">
        <v>0.2325</v>
      </c>
      <c r="X88" s="0" t="n">
        <f aca="false">AB88-T88</f>
        <v>-3.712</v>
      </c>
      <c r="Y88" s="0" t="n">
        <f aca="false">AC88-U88</f>
        <v>-0.2325</v>
      </c>
    </row>
    <row r="89" customFormat="false" ht="12.75" hidden="false" customHeight="false" outlineLevel="0" collapsed="false">
      <c r="A89" s="0"/>
      <c r="S89" s="947" t="n">
        <v>39508</v>
      </c>
      <c r="T89" s="0" t="n">
        <v>3.58</v>
      </c>
      <c r="U89" s="0" t="n">
        <v>0.2225</v>
      </c>
      <c r="X89" s="0" t="n">
        <f aca="false">AB89-T89</f>
        <v>-3.58</v>
      </c>
      <c r="Y89" s="0" t="n">
        <f aca="false">AC89-U89</f>
        <v>-0.2225</v>
      </c>
    </row>
    <row r="90" customFormat="false" ht="12.75" hidden="false" customHeight="false" outlineLevel="0" collapsed="false">
      <c r="A90" s="0"/>
      <c r="S90" s="947" t="n">
        <v>39539</v>
      </c>
      <c r="T90" s="0" t="n">
        <v>3.382</v>
      </c>
      <c r="U90" s="0" t="n">
        <v>0.2225</v>
      </c>
      <c r="X90" s="0" t="n">
        <f aca="false">AB90-T90</f>
        <v>-3.382</v>
      </c>
      <c r="Y90" s="0" t="n">
        <f aca="false">AC90-U90</f>
        <v>-0.2225</v>
      </c>
    </row>
    <row r="91" customFormat="false" ht="12.75" hidden="false" customHeight="false" outlineLevel="0" collapsed="false">
      <c r="A91" s="0"/>
      <c r="S91" s="947" t="n">
        <v>39569</v>
      </c>
      <c r="T91" s="0" t="n">
        <v>3.378</v>
      </c>
      <c r="U91" s="0" t="n">
        <v>0.2225</v>
      </c>
      <c r="X91" s="0" t="n">
        <f aca="false">AB91-T91</f>
        <v>-3.378</v>
      </c>
      <c r="Y91" s="0" t="n">
        <f aca="false">AC91-U91</f>
        <v>-0.2225</v>
      </c>
    </row>
    <row r="92" customFormat="false" ht="12.75" hidden="false" customHeight="false" outlineLevel="0" collapsed="false">
      <c r="A92" s="0"/>
      <c r="S92" s="947" t="n">
        <v>39600</v>
      </c>
      <c r="T92" s="0" t="n">
        <v>3.41</v>
      </c>
      <c r="U92" s="0" t="n">
        <v>0.2225</v>
      </c>
      <c r="X92" s="0" t="n">
        <f aca="false">AB92-T92</f>
        <v>-3.41</v>
      </c>
      <c r="Y92" s="0" t="n">
        <f aca="false">AC92-U92</f>
        <v>-0.2225</v>
      </c>
    </row>
    <row r="93" customFormat="false" ht="12.75" hidden="false" customHeight="false" outlineLevel="0" collapsed="false">
      <c r="A93" s="0"/>
      <c r="S93" s="947" t="n">
        <v>39630</v>
      </c>
      <c r="T93" s="0" t="n">
        <v>3.46</v>
      </c>
      <c r="U93" s="0" t="n">
        <v>0.22</v>
      </c>
      <c r="X93" s="0" t="n">
        <f aca="false">AB93-T93</f>
        <v>-3.46</v>
      </c>
      <c r="Y93" s="0" t="n">
        <f aca="false">AC93-U93</f>
        <v>-0.22</v>
      </c>
    </row>
    <row r="94" customFormat="false" ht="12.75" hidden="false" customHeight="false" outlineLevel="0" collapsed="false">
      <c r="A94" s="0"/>
      <c r="S94" s="947" t="n">
        <v>39661</v>
      </c>
      <c r="T94" s="0" t="n">
        <v>3.494</v>
      </c>
      <c r="U94" s="0" t="n">
        <v>0.22</v>
      </c>
      <c r="X94" s="0" t="n">
        <f aca="false">AB94-T94</f>
        <v>-3.494</v>
      </c>
      <c r="Y94" s="0" t="n">
        <f aca="false">AC94-U94</f>
        <v>-0.22</v>
      </c>
    </row>
    <row r="95" customFormat="false" ht="12.75" hidden="false" customHeight="false" outlineLevel="0" collapsed="false">
      <c r="A95" s="0"/>
      <c r="S95" s="947" t="n">
        <v>39692</v>
      </c>
      <c r="T95" s="0" t="n">
        <v>3.507</v>
      </c>
      <c r="U95" s="0" t="n">
        <v>0.22</v>
      </c>
      <c r="X95" s="0" t="n">
        <f aca="false">AB95-T95</f>
        <v>-3.507</v>
      </c>
      <c r="Y95" s="0" t="n">
        <f aca="false">AC95-U95</f>
        <v>-0.22</v>
      </c>
    </row>
    <row r="96" customFormat="false" ht="12.75" hidden="false" customHeight="false" outlineLevel="0" collapsed="false">
      <c r="A96" s="0"/>
      <c r="S96" s="947" t="n">
        <v>39722</v>
      </c>
      <c r="T96" s="0" t="n">
        <v>3.506</v>
      </c>
      <c r="U96" s="0" t="n">
        <v>0.22</v>
      </c>
      <c r="X96" s="0" t="n">
        <f aca="false">AB96-T96</f>
        <v>-3.506</v>
      </c>
      <c r="Y96" s="0" t="n">
        <f aca="false">AC96-U96</f>
        <v>-0.22</v>
      </c>
    </row>
    <row r="97" customFormat="false" ht="12.75" hidden="false" customHeight="false" outlineLevel="0" collapsed="false">
      <c r="A97" s="0"/>
      <c r="S97" s="947" t="n">
        <v>39753</v>
      </c>
      <c r="T97" s="0" t="n">
        <v>3.661</v>
      </c>
      <c r="U97" s="0" t="n">
        <v>0.22</v>
      </c>
      <c r="X97" s="0" t="n">
        <f aca="false">AB97-T97</f>
        <v>-3.661</v>
      </c>
      <c r="Y97" s="0" t="n">
        <f aca="false">AC97-U97</f>
        <v>-0.22</v>
      </c>
    </row>
    <row r="98" customFormat="false" ht="12.75" hidden="false" customHeight="false" outlineLevel="0" collapsed="false">
      <c r="A98" s="0"/>
      <c r="S98" s="947" t="n">
        <v>39783</v>
      </c>
      <c r="T98" s="0" t="n">
        <v>3.826</v>
      </c>
      <c r="U98" s="0" t="n">
        <v>0.2225</v>
      </c>
      <c r="X98" s="0" t="n">
        <f aca="false">AB98-T98</f>
        <v>-3.826</v>
      </c>
      <c r="Y98" s="0" t="n">
        <f aca="false">AC98-U98</f>
        <v>-0.2225</v>
      </c>
    </row>
    <row r="99" customFormat="false" ht="12.75" hidden="false" customHeight="false" outlineLevel="0" collapsed="false">
      <c r="A99" s="0"/>
      <c r="S99" s="947" t="n">
        <v>39814</v>
      </c>
      <c r="T99" s="0" t="n">
        <v>3.901</v>
      </c>
      <c r="U99" s="0" t="n">
        <v>0.225</v>
      </c>
      <c r="X99" s="0" t="n">
        <f aca="false">AB99-T99</f>
        <v>-3.901</v>
      </c>
      <c r="Y99" s="0" t="n">
        <f aca="false">AC99-U99</f>
        <v>-0.225</v>
      </c>
    </row>
    <row r="100" customFormat="false" ht="12.75" hidden="false" customHeight="false" outlineLevel="0" collapsed="false">
      <c r="A100" s="0"/>
      <c r="S100" s="947" t="n">
        <v>39845</v>
      </c>
      <c r="T100" s="0" t="n">
        <v>3.787</v>
      </c>
      <c r="U100" s="0" t="n">
        <v>0.22</v>
      </c>
      <c r="X100" s="0" t="n">
        <f aca="false">AB100-T100</f>
        <v>-3.787</v>
      </c>
      <c r="Y100" s="0" t="n">
        <f aca="false">AC100-U100</f>
        <v>-0.22</v>
      </c>
    </row>
    <row r="101" customFormat="false" ht="12.75" hidden="false" customHeight="false" outlineLevel="0" collapsed="false">
      <c r="A101" s="0"/>
      <c r="S101" s="947" t="n">
        <v>39873</v>
      </c>
      <c r="T101" s="0" t="n">
        <v>3.655</v>
      </c>
      <c r="U101" s="0" t="n">
        <v>0.205</v>
      </c>
      <c r="X101" s="0" t="n">
        <f aca="false">AB101-T101</f>
        <v>-3.655</v>
      </c>
      <c r="Y101" s="0" t="n">
        <f aca="false">AC101-U101</f>
        <v>-0.205</v>
      </c>
    </row>
    <row r="102" customFormat="false" ht="12.75" hidden="false" customHeight="false" outlineLevel="0" collapsed="false">
      <c r="A102" s="0"/>
      <c r="S102" s="947" t="n">
        <v>39904</v>
      </c>
      <c r="T102" s="0" t="n">
        <v>3.457</v>
      </c>
      <c r="U102" s="0" t="n">
        <v>0.195</v>
      </c>
      <c r="X102" s="0" t="n">
        <f aca="false">AB102-T102</f>
        <v>-3.457</v>
      </c>
      <c r="Y102" s="0" t="n">
        <f aca="false">AC102-U102</f>
        <v>-0.195</v>
      </c>
    </row>
    <row r="103" customFormat="false" ht="12.75" hidden="false" customHeight="false" outlineLevel="0" collapsed="false">
      <c r="A103" s="0"/>
      <c r="S103" s="947" t="n">
        <v>39934</v>
      </c>
      <c r="T103" s="0" t="n">
        <v>3.453</v>
      </c>
      <c r="U103" s="0" t="n">
        <v>0.195</v>
      </c>
      <c r="X103" s="0" t="n">
        <f aca="false">AB103-T103</f>
        <v>-3.453</v>
      </c>
      <c r="Y103" s="0" t="n">
        <f aca="false">AC103-U103</f>
        <v>-0.195</v>
      </c>
    </row>
    <row r="104" customFormat="false" ht="12.75" hidden="false" customHeight="false" outlineLevel="0" collapsed="false">
      <c r="A104" s="0"/>
      <c r="S104" s="947" t="n">
        <v>39965</v>
      </c>
      <c r="T104" s="0" t="n">
        <v>3.485</v>
      </c>
      <c r="U104" s="0" t="n">
        <v>0.195</v>
      </c>
      <c r="X104" s="0" t="n">
        <f aca="false">AB104-T104</f>
        <v>-3.485</v>
      </c>
      <c r="Y104" s="0" t="n">
        <f aca="false">AC104-U104</f>
        <v>-0.195</v>
      </c>
    </row>
    <row r="105" customFormat="false" ht="12.75" hidden="false" customHeight="false" outlineLevel="0" collapsed="false">
      <c r="A105" s="0"/>
      <c r="S105" s="947" t="n">
        <v>39995</v>
      </c>
      <c r="T105" s="0" t="n">
        <v>3.535</v>
      </c>
      <c r="U105" s="0" t="n">
        <v>0.195</v>
      </c>
      <c r="X105" s="0" t="n">
        <f aca="false">AB105-T105</f>
        <v>-3.535</v>
      </c>
      <c r="Y105" s="0" t="n">
        <f aca="false">AC105-U105</f>
        <v>-0.195</v>
      </c>
    </row>
    <row r="106" customFormat="false" ht="12.75" hidden="false" customHeight="false" outlineLevel="0" collapsed="false">
      <c r="A106" s="0"/>
      <c r="S106" s="947" t="n">
        <v>40026</v>
      </c>
      <c r="T106" s="0" t="n">
        <v>3.569</v>
      </c>
      <c r="U106" s="0" t="n">
        <v>0.195</v>
      </c>
      <c r="X106" s="0" t="n">
        <f aca="false">AB106-T106</f>
        <v>-3.569</v>
      </c>
      <c r="Y106" s="0" t="n">
        <f aca="false">AC106-U106</f>
        <v>-0.195</v>
      </c>
    </row>
    <row r="107" customFormat="false" ht="12.75" hidden="false" customHeight="false" outlineLevel="0" collapsed="false">
      <c r="A107" s="0"/>
      <c r="S107" s="947" t="n">
        <v>40057</v>
      </c>
      <c r="T107" s="0" t="n">
        <v>3.582</v>
      </c>
      <c r="U107" s="0" t="n">
        <v>0.195</v>
      </c>
      <c r="X107" s="0" t="n">
        <f aca="false">AB107-T107</f>
        <v>-3.582</v>
      </c>
      <c r="Y107" s="0" t="n">
        <f aca="false">AC107-U107</f>
        <v>-0.195</v>
      </c>
    </row>
    <row r="108" customFormat="false" ht="12.75" hidden="false" customHeight="false" outlineLevel="0" collapsed="false">
      <c r="A108" s="0"/>
      <c r="S108" s="947" t="n">
        <v>40087</v>
      </c>
      <c r="T108" s="0" t="n">
        <v>3.581</v>
      </c>
      <c r="U108" s="0" t="n">
        <v>0.195</v>
      </c>
      <c r="X108" s="0" t="n">
        <f aca="false">AB108-T108</f>
        <v>-3.581</v>
      </c>
      <c r="Y108" s="0" t="n">
        <f aca="false">AC108-U108</f>
        <v>-0.195</v>
      </c>
    </row>
    <row r="109" customFormat="false" ht="12.75" hidden="false" customHeight="false" outlineLevel="0" collapsed="false">
      <c r="A109" s="0"/>
      <c r="S109" s="947" t="n">
        <v>40118</v>
      </c>
      <c r="T109" s="0" t="n">
        <v>3.736</v>
      </c>
      <c r="U109" s="0" t="n">
        <v>0.195</v>
      </c>
      <c r="X109" s="0" t="n">
        <f aca="false">AB109-T109</f>
        <v>-3.736</v>
      </c>
      <c r="Y109" s="0" t="n">
        <f aca="false">AC109-U109</f>
        <v>-0.195</v>
      </c>
    </row>
    <row r="110" customFormat="false" ht="12.75" hidden="false" customHeight="false" outlineLevel="0" collapsed="false">
      <c r="A110" s="0"/>
      <c r="S110" s="947" t="n">
        <v>40148</v>
      </c>
      <c r="T110" s="0" t="n">
        <v>3.901</v>
      </c>
      <c r="U110" s="0" t="n">
        <v>0.195</v>
      </c>
      <c r="X110" s="0" t="n">
        <f aca="false">AB110-T110</f>
        <v>-3.901</v>
      </c>
      <c r="Y110" s="0" t="n">
        <f aca="false">AC110-U110</f>
        <v>-0.195</v>
      </c>
    </row>
    <row r="111" customFormat="false" ht="12.75" hidden="false" customHeight="false" outlineLevel="0" collapsed="false">
      <c r="A111" s="0"/>
      <c r="S111" s="947" t="n">
        <v>40179</v>
      </c>
      <c r="T111" s="0" t="n">
        <v>3.981</v>
      </c>
      <c r="U111" s="0" t="n">
        <v>0.195</v>
      </c>
      <c r="X111" s="0" t="n">
        <f aca="false">AB111-T111</f>
        <v>-3.981</v>
      </c>
      <c r="Y111" s="0" t="n">
        <f aca="false">AC111-U111</f>
        <v>-0.195</v>
      </c>
    </row>
    <row r="112" customFormat="false" ht="12.75" hidden="false" customHeight="false" outlineLevel="0" collapsed="false">
      <c r="A112" s="0"/>
      <c r="S112" s="947" t="n">
        <v>40210</v>
      </c>
      <c r="T112" s="0" t="n">
        <v>3.867</v>
      </c>
      <c r="U112" s="0" t="n">
        <v>0.19</v>
      </c>
      <c r="X112" s="0" t="n">
        <f aca="false">AB112-T112</f>
        <v>-3.867</v>
      </c>
      <c r="Y112" s="0" t="n">
        <f aca="false">AC112-U112</f>
        <v>-0.19</v>
      </c>
    </row>
    <row r="113" customFormat="false" ht="12.75" hidden="false" customHeight="false" outlineLevel="0" collapsed="false">
      <c r="A113" s="0"/>
      <c r="S113" s="947" t="n">
        <v>40238</v>
      </c>
      <c r="T113" s="0" t="n">
        <v>3.735</v>
      </c>
      <c r="U113" s="0" t="n">
        <v>0.1875</v>
      </c>
      <c r="X113" s="0" t="n">
        <f aca="false">AB113-T113</f>
        <v>-3.735</v>
      </c>
      <c r="Y113" s="0" t="n">
        <f aca="false">AC113-U113</f>
        <v>-0.1875</v>
      </c>
    </row>
    <row r="114" customFormat="false" ht="12.75" hidden="false" customHeight="false" outlineLevel="0" collapsed="false">
      <c r="A114" s="0"/>
      <c r="S114" s="947" t="n">
        <v>40269</v>
      </c>
      <c r="T114" s="0" t="n">
        <v>3.537</v>
      </c>
      <c r="U114" s="0" t="n">
        <v>0.185</v>
      </c>
      <c r="X114" s="0" t="n">
        <f aca="false">AB114-T114</f>
        <v>-3.537</v>
      </c>
      <c r="Y114" s="0" t="n">
        <f aca="false">AC114-U114</f>
        <v>-0.185</v>
      </c>
    </row>
    <row r="115" customFormat="false" ht="12.75" hidden="false" customHeight="false" outlineLevel="0" collapsed="false">
      <c r="A115" s="0"/>
      <c r="S115" s="947" t="n">
        <v>40299</v>
      </c>
      <c r="T115" s="0" t="n">
        <v>3.533</v>
      </c>
      <c r="U115" s="0" t="n">
        <v>0.185</v>
      </c>
      <c r="X115" s="0" t="n">
        <f aca="false">AB115-T115</f>
        <v>-3.533</v>
      </c>
      <c r="Y115" s="0" t="n">
        <f aca="false">AC115-U115</f>
        <v>-0.185</v>
      </c>
    </row>
    <row r="116" customFormat="false" ht="12.75" hidden="false" customHeight="false" outlineLevel="0" collapsed="false">
      <c r="A116" s="0"/>
      <c r="S116" s="947" t="n">
        <v>40330</v>
      </c>
      <c r="T116" s="0" t="n">
        <v>3.565</v>
      </c>
      <c r="U116" s="0" t="n">
        <v>0.185</v>
      </c>
      <c r="X116" s="0" t="n">
        <f aca="false">AB116-T116</f>
        <v>-3.565</v>
      </c>
      <c r="Y116" s="0" t="n">
        <f aca="false">AC116-U116</f>
        <v>-0.185</v>
      </c>
    </row>
    <row r="117" customFormat="false" ht="12.75" hidden="false" customHeight="false" outlineLevel="0" collapsed="false">
      <c r="A117" s="0"/>
      <c r="S117" s="947" t="n">
        <v>40360</v>
      </c>
      <c r="T117" s="0" t="n">
        <v>3.615</v>
      </c>
      <c r="U117" s="0" t="n">
        <v>0.185</v>
      </c>
      <c r="X117" s="0" t="n">
        <f aca="false">AB117-T117</f>
        <v>-3.615</v>
      </c>
      <c r="Y117" s="0" t="n">
        <f aca="false">AC117-U117</f>
        <v>-0.185</v>
      </c>
    </row>
    <row r="118" customFormat="false" ht="12.75" hidden="false" customHeight="false" outlineLevel="0" collapsed="false">
      <c r="A118" s="0"/>
      <c r="S118" s="947" t="n">
        <v>40391</v>
      </c>
      <c r="T118" s="0" t="n">
        <v>3.649</v>
      </c>
      <c r="U118" s="0" t="n">
        <v>0.185</v>
      </c>
      <c r="X118" s="0" t="n">
        <f aca="false">AB118-T118</f>
        <v>-3.649</v>
      </c>
      <c r="Y118" s="0" t="n">
        <f aca="false">AC118-U118</f>
        <v>-0.185</v>
      </c>
    </row>
    <row r="119" customFormat="false" ht="12.75" hidden="false" customHeight="false" outlineLevel="0" collapsed="false">
      <c r="A119" s="0"/>
      <c r="S119" s="947" t="n">
        <v>40422</v>
      </c>
      <c r="T119" s="0" t="n">
        <v>3.662</v>
      </c>
      <c r="U119" s="0" t="n">
        <v>0.185</v>
      </c>
      <c r="X119" s="0" t="n">
        <f aca="false">AB119-T119</f>
        <v>-3.662</v>
      </c>
      <c r="Y119" s="0" t="n">
        <f aca="false">AC119-U119</f>
        <v>-0.185</v>
      </c>
    </row>
    <row r="120" customFormat="false" ht="12.75" hidden="false" customHeight="false" outlineLevel="0" collapsed="false">
      <c r="A120" s="0"/>
      <c r="S120" s="947" t="n">
        <v>40452</v>
      </c>
      <c r="T120" s="0" t="n">
        <v>3.661</v>
      </c>
      <c r="U120" s="0" t="n">
        <v>0.185</v>
      </c>
      <c r="X120" s="0" t="n">
        <f aca="false">AB120-T120</f>
        <v>-3.661</v>
      </c>
      <c r="Y120" s="0" t="n">
        <f aca="false">AC120-U120</f>
        <v>-0.185</v>
      </c>
    </row>
    <row r="121" customFormat="false" ht="12.75" hidden="false" customHeight="false" outlineLevel="0" collapsed="false">
      <c r="A121" s="0"/>
      <c r="S121" s="947" t="n">
        <v>40483</v>
      </c>
      <c r="T121" s="0" t="n">
        <v>3.816</v>
      </c>
      <c r="U121" s="0" t="n">
        <v>0.185</v>
      </c>
      <c r="X121" s="0" t="n">
        <f aca="false">AB121-T121</f>
        <v>-3.816</v>
      </c>
      <c r="Y121" s="0" t="n">
        <f aca="false">AC121-U121</f>
        <v>-0.185</v>
      </c>
    </row>
    <row r="122" customFormat="false" ht="12.75" hidden="false" customHeight="false" outlineLevel="0" collapsed="false">
      <c r="A122" s="0"/>
      <c r="S122" s="947" t="n">
        <v>40513</v>
      </c>
      <c r="T122" s="0" t="n">
        <v>3.981</v>
      </c>
      <c r="U122" s="0" t="n">
        <v>0.185</v>
      </c>
      <c r="X122" s="0" t="n">
        <f aca="false">AB122-T122</f>
        <v>-3.981</v>
      </c>
      <c r="Y122" s="0" t="n">
        <f aca="false">AC122-U122</f>
        <v>-0.185</v>
      </c>
    </row>
    <row r="123" customFormat="false" ht="12.75" hidden="false" customHeight="false" outlineLevel="0" collapsed="false">
      <c r="A123" s="0"/>
      <c r="S123" s="947" t="n">
        <v>40544</v>
      </c>
      <c r="T123" s="0" t="n">
        <v>4.0635</v>
      </c>
      <c r="U123" s="0" t="n">
        <v>0.185</v>
      </c>
      <c r="X123" s="0" t="n">
        <f aca="false">AB123-T123</f>
        <v>-4.0635</v>
      </c>
      <c r="Y123" s="0" t="n">
        <f aca="false">AC123-U123</f>
        <v>-0.185</v>
      </c>
    </row>
    <row r="124" customFormat="false" ht="12.75" hidden="false" customHeight="false" outlineLevel="0" collapsed="false">
      <c r="A124" s="0"/>
      <c r="S124" s="947" t="n">
        <v>40575</v>
      </c>
      <c r="T124" s="0" t="n">
        <v>3.9495</v>
      </c>
      <c r="U124" s="0" t="n">
        <v>0.185</v>
      </c>
      <c r="X124" s="0" t="n">
        <f aca="false">AB124-T124</f>
        <v>-3.9495</v>
      </c>
      <c r="Y124" s="0" t="n">
        <f aca="false">AC124-U124</f>
        <v>-0.185</v>
      </c>
    </row>
    <row r="125" customFormat="false" ht="12.75" hidden="false" customHeight="false" outlineLevel="0" collapsed="false">
      <c r="A125" s="0"/>
      <c r="S125" s="947" t="n">
        <v>40603</v>
      </c>
      <c r="T125" s="0" t="n">
        <v>3.8175</v>
      </c>
      <c r="U125" s="0" t="n">
        <v>0.18</v>
      </c>
      <c r="X125" s="0" t="n">
        <f aca="false">AB125-T125</f>
        <v>-3.8175</v>
      </c>
      <c r="Y125" s="0" t="n">
        <f aca="false">AC125-U125</f>
        <v>-0.18</v>
      </c>
    </row>
    <row r="126" customFormat="false" ht="12.75" hidden="false" customHeight="false" outlineLevel="0" collapsed="false">
      <c r="A126" s="0"/>
      <c r="S126" s="947" t="n">
        <v>40634</v>
      </c>
      <c r="T126" s="0" t="n">
        <v>3.6195</v>
      </c>
      <c r="U126" s="0" t="n">
        <v>0.18</v>
      </c>
      <c r="X126" s="0" t="n">
        <f aca="false">AB126-T126</f>
        <v>-3.6195</v>
      </c>
      <c r="Y126" s="0" t="n">
        <f aca="false">AC126-U126</f>
        <v>-0.18</v>
      </c>
    </row>
    <row r="127" customFormat="false" ht="12.75" hidden="false" customHeight="false" outlineLevel="0" collapsed="false">
      <c r="A127" s="0"/>
      <c r="S127" s="947" t="n">
        <v>40664</v>
      </c>
      <c r="T127" s="0" t="n">
        <v>3.6155</v>
      </c>
      <c r="U127" s="0" t="n">
        <v>0.18</v>
      </c>
      <c r="X127" s="0" t="n">
        <f aca="false">AB127-T127</f>
        <v>-3.6155</v>
      </c>
      <c r="Y127" s="0" t="n">
        <f aca="false">AC127-U127</f>
        <v>-0.18</v>
      </c>
    </row>
    <row r="128" customFormat="false" ht="12.75" hidden="false" customHeight="false" outlineLevel="0" collapsed="false">
      <c r="A128" s="0"/>
      <c r="S128" s="947" t="n">
        <v>40695</v>
      </c>
      <c r="T128" s="0" t="n">
        <v>3.6475</v>
      </c>
      <c r="U128" s="0" t="n">
        <v>0.18</v>
      </c>
      <c r="X128" s="0" t="n">
        <f aca="false">AB128-T128</f>
        <v>-3.6475</v>
      </c>
      <c r="Y128" s="0" t="n">
        <f aca="false">AC128-U128</f>
        <v>-0.18</v>
      </c>
    </row>
    <row r="129" customFormat="false" ht="12.75" hidden="false" customHeight="false" outlineLevel="0" collapsed="false">
      <c r="A129" s="0"/>
      <c r="S129" s="947" t="n">
        <v>40725</v>
      </c>
      <c r="T129" s="0" t="n">
        <v>3.6975</v>
      </c>
      <c r="U129" s="0" t="n">
        <v>0.18</v>
      </c>
      <c r="X129" s="0" t="n">
        <f aca="false">AB129-T129</f>
        <v>-3.6975</v>
      </c>
      <c r="Y129" s="0" t="n">
        <f aca="false">AC129-U129</f>
        <v>-0.18</v>
      </c>
    </row>
    <row r="130" customFormat="false" ht="12.75" hidden="false" customHeight="false" outlineLevel="0" collapsed="false">
      <c r="A130" s="0"/>
      <c r="S130" s="947" t="n">
        <v>40756</v>
      </c>
      <c r="T130" s="0" t="n">
        <v>3.7315</v>
      </c>
      <c r="U130" s="0" t="n">
        <v>0.18</v>
      </c>
      <c r="X130" s="0" t="n">
        <f aca="false">AB130-T130</f>
        <v>-3.7315</v>
      </c>
      <c r="Y130" s="0" t="n">
        <f aca="false">AC130-U130</f>
        <v>-0.18</v>
      </c>
    </row>
    <row r="131" customFormat="false" ht="12.75" hidden="false" customHeight="false" outlineLevel="0" collapsed="false">
      <c r="A131" s="0"/>
      <c r="S131" s="947" t="n">
        <v>40787</v>
      </c>
      <c r="T131" s="0" t="n">
        <v>3.7445</v>
      </c>
      <c r="U131" s="0" t="n">
        <v>0.18</v>
      </c>
      <c r="X131" s="0" t="n">
        <f aca="false">AB131-T131</f>
        <v>-3.7445</v>
      </c>
      <c r="Y131" s="0" t="n">
        <f aca="false">AC131-U131</f>
        <v>-0.18</v>
      </c>
    </row>
    <row r="132" customFormat="false" ht="12.75" hidden="false" customHeight="false" outlineLevel="0" collapsed="false">
      <c r="A132" s="0"/>
      <c r="S132" s="947" t="n">
        <v>40817</v>
      </c>
      <c r="T132" s="0" t="n">
        <v>3.7435</v>
      </c>
      <c r="U132" s="0" t="n">
        <v>0.18</v>
      </c>
      <c r="X132" s="0" t="n">
        <f aca="false">AB132-T132</f>
        <v>-3.7435</v>
      </c>
      <c r="Y132" s="0" t="n">
        <f aca="false">AC132-U132</f>
        <v>-0.18</v>
      </c>
    </row>
    <row r="133" customFormat="false" ht="12.75" hidden="false" customHeight="false" outlineLevel="0" collapsed="false">
      <c r="A133" s="0"/>
      <c r="S133" s="947" t="n">
        <v>40848</v>
      </c>
      <c r="T133" s="0" t="n">
        <v>3.8985</v>
      </c>
      <c r="U133" s="0" t="n">
        <v>0.18</v>
      </c>
      <c r="X133" s="0" t="n">
        <f aca="false">AB133-T133</f>
        <v>-3.8985</v>
      </c>
      <c r="Y133" s="0" t="n">
        <f aca="false">AC133-U133</f>
        <v>-0.18</v>
      </c>
    </row>
    <row r="134" customFormat="false" ht="12.75" hidden="false" customHeight="false" outlineLevel="0" collapsed="false">
      <c r="A134" s="0"/>
      <c r="S134" s="947" t="n">
        <v>40878</v>
      </c>
      <c r="T134" s="0" t="n">
        <v>4.0635</v>
      </c>
      <c r="U134" s="0" t="n">
        <v>0.18</v>
      </c>
      <c r="X134" s="0" t="n">
        <f aca="false">AB134-T134</f>
        <v>-4.0635</v>
      </c>
      <c r="Y134" s="0" t="n">
        <f aca="false">AC134-U134</f>
        <v>-0.18</v>
      </c>
    </row>
    <row r="135" customFormat="false" ht="12.75" hidden="false" customHeight="false" outlineLevel="0" collapsed="false">
      <c r="A135" s="0"/>
      <c r="S135" s="947" t="n">
        <v>40909</v>
      </c>
      <c r="T135" s="0" t="n">
        <v>4.1485</v>
      </c>
      <c r="U135" s="0" t="n">
        <v>0.18</v>
      </c>
      <c r="X135" s="0" t="n">
        <f aca="false">AB135-T135</f>
        <v>-4.1485</v>
      </c>
      <c r="Y135" s="0" t="n">
        <f aca="false">AC135-U135</f>
        <v>-0.18</v>
      </c>
    </row>
    <row r="136" customFormat="false" ht="12.75" hidden="false" customHeight="false" outlineLevel="0" collapsed="false">
      <c r="A136" s="0"/>
      <c r="S136" s="947" t="n">
        <v>40940</v>
      </c>
      <c r="T136" s="0" t="n">
        <v>4.0345</v>
      </c>
      <c r="U136" s="0" t="n">
        <v>0.175</v>
      </c>
      <c r="X136" s="0" t="n">
        <f aca="false">AB136-T136</f>
        <v>-4.0345</v>
      </c>
      <c r="Y136" s="0" t="n">
        <f aca="false">AC136-U136</f>
        <v>-0.175</v>
      </c>
    </row>
    <row r="137" customFormat="false" ht="12.75" hidden="false" customHeight="false" outlineLevel="0" collapsed="false">
      <c r="A137" s="0"/>
      <c r="S137" s="947" t="n">
        <v>40969</v>
      </c>
      <c r="T137" s="0" t="n">
        <v>3.9025</v>
      </c>
      <c r="U137" s="0" t="n">
        <v>0.17</v>
      </c>
      <c r="X137" s="0" t="n">
        <f aca="false">AB137-T137</f>
        <v>-3.9025</v>
      </c>
      <c r="Y137" s="0" t="n">
        <f aca="false">AC137-U137</f>
        <v>-0.17</v>
      </c>
    </row>
    <row r="138" customFormat="false" ht="12.75" hidden="false" customHeight="false" outlineLevel="0" collapsed="false">
      <c r="A138" s="0"/>
      <c r="S138" s="947" t="n">
        <v>41000</v>
      </c>
      <c r="T138" s="0" t="n">
        <v>3.7045</v>
      </c>
      <c r="U138" s="0" t="n">
        <v>0.17</v>
      </c>
      <c r="X138" s="0" t="n">
        <f aca="false">AB138-T138</f>
        <v>-3.7045</v>
      </c>
      <c r="Y138" s="0" t="n">
        <f aca="false">AC138-U138</f>
        <v>-0.17</v>
      </c>
    </row>
    <row r="139" customFormat="false" ht="12.75" hidden="false" customHeight="false" outlineLevel="0" collapsed="false">
      <c r="A139" s="0"/>
      <c r="S139" s="947" t="n">
        <v>41030</v>
      </c>
      <c r="T139" s="0" t="n">
        <v>3.7005</v>
      </c>
      <c r="U139" s="0" t="n">
        <v>0.17</v>
      </c>
      <c r="X139" s="0" t="n">
        <f aca="false">AB139-T139</f>
        <v>-3.7005</v>
      </c>
      <c r="Y139" s="0" t="n">
        <f aca="false">AC139-U139</f>
        <v>-0.17</v>
      </c>
    </row>
    <row r="140" customFormat="false" ht="12.75" hidden="false" customHeight="false" outlineLevel="0" collapsed="false">
      <c r="A140" s="0"/>
      <c r="S140" s="947" t="n">
        <v>41061</v>
      </c>
      <c r="T140" s="0" t="n">
        <v>3.7325</v>
      </c>
      <c r="U140" s="0" t="n">
        <v>0.17</v>
      </c>
      <c r="X140" s="0" t="n">
        <f aca="false">AB140-T140</f>
        <v>-3.7325</v>
      </c>
      <c r="Y140" s="0" t="n">
        <f aca="false">AC140-U140</f>
        <v>-0.17</v>
      </c>
    </row>
    <row r="141" customFormat="false" ht="12.75" hidden="false" customHeight="false" outlineLevel="0" collapsed="false">
      <c r="A141" s="0"/>
      <c r="S141" s="947" t="n">
        <v>41091</v>
      </c>
      <c r="T141" s="0" t="n">
        <v>3.7825</v>
      </c>
      <c r="U141" s="0" t="n">
        <v>0.17</v>
      </c>
      <c r="X141" s="0" t="n">
        <f aca="false">AB141-T141</f>
        <v>-3.7825</v>
      </c>
      <c r="Y141" s="0" t="n">
        <f aca="false">AC141-U141</f>
        <v>-0.17</v>
      </c>
    </row>
    <row r="142" customFormat="false" ht="12.75" hidden="false" customHeight="false" outlineLevel="0" collapsed="false">
      <c r="A142" s="0"/>
      <c r="S142" s="947" t="n">
        <v>41122</v>
      </c>
      <c r="T142" s="0" t="n">
        <v>3.8165</v>
      </c>
      <c r="U142" s="0" t="n">
        <v>0.17</v>
      </c>
      <c r="X142" s="0" t="n">
        <f aca="false">AB142-T142</f>
        <v>-3.8165</v>
      </c>
      <c r="Y142" s="0" t="n">
        <f aca="false">AC142-U142</f>
        <v>-0.17</v>
      </c>
    </row>
    <row r="143" customFormat="false" ht="12.75" hidden="false" customHeight="false" outlineLevel="0" collapsed="false">
      <c r="A143" s="0"/>
      <c r="S143" s="947" t="n">
        <v>41153</v>
      </c>
      <c r="T143" s="0" t="n">
        <v>3.8295</v>
      </c>
      <c r="U143" s="0" t="n">
        <v>0.17</v>
      </c>
      <c r="X143" s="0" t="n">
        <f aca="false">AB143-T143</f>
        <v>-3.8295</v>
      </c>
      <c r="Y143" s="0" t="n">
        <f aca="false">AC143-U143</f>
        <v>-0.17</v>
      </c>
    </row>
    <row r="144" customFormat="false" ht="12.75" hidden="false" customHeight="false" outlineLevel="0" collapsed="false">
      <c r="A144" s="0"/>
      <c r="S144" s="947" t="n">
        <v>41183</v>
      </c>
      <c r="T144" s="0" t="n">
        <v>3.8285</v>
      </c>
      <c r="U144" s="0" t="n">
        <v>0.17</v>
      </c>
      <c r="X144" s="0" t="n">
        <f aca="false">AB144-T144</f>
        <v>-3.8285</v>
      </c>
      <c r="Y144" s="0" t="n">
        <f aca="false">AC144-U144</f>
        <v>-0.17</v>
      </c>
    </row>
    <row r="145" customFormat="false" ht="12.75" hidden="false" customHeight="false" outlineLevel="0" collapsed="false">
      <c r="A145" s="0"/>
      <c r="S145" s="947" t="n">
        <v>41214</v>
      </c>
      <c r="T145" s="0" t="n">
        <v>3.9835</v>
      </c>
      <c r="U145" s="0" t="n">
        <v>0.17</v>
      </c>
      <c r="X145" s="0" t="n">
        <f aca="false">AB145-T145</f>
        <v>-3.9835</v>
      </c>
      <c r="Y145" s="0" t="n">
        <f aca="false">AC145-U145</f>
        <v>-0.17</v>
      </c>
    </row>
    <row r="146" customFormat="false" ht="12.75" hidden="false" customHeight="false" outlineLevel="0" collapsed="false">
      <c r="A146" s="0"/>
      <c r="S146" s="947" t="n">
        <v>41244</v>
      </c>
      <c r="T146" s="0" t="n">
        <v>4.1485</v>
      </c>
      <c r="U146" s="0" t="n">
        <v>0.17</v>
      </c>
      <c r="X146" s="0" t="n">
        <f aca="false">AB146-T146</f>
        <v>-4.1485</v>
      </c>
      <c r="Y146" s="0" t="n">
        <f aca="false">AC146-U146</f>
        <v>-0.17</v>
      </c>
    </row>
    <row r="147" customFormat="false" ht="12.75" hidden="false" customHeight="false" outlineLevel="0" collapsed="false">
      <c r="A147" s="0"/>
      <c r="S147" s="947" t="n">
        <v>41275</v>
      </c>
      <c r="T147" s="0" t="n">
        <v>4.236</v>
      </c>
      <c r="U147" s="0" t="n">
        <v>0.17</v>
      </c>
      <c r="X147" s="0" t="n">
        <f aca="false">AB147-T147</f>
        <v>-4.236</v>
      </c>
      <c r="Y147" s="0" t="n">
        <f aca="false">AC147-U147</f>
        <v>-0.17</v>
      </c>
    </row>
    <row r="148" customFormat="false" ht="12.75" hidden="false" customHeight="false" outlineLevel="0" collapsed="false">
      <c r="A148" s="0"/>
      <c r="S148" s="947" t="n">
        <v>41306</v>
      </c>
      <c r="T148" s="0" t="n">
        <v>4.122</v>
      </c>
      <c r="U148" s="0" t="n">
        <v>0.17</v>
      </c>
      <c r="X148" s="0" t="n">
        <f aca="false">AB148-T148</f>
        <v>-4.122</v>
      </c>
      <c r="Y148" s="0" t="n">
        <f aca="false">AC148-U148</f>
        <v>-0.17</v>
      </c>
    </row>
    <row r="149" customFormat="false" ht="12.75" hidden="false" customHeight="false" outlineLevel="0" collapsed="false">
      <c r="A149" s="0"/>
      <c r="S149" s="947" t="n">
        <v>41334</v>
      </c>
      <c r="T149" s="0" t="n">
        <v>3.99</v>
      </c>
      <c r="U149" s="0" t="n">
        <v>0.17</v>
      </c>
      <c r="X149" s="0" t="n">
        <f aca="false">AB149-T149</f>
        <v>-3.99</v>
      </c>
      <c r="Y149" s="0" t="n">
        <f aca="false">AC149-U149</f>
        <v>-0.17</v>
      </c>
    </row>
    <row r="150" customFormat="false" ht="12.75" hidden="false" customHeight="false" outlineLevel="0" collapsed="false">
      <c r="A150" s="0"/>
      <c r="S150" s="947" t="n">
        <v>41365</v>
      </c>
      <c r="T150" s="0" t="n">
        <v>3.792</v>
      </c>
      <c r="U150" s="0" t="n">
        <v>0.17</v>
      </c>
      <c r="X150" s="0" t="n">
        <f aca="false">AB150-T150</f>
        <v>-3.792</v>
      </c>
      <c r="Y150" s="0" t="n">
        <f aca="false">AC150-U150</f>
        <v>-0.17</v>
      </c>
    </row>
    <row r="151" customFormat="false" ht="12.75" hidden="false" customHeight="false" outlineLevel="0" collapsed="false">
      <c r="A151" s="0"/>
      <c r="S151" s="947" t="n">
        <v>41395</v>
      </c>
      <c r="T151" s="0" t="n">
        <v>3.788</v>
      </c>
      <c r="U151" s="0" t="n">
        <v>0.17</v>
      </c>
      <c r="X151" s="0" t="n">
        <f aca="false">AB151-T151</f>
        <v>-3.788</v>
      </c>
      <c r="Y151" s="0" t="n">
        <f aca="false">AC151-U151</f>
        <v>-0.17</v>
      </c>
    </row>
    <row r="152" customFormat="false" ht="12.75" hidden="false" customHeight="false" outlineLevel="0" collapsed="false">
      <c r="A152" s="0"/>
      <c r="S152" s="947" t="n">
        <v>41426</v>
      </c>
      <c r="T152" s="0" t="n">
        <v>3.82</v>
      </c>
      <c r="U152" s="0" t="n">
        <v>0.17</v>
      </c>
      <c r="X152" s="0" t="n">
        <f aca="false">AB152-T152</f>
        <v>-3.82</v>
      </c>
      <c r="Y152" s="0" t="n">
        <f aca="false">AC152-U152</f>
        <v>-0.17</v>
      </c>
    </row>
    <row r="153" customFormat="false" ht="12.75" hidden="false" customHeight="false" outlineLevel="0" collapsed="false">
      <c r="A153" s="0"/>
      <c r="S153" s="947" t="n">
        <v>41456</v>
      </c>
      <c r="T153" s="0" t="n">
        <v>3.87</v>
      </c>
      <c r="U153" s="0" t="n">
        <v>0.17</v>
      </c>
      <c r="X153" s="0" t="n">
        <f aca="false">AB153-T153</f>
        <v>-3.87</v>
      </c>
      <c r="Y153" s="0" t="n">
        <f aca="false">AC153-U153</f>
        <v>-0.17</v>
      </c>
    </row>
    <row r="154" customFormat="false" ht="12.75" hidden="false" customHeight="false" outlineLevel="0" collapsed="false">
      <c r="A154" s="0"/>
      <c r="S154" s="947" t="n">
        <v>41487</v>
      </c>
      <c r="T154" s="0" t="n">
        <v>3.904</v>
      </c>
      <c r="U154" s="0" t="n">
        <v>0.17</v>
      </c>
      <c r="X154" s="0" t="n">
        <f aca="false">AB154-T154</f>
        <v>-3.904</v>
      </c>
      <c r="Y154" s="0" t="n">
        <f aca="false">AC154-U154</f>
        <v>-0.17</v>
      </c>
    </row>
    <row r="155" customFormat="false" ht="12.75" hidden="false" customHeight="false" outlineLevel="0" collapsed="false">
      <c r="A155" s="0"/>
      <c r="S155" s="947" t="n">
        <v>41518</v>
      </c>
      <c r="T155" s="0" t="n">
        <v>3.917</v>
      </c>
      <c r="U155" s="0" t="n">
        <v>0.17</v>
      </c>
      <c r="X155" s="0" t="n">
        <f aca="false">AB155-T155</f>
        <v>-3.917</v>
      </c>
      <c r="Y155" s="0" t="n">
        <f aca="false">AC155-U155</f>
        <v>-0.17</v>
      </c>
    </row>
    <row r="156" customFormat="false" ht="12.75" hidden="false" customHeight="false" outlineLevel="0" collapsed="false">
      <c r="A156" s="0"/>
      <c r="S156" s="947" t="n">
        <v>41548</v>
      </c>
      <c r="T156" s="0" t="n">
        <v>3.916</v>
      </c>
      <c r="U156" s="0" t="n">
        <v>0.17</v>
      </c>
      <c r="X156" s="0" t="n">
        <f aca="false">AB156-T156</f>
        <v>-3.916</v>
      </c>
      <c r="Y156" s="0" t="n">
        <f aca="false">AC156-U156</f>
        <v>-0.17</v>
      </c>
    </row>
    <row r="157" customFormat="false" ht="12.75" hidden="false" customHeight="false" outlineLevel="0" collapsed="false">
      <c r="A157" s="0"/>
      <c r="S157" s="947" t="n">
        <v>41579</v>
      </c>
      <c r="T157" s="0" t="n">
        <v>4.071</v>
      </c>
      <c r="U157" s="0" t="n">
        <v>0.17</v>
      </c>
      <c r="X157" s="0" t="n">
        <f aca="false">AB157-T157</f>
        <v>-4.071</v>
      </c>
      <c r="Y157" s="0" t="n">
        <f aca="false">AC157-U157</f>
        <v>-0.17</v>
      </c>
    </row>
    <row r="158" customFormat="false" ht="12.75" hidden="false" customHeight="false" outlineLevel="0" collapsed="false">
      <c r="A158" s="0"/>
      <c r="S158" s="947" t="n">
        <v>41609</v>
      </c>
      <c r="T158" s="0" t="n">
        <v>4.236</v>
      </c>
      <c r="U158" s="0" t="n">
        <v>0.17</v>
      </c>
      <c r="X158" s="0" t="n">
        <f aca="false">AB158-T158</f>
        <v>-4.236</v>
      </c>
      <c r="Y158" s="0" t="n">
        <f aca="false">AC158-U158</f>
        <v>-0.17</v>
      </c>
    </row>
    <row r="159" customFormat="false" ht="12.75" hidden="false" customHeight="false" outlineLevel="0" collapsed="false">
      <c r="A159" s="0"/>
      <c r="S159" s="947" t="n">
        <v>41640</v>
      </c>
      <c r="T159" s="0" t="n">
        <v>4.326</v>
      </c>
      <c r="U159" s="0" t="n">
        <v>0.17</v>
      </c>
      <c r="X159" s="0" t="n">
        <f aca="false">AB159-T159</f>
        <v>-4.326</v>
      </c>
      <c r="Y159" s="0" t="n">
        <f aca="false">AC159-U159</f>
        <v>-0.17</v>
      </c>
    </row>
    <row r="160" customFormat="false" ht="12.75" hidden="false" customHeight="false" outlineLevel="0" collapsed="false">
      <c r="A160" s="0"/>
      <c r="S160" s="947" t="n">
        <v>41671</v>
      </c>
      <c r="T160" s="0" t="n">
        <v>4.212</v>
      </c>
      <c r="U160" s="0" t="n">
        <v>0.17</v>
      </c>
      <c r="X160" s="0" t="n">
        <f aca="false">AB160-T160</f>
        <v>-4.212</v>
      </c>
      <c r="Y160" s="0" t="n">
        <f aca="false">AC160-U160</f>
        <v>-0.17</v>
      </c>
    </row>
    <row r="161" customFormat="false" ht="12.75" hidden="false" customHeight="false" outlineLevel="0" collapsed="false">
      <c r="A161" s="0"/>
      <c r="S161" s="947" t="n">
        <v>41699</v>
      </c>
      <c r="T161" s="0" t="n">
        <v>4.08</v>
      </c>
      <c r="U161" s="0" t="n">
        <v>0.17</v>
      </c>
      <c r="X161" s="0" t="n">
        <f aca="false">AB161-T161</f>
        <v>-4.08</v>
      </c>
      <c r="Y161" s="0" t="n">
        <f aca="false">AC161-U161</f>
        <v>-0.17</v>
      </c>
    </row>
    <row r="162" customFormat="false" ht="12.75" hidden="false" customHeight="false" outlineLevel="0" collapsed="false">
      <c r="A162" s="0"/>
      <c r="S162" s="947" t="n">
        <v>41730</v>
      </c>
      <c r="T162" s="0" t="n">
        <v>3.882</v>
      </c>
      <c r="U162" s="0" t="n">
        <v>0.17</v>
      </c>
      <c r="X162" s="0" t="n">
        <f aca="false">AB162-T162</f>
        <v>-3.882</v>
      </c>
      <c r="Y162" s="0" t="n">
        <f aca="false">AC162-U162</f>
        <v>-0.17</v>
      </c>
    </row>
    <row r="163" customFormat="false" ht="12.75" hidden="false" customHeight="false" outlineLevel="0" collapsed="false">
      <c r="A163" s="0"/>
      <c r="S163" s="947" t="n">
        <v>41760</v>
      </c>
      <c r="T163" s="0" t="n">
        <v>3.878</v>
      </c>
      <c r="U163" s="0" t="n">
        <v>0.17</v>
      </c>
      <c r="X163" s="0" t="n">
        <f aca="false">AB163-T163</f>
        <v>-3.878</v>
      </c>
      <c r="Y163" s="0" t="n">
        <f aca="false">AC163-U163</f>
        <v>-0.17</v>
      </c>
    </row>
    <row r="164" customFormat="false" ht="12.75" hidden="false" customHeight="false" outlineLevel="0" collapsed="false">
      <c r="A164" s="0"/>
      <c r="S164" s="947" t="n">
        <v>41791</v>
      </c>
      <c r="T164" s="0" t="n">
        <v>3.91</v>
      </c>
      <c r="U164" s="0" t="n">
        <v>0.17</v>
      </c>
      <c r="X164" s="0" t="n">
        <f aca="false">AB164-T164</f>
        <v>-3.91</v>
      </c>
      <c r="Y164" s="0" t="n">
        <f aca="false">AC164-U164</f>
        <v>-0.17</v>
      </c>
    </row>
    <row r="165" customFormat="false" ht="12.75" hidden="false" customHeight="false" outlineLevel="0" collapsed="false">
      <c r="A165" s="0"/>
      <c r="S165" s="947" t="n">
        <v>41821</v>
      </c>
      <c r="T165" s="0" t="n">
        <v>3.96</v>
      </c>
      <c r="U165" s="0" t="n">
        <v>0.17</v>
      </c>
      <c r="X165" s="0" t="n">
        <f aca="false">AB165-T165</f>
        <v>-3.96</v>
      </c>
      <c r="Y165" s="0" t="n">
        <f aca="false">AC165-U165</f>
        <v>-0.17</v>
      </c>
    </row>
    <row r="166" customFormat="false" ht="12.75" hidden="false" customHeight="false" outlineLevel="0" collapsed="false">
      <c r="A166" s="0"/>
      <c r="S166" s="947" t="n">
        <v>41852</v>
      </c>
      <c r="T166" s="0" t="n">
        <v>3.994</v>
      </c>
      <c r="U166" s="0" t="n">
        <v>0.17</v>
      </c>
      <c r="X166" s="0" t="n">
        <f aca="false">AB166-T166</f>
        <v>-3.994</v>
      </c>
      <c r="Y166" s="0" t="n">
        <f aca="false">AC166-U166</f>
        <v>-0.17</v>
      </c>
    </row>
    <row r="167" customFormat="false" ht="12.75" hidden="false" customHeight="false" outlineLevel="0" collapsed="false">
      <c r="A167" s="0"/>
      <c r="S167" s="947" t="n">
        <v>41883</v>
      </c>
      <c r="T167" s="0" t="n">
        <v>4.007</v>
      </c>
      <c r="U167" s="0" t="n">
        <v>0.17</v>
      </c>
      <c r="X167" s="0" t="n">
        <f aca="false">AB167-T167</f>
        <v>-4.007</v>
      </c>
      <c r="Y167" s="0" t="n">
        <f aca="false">AC167-U167</f>
        <v>-0.17</v>
      </c>
    </row>
    <row r="168" customFormat="false" ht="12.75" hidden="false" customHeight="false" outlineLevel="0" collapsed="false">
      <c r="A168" s="0"/>
      <c r="S168" s="947" t="n">
        <v>41913</v>
      </c>
      <c r="T168" s="0" t="n">
        <v>4.006</v>
      </c>
      <c r="U168" s="0" t="n">
        <v>0.17</v>
      </c>
      <c r="X168" s="0" t="n">
        <f aca="false">AB168-T168</f>
        <v>-4.006</v>
      </c>
      <c r="Y168" s="0" t="n">
        <f aca="false">AC168-U168</f>
        <v>-0.17</v>
      </c>
    </row>
    <row r="169" customFormat="false" ht="12.75" hidden="false" customHeight="false" outlineLevel="0" collapsed="false">
      <c r="A169" s="0"/>
      <c r="S169" s="947" t="n">
        <v>41944</v>
      </c>
      <c r="T169" s="0" t="n">
        <v>4.161</v>
      </c>
      <c r="U169" s="0" t="n">
        <v>0.17</v>
      </c>
      <c r="X169" s="0" t="n">
        <f aca="false">AB169-T169</f>
        <v>-4.161</v>
      </c>
      <c r="Y169" s="0" t="n">
        <f aca="false">AC169-U169</f>
        <v>-0.17</v>
      </c>
    </row>
    <row r="170" customFormat="false" ht="12.75" hidden="false" customHeight="false" outlineLevel="0" collapsed="false">
      <c r="A170" s="0"/>
      <c r="S170" s="947" t="n">
        <v>41974</v>
      </c>
      <c r="T170" s="0" t="n">
        <v>4.326</v>
      </c>
      <c r="U170" s="0" t="n">
        <v>0.17</v>
      </c>
      <c r="X170" s="0" t="n">
        <f aca="false">AB170-T170</f>
        <v>-4.326</v>
      </c>
      <c r="Y170" s="0" t="n">
        <f aca="false">AC170-U170</f>
        <v>-0.17</v>
      </c>
    </row>
    <row r="171" customFormat="false" ht="12.75" hidden="false" customHeight="false" outlineLevel="0" collapsed="false">
      <c r="A171" s="0"/>
      <c r="S171" s="947" t="n">
        <v>42005</v>
      </c>
      <c r="T171" s="0" t="n">
        <v>4.416</v>
      </c>
      <c r="U171" s="0" t="n">
        <v>0.17</v>
      </c>
      <c r="X171" s="0" t="n">
        <f aca="false">AB171-T171</f>
        <v>-4.416</v>
      </c>
      <c r="Y171" s="0" t="n">
        <f aca="false">AC171-U171</f>
        <v>-0.17</v>
      </c>
    </row>
    <row r="172" customFormat="false" ht="12.75" hidden="false" customHeight="false" outlineLevel="0" collapsed="false">
      <c r="A172" s="0"/>
      <c r="S172" s="947" t="n">
        <v>42036</v>
      </c>
      <c r="T172" s="0" t="n">
        <v>4.302</v>
      </c>
      <c r="U172" s="0" t="n">
        <v>0.17</v>
      </c>
      <c r="X172" s="0" t="n">
        <f aca="false">AB172-T172</f>
        <v>-4.302</v>
      </c>
      <c r="Y172" s="0" t="n">
        <f aca="false">AC172-U172</f>
        <v>-0.17</v>
      </c>
    </row>
    <row r="173" customFormat="false" ht="12.75" hidden="false" customHeight="false" outlineLevel="0" collapsed="false">
      <c r="A173" s="0"/>
      <c r="S173" s="947" t="n">
        <v>42064</v>
      </c>
      <c r="T173" s="0" t="n">
        <v>4.17</v>
      </c>
      <c r="U173" s="0" t="n">
        <v>0.17</v>
      </c>
      <c r="X173" s="0" t="n">
        <f aca="false">AB173-T173</f>
        <v>-4.17</v>
      </c>
      <c r="Y173" s="0" t="n">
        <f aca="false">AC173-U173</f>
        <v>-0.17</v>
      </c>
    </row>
    <row r="174" customFormat="false" ht="12.75" hidden="false" customHeight="false" outlineLevel="0" collapsed="false">
      <c r="A174" s="0"/>
      <c r="S174" s="947" t="n">
        <v>42095</v>
      </c>
      <c r="T174" s="0" t="n">
        <v>3.972</v>
      </c>
      <c r="U174" s="0" t="n">
        <v>0.17</v>
      </c>
      <c r="X174" s="0" t="n">
        <f aca="false">AB174-T174</f>
        <v>-3.972</v>
      </c>
      <c r="Y174" s="0" t="n">
        <f aca="false">AC174-U174</f>
        <v>-0.17</v>
      </c>
    </row>
    <row r="175" customFormat="false" ht="12.75" hidden="false" customHeight="false" outlineLevel="0" collapsed="false">
      <c r="A175" s="0"/>
      <c r="S175" s="947" t="n">
        <v>42125</v>
      </c>
      <c r="T175" s="0" t="n">
        <v>3.968</v>
      </c>
      <c r="U175" s="0" t="n">
        <v>0.17</v>
      </c>
      <c r="X175" s="0" t="n">
        <f aca="false">AB175-T175</f>
        <v>-3.968</v>
      </c>
      <c r="Y175" s="0" t="n">
        <f aca="false">AC175-U175</f>
        <v>-0.17</v>
      </c>
    </row>
    <row r="176" customFormat="false" ht="12.75" hidden="false" customHeight="false" outlineLevel="0" collapsed="false">
      <c r="A176" s="0"/>
      <c r="S176" s="947" t="n">
        <v>42156</v>
      </c>
      <c r="T176" s="0" t="n">
        <v>4</v>
      </c>
      <c r="U176" s="0" t="n">
        <v>0.17</v>
      </c>
      <c r="X176" s="0" t="n">
        <f aca="false">AB176-T176</f>
        <v>-4</v>
      </c>
      <c r="Y176" s="0" t="n">
        <f aca="false">AC176-U176</f>
        <v>-0.17</v>
      </c>
    </row>
    <row r="177" customFormat="false" ht="12.75" hidden="false" customHeight="false" outlineLevel="0" collapsed="false">
      <c r="A177" s="0"/>
      <c r="S177" s="947" t="n">
        <v>42186</v>
      </c>
      <c r="T177" s="0" t="n">
        <v>4.05</v>
      </c>
      <c r="U177" s="0" t="n">
        <v>0.17</v>
      </c>
      <c r="X177" s="0" t="n">
        <f aca="false">AB177-T177</f>
        <v>-4.05</v>
      </c>
      <c r="Y177" s="0" t="n">
        <f aca="false">AC177-U177</f>
        <v>-0.17</v>
      </c>
    </row>
    <row r="178" customFormat="false" ht="12.75" hidden="false" customHeight="false" outlineLevel="0" collapsed="false">
      <c r="A178" s="0"/>
      <c r="S178" s="947" t="n">
        <v>42217</v>
      </c>
      <c r="T178" s="0" t="n">
        <v>4.084</v>
      </c>
      <c r="U178" s="0" t="n">
        <v>0.17</v>
      </c>
      <c r="X178" s="0" t="n">
        <f aca="false">AB178-T178</f>
        <v>-4.084</v>
      </c>
      <c r="Y178" s="0" t="n">
        <f aca="false">AC178-U178</f>
        <v>-0.17</v>
      </c>
    </row>
    <row r="179" customFormat="false" ht="12.75" hidden="false" customHeight="false" outlineLevel="0" collapsed="false">
      <c r="A179" s="0"/>
      <c r="S179" s="947" t="n">
        <v>42248</v>
      </c>
      <c r="T179" s="0" t="n">
        <v>4.097</v>
      </c>
      <c r="U179" s="0" t="n">
        <v>0.17</v>
      </c>
      <c r="X179" s="0" t="n">
        <f aca="false">AB179-T179</f>
        <v>-4.097</v>
      </c>
      <c r="Y179" s="0" t="n">
        <f aca="false">AC179-U179</f>
        <v>-0.17</v>
      </c>
    </row>
    <row r="180" customFormat="false" ht="12.75" hidden="false" customHeight="false" outlineLevel="0" collapsed="false">
      <c r="A180" s="0"/>
      <c r="S180" s="947" t="n">
        <v>42278</v>
      </c>
      <c r="T180" s="0" t="n">
        <v>4.096</v>
      </c>
      <c r="U180" s="0" t="n">
        <v>0.17</v>
      </c>
      <c r="X180" s="0" t="n">
        <f aca="false">AB180-T180</f>
        <v>-4.096</v>
      </c>
      <c r="Y180" s="0" t="n">
        <f aca="false">AC180-U180</f>
        <v>-0.17</v>
      </c>
    </row>
    <row r="181" customFormat="false" ht="12.75" hidden="false" customHeight="false" outlineLevel="0" collapsed="false">
      <c r="A181" s="0"/>
      <c r="S181" s="947" t="n">
        <v>42309</v>
      </c>
      <c r="T181" s="0" t="n">
        <v>4.251</v>
      </c>
      <c r="U181" s="0" t="n">
        <v>0.17</v>
      </c>
      <c r="X181" s="0" t="n">
        <f aca="false">AB181-T181</f>
        <v>-4.251</v>
      </c>
      <c r="Y181" s="0" t="n">
        <f aca="false">AC181-U181</f>
        <v>-0.17</v>
      </c>
    </row>
    <row r="182" customFormat="false" ht="12.75" hidden="false" customHeight="false" outlineLevel="0" collapsed="false">
      <c r="A182" s="0"/>
      <c r="S182" s="947" t="n">
        <v>42339</v>
      </c>
      <c r="T182" s="0" t="n">
        <v>4.416</v>
      </c>
      <c r="U182" s="0" t="n">
        <v>0.17</v>
      </c>
      <c r="X182" s="0" t="n">
        <f aca="false">AB182-T182</f>
        <v>-4.416</v>
      </c>
      <c r="Y182" s="0" t="n">
        <f aca="false">AC182-U182</f>
        <v>-0.17</v>
      </c>
    </row>
    <row r="183" customFormat="false" ht="12.75" hidden="false" customHeight="false" outlineLevel="0" collapsed="false">
      <c r="A183" s="0"/>
      <c r="S183" s="947" t="n">
        <v>42370</v>
      </c>
      <c r="T183" s="0" t="n">
        <v>4.506</v>
      </c>
      <c r="U183" s="0" t="n">
        <v>0.17</v>
      </c>
      <c r="X183" s="0" t="n">
        <f aca="false">AB183-T183</f>
        <v>-4.506</v>
      </c>
      <c r="Y183" s="0" t="n">
        <f aca="false">AC183-U183</f>
        <v>-0.17</v>
      </c>
    </row>
    <row r="184" customFormat="false" ht="12.75" hidden="false" customHeight="false" outlineLevel="0" collapsed="false">
      <c r="A184" s="0"/>
      <c r="S184" s="947" t="n">
        <v>42401</v>
      </c>
      <c r="T184" s="0" t="n">
        <v>4.392</v>
      </c>
      <c r="U184" s="0" t="n">
        <v>0.17</v>
      </c>
      <c r="X184" s="0" t="n">
        <f aca="false">AB184-T184</f>
        <v>-4.392</v>
      </c>
      <c r="Y184" s="0" t="n">
        <f aca="false">AC184-U184</f>
        <v>-0.17</v>
      </c>
    </row>
    <row r="185" customFormat="false" ht="12.75" hidden="false" customHeight="false" outlineLevel="0" collapsed="false">
      <c r="A185" s="0"/>
      <c r="S185" s="947" t="n">
        <v>42430</v>
      </c>
      <c r="T185" s="0" t="n">
        <v>4.26</v>
      </c>
      <c r="U185" s="0" t="n">
        <v>0.17</v>
      </c>
      <c r="X185" s="0" t="n">
        <f aca="false">AB185-T185</f>
        <v>-4.26</v>
      </c>
      <c r="Y185" s="0" t="n">
        <f aca="false">AC185-U185</f>
        <v>-0.17</v>
      </c>
    </row>
    <row r="186" customFormat="false" ht="12.75" hidden="false" customHeight="false" outlineLevel="0" collapsed="false">
      <c r="A186" s="0"/>
      <c r="S186" s="947" t="n">
        <v>42461</v>
      </c>
      <c r="T186" s="0" t="n">
        <v>4.062</v>
      </c>
      <c r="U186" s="0" t="n">
        <v>0.17</v>
      </c>
      <c r="X186" s="0" t="n">
        <f aca="false">AB186-T186</f>
        <v>-4.062</v>
      </c>
      <c r="Y186" s="0" t="n">
        <f aca="false">AC186-U186</f>
        <v>-0.17</v>
      </c>
    </row>
    <row r="187" customFormat="false" ht="12.75" hidden="false" customHeight="false" outlineLevel="0" collapsed="false">
      <c r="A187" s="0"/>
      <c r="S187" s="947" t="n">
        <v>42491</v>
      </c>
      <c r="T187" s="0" t="n">
        <v>4.058</v>
      </c>
      <c r="U187" s="0" t="n">
        <v>0.17</v>
      </c>
      <c r="X187" s="0" t="n">
        <f aca="false">AB187-T187</f>
        <v>-4.058</v>
      </c>
      <c r="Y187" s="0" t="n">
        <f aca="false">AC187-U187</f>
        <v>-0.17</v>
      </c>
    </row>
    <row r="188" customFormat="false" ht="12.75" hidden="false" customHeight="false" outlineLevel="0" collapsed="false">
      <c r="A188" s="0"/>
      <c r="S188" s="947" t="n">
        <v>42522</v>
      </c>
      <c r="T188" s="0" t="n">
        <v>4.09</v>
      </c>
      <c r="U188" s="0" t="n">
        <v>0.17</v>
      </c>
      <c r="X188" s="0" t="n">
        <f aca="false">AB188-T188</f>
        <v>-4.09</v>
      </c>
      <c r="Y188" s="0" t="n">
        <f aca="false">AC188-U188</f>
        <v>-0.17</v>
      </c>
    </row>
    <row r="189" customFormat="false" ht="12.75" hidden="false" customHeight="false" outlineLevel="0" collapsed="false">
      <c r="A189" s="0"/>
      <c r="S189" s="947" t="n">
        <v>42552</v>
      </c>
      <c r="T189" s="0" t="n">
        <v>4.14</v>
      </c>
      <c r="U189" s="0" t="n">
        <v>0.17</v>
      </c>
      <c r="X189" s="0" t="n">
        <f aca="false">AB189-T189</f>
        <v>-4.14</v>
      </c>
      <c r="Y189" s="0" t="n">
        <f aca="false">AC189-U189</f>
        <v>-0.17</v>
      </c>
    </row>
    <row r="190" customFormat="false" ht="12.75" hidden="false" customHeight="false" outlineLevel="0" collapsed="false">
      <c r="A190" s="0"/>
      <c r="S190" s="947" t="n">
        <v>42583</v>
      </c>
      <c r="T190" s="0" t="n">
        <v>4.174</v>
      </c>
      <c r="U190" s="0" t="n">
        <v>0.17</v>
      </c>
      <c r="X190" s="0" t="n">
        <f aca="false">AB190-T190</f>
        <v>-4.174</v>
      </c>
      <c r="Y190" s="0" t="n">
        <f aca="false">AC190-U190</f>
        <v>-0.17</v>
      </c>
    </row>
    <row r="191" customFormat="false" ht="12.75" hidden="false" customHeight="false" outlineLevel="0" collapsed="false">
      <c r="A191" s="0"/>
      <c r="S191" s="947" t="n">
        <v>42614</v>
      </c>
      <c r="T191" s="0" t="n">
        <v>4.187</v>
      </c>
      <c r="U191" s="0" t="n">
        <v>0.17</v>
      </c>
      <c r="X191" s="0" t="n">
        <f aca="false">AB191-T191</f>
        <v>-4.187</v>
      </c>
      <c r="Y191" s="0" t="n">
        <f aca="false">AC191-U191</f>
        <v>-0.17</v>
      </c>
    </row>
    <row r="192" customFormat="false" ht="12.75" hidden="false" customHeight="false" outlineLevel="0" collapsed="false">
      <c r="A192" s="0"/>
      <c r="S192" s="947" t="n">
        <v>42644</v>
      </c>
      <c r="T192" s="0" t="n">
        <v>4.186</v>
      </c>
      <c r="U192" s="0" t="n">
        <v>0.17</v>
      </c>
      <c r="X192" s="0" t="n">
        <f aca="false">AB192-T192</f>
        <v>-4.186</v>
      </c>
      <c r="Y192" s="0" t="n">
        <f aca="false">AC192-U192</f>
        <v>-0.17</v>
      </c>
    </row>
    <row r="193" customFormat="false" ht="12.75" hidden="false" customHeight="false" outlineLevel="0" collapsed="false">
      <c r="A193" s="0"/>
      <c r="S193" s="947" t="n">
        <v>42675</v>
      </c>
      <c r="T193" s="0" t="n">
        <v>4.341</v>
      </c>
      <c r="U193" s="0" t="n">
        <v>0.17</v>
      </c>
      <c r="X193" s="0" t="n">
        <f aca="false">AB193-T193</f>
        <v>-4.341</v>
      </c>
      <c r="Y193" s="0" t="n">
        <f aca="false">AC193-U193</f>
        <v>-0.17</v>
      </c>
    </row>
    <row r="194" customFormat="false" ht="12.75" hidden="false" customHeight="false" outlineLevel="0" collapsed="false">
      <c r="A194" s="0"/>
      <c r="S194" s="947" t="n">
        <v>42705</v>
      </c>
      <c r="T194" s="0" t="n">
        <v>4.506</v>
      </c>
      <c r="U194" s="0" t="n">
        <v>0.17</v>
      </c>
      <c r="X194" s="0" t="n">
        <f aca="false">AB194-T194</f>
        <v>-4.506</v>
      </c>
      <c r="Y194" s="0" t="n">
        <f aca="false">AC194-U194</f>
        <v>-0.17</v>
      </c>
    </row>
    <row r="195" customFormat="false" ht="12.75" hidden="false" customHeight="false" outlineLevel="0" collapsed="false">
      <c r="A195" s="0"/>
      <c r="S195" s="947" t="n">
        <v>42736</v>
      </c>
      <c r="T195" s="0" t="n">
        <v>4.596</v>
      </c>
      <c r="U195" s="0" t="n">
        <v>0.17</v>
      </c>
      <c r="X195" s="0" t="n">
        <f aca="false">AB195-T195</f>
        <v>-4.596</v>
      </c>
      <c r="Y195" s="0" t="n">
        <f aca="false">AC195-U195</f>
        <v>-0.17</v>
      </c>
    </row>
    <row r="196" customFormat="false" ht="12.75" hidden="false" customHeight="false" outlineLevel="0" collapsed="false">
      <c r="A196" s="0"/>
      <c r="S196" s="947" t="n">
        <v>42767</v>
      </c>
      <c r="T196" s="0" t="n">
        <v>4.482</v>
      </c>
      <c r="U196" s="0" t="n">
        <v>0.17</v>
      </c>
      <c r="X196" s="0" t="n">
        <f aca="false">AB196-T196</f>
        <v>-4.482</v>
      </c>
      <c r="Y196" s="0" t="n">
        <f aca="false">AC196-U196</f>
        <v>-0.17</v>
      </c>
    </row>
    <row r="197" customFormat="false" ht="12.75" hidden="false" customHeight="false" outlineLevel="0" collapsed="false">
      <c r="A197" s="0"/>
      <c r="S197" s="947" t="n">
        <v>42795</v>
      </c>
      <c r="T197" s="0" t="n">
        <v>4.35</v>
      </c>
      <c r="U197" s="0" t="n">
        <v>0.17</v>
      </c>
      <c r="X197" s="0" t="n">
        <f aca="false">AB197-T197</f>
        <v>-4.35</v>
      </c>
      <c r="Y197" s="0" t="n">
        <f aca="false">AC197-U197</f>
        <v>-0.17</v>
      </c>
    </row>
    <row r="198" customFormat="false" ht="12.75" hidden="false" customHeight="false" outlineLevel="0" collapsed="false">
      <c r="A198" s="0"/>
      <c r="S198" s="947" t="n">
        <v>42826</v>
      </c>
      <c r="T198" s="0" t="n">
        <v>4.152</v>
      </c>
      <c r="U198" s="0" t="n">
        <v>0.17</v>
      </c>
      <c r="X198" s="0" t="n">
        <f aca="false">AB198-T198</f>
        <v>-4.152</v>
      </c>
      <c r="Y198" s="0" t="n">
        <f aca="false">AC198-U198</f>
        <v>-0.17</v>
      </c>
    </row>
    <row r="199" customFormat="false" ht="12.75" hidden="false" customHeight="false" outlineLevel="0" collapsed="false">
      <c r="A199" s="0"/>
      <c r="S199" s="947" t="n">
        <v>42856</v>
      </c>
      <c r="T199" s="0" t="n">
        <v>4.148</v>
      </c>
      <c r="U199" s="0" t="n">
        <v>0.17</v>
      </c>
      <c r="X199" s="0" t="n">
        <f aca="false">AB199-T199</f>
        <v>-4.148</v>
      </c>
      <c r="Y199" s="0" t="n">
        <f aca="false">AC199-U199</f>
        <v>-0.17</v>
      </c>
    </row>
    <row r="200" customFormat="false" ht="12.75" hidden="false" customHeight="false" outlineLevel="0" collapsed="false">
      <c r="A200" s="0"/>
      <c r="S200" s="947" t="n">
        <v>42887</v>
      </c>
      <c r="T200" s="0" t="n">
        <v>4.18</v>
      </c>
      <c r="U200" s="0" t="n">
        <v>0.17</v>
      </c>
      <c r="X200" s="0" t="n">
        <f aca="false">AB200-T200</f>
        <v>-4.18</v>
      </c>
      <c r="Y200" s="0" t="n">
        <f aca="false">AC200-U200</f>
        <v>-0.17</v>
      </c>
    </row>
    <row r="201" customFormat="false" ht="12.75" hidden="false" customHeight="false" outlineLevel="0" collapsed="false">
      <c r="A201" s="0"/>
      <c r="S201" s="947" t="n">
        <v>42917</v>
      </c>
      <c r="T201" s="0" t="n">
        <v>4.23</v>
      </c>
      <c r="U201" s="0" t="n">
        <v>0.17</v>
      </c>
      <c r="X201" s="0" t="n">
        <f aca="false">AB201-T201</f>
        <v>-4.23</v>
      </c>
      <c r="Y201" s="0" t="n">
        <f aca="false">AC201-U201</f>
        <v>-0.17</v>
      </c>
    </row>
    <row r="202" customFormat="false" ht="12.75" hidden="false" customHeight="false" outlineLevel="0" collapsed="false">
      <c r="A202" s="0"/>
      <c r="S202" s="947" t="n">
        <v>42948</v>
      </c>
      <c r="T202" s="0" t="n">
        <v>4.264</v>
      </c>
      <c r="U202" s="0" t="n">
        <v>0.17</v>
      </c>
      <c r="X202" s="0" t="n">
        <f aca="false">AB202-T202</f>
        <v>-4.264</v>
      </c>
      <c r="Y202" s="0" t="n">
        <f aca="false">AC202-U202</f>
        <v>-0.17</v>
      </c>
    </row>
    <row r="203" customFormat="false" ht="12.75" hidden="false" customHeight="false" outlineLevel="0" collapsed="false">
      <c r="A203" s="0"/>
      <c r="S203" s="947" t="n">
        <v>42979</v>
      </c>
      <c r="T203" s="0" t="n">
        <v>4.277</v>
      </c>
      <c r="U203" s="0" t="n">
        <v>0.17</v>
      </c>
      <c r="X203" s="0" t="n">
        <f aca="false">AB203-T203</f>
        <v>-4.277</v>
      </c>
      <c r="Y203" s="0" t="n">
        <f aca="false">AC203-U203</f>
        <v>-0.17</v>
      </c>
    </row>
    <row r="204" customFormat="false" ht="12.75" hidden="false" customHeight="false" outlineLevel="0" collapsed="false">
      <c r="A204" s="0"/>
      <c r="S204" s="947" t="n">
        <v>43009</v>
      </c>
      <c r="T204" s="0" t="n">
        <v>4.276</v>
      </c>
      <c r="U204" s="0" t="n">
        <v>0.17</v>
      </c>
      <c r="X204" s="0" t="n">
        <f aca="false">AB204-T204</f>
        <v>-4.276</v>
      </c>
      <c r="Y204" s="0" t="n">
        <f aca="false">AC204-U204</f>
        <v>-0.17</v>
      </c>
    </row>
    <row r="205" customFormat="false" ht="12.75" hidden="false" customHeight="false" outlineLevel="0" collapsed="false">
      <c r="A205" s="0"/>
      <c r="S205" s="947" t="n">
        <v>43040</v>
      </c>
      <c r="T205" s="0" t="n">
        <v>4.431</v>
      </c>
      <c r="U205" s="0" t="n">
        <v>0.17</v>
      </c>
      <c r="X205" s="0" t="n">
        <f aca="false">AB205-T205</f>
        <v>-4.431</v>
      </c>
      <c r="Y205" s="0" t="n">
        <f aca="false">AC205-U205</f>
        <v>-0.17</v>
      </c>
    </row>
    <row r="206" customFormat="false" ht="12.75" hidden="false" customHeight="false" outlineLevel="0" collapsed="false">
      <c r="A206" s="0"/>
      <c r="S206" s="947" t="n">
        <v>43070</v>
      </c>
      <c r="T206" s="0" t="n">
        <v>4.596</v>
      </c>
      <c r="U206" s="0" t="n">
        <v>0.17</v>
      </c>
      <c r="X206" s="0" t="n">
        <f aca="false">AB206-T206</f>
        <v>-4.596</v>
      </c>
      <c r="Y206" s="0" t="n">
        <f aca="false">AC206-U206</f>
        <v>-0.17</v>
      </c>
    </row>
    <row r="207" customFormat="false" ht="12.75" hidden="false" customHeight="false" outlineLevel="0" collapsed="false">
      <c r="A207" s="0"/>
      <c r="S207" s="947" t="n">
        <v>43101</v>
      </c>
      <c r="T207" s="0" t="n">
        <v>4.686</v>
      </c>
      <c r="U207" s="0" t="n">
        <v>0.17</v>
      </c>
      <c r="X207" s="0" t="n">
        <f aca="false">AB207-T207</f>
        <v>-4.686</v>
      </c>
      <c r="Y207" s="0" t="n">
        <f aca="false">AC207-U207</f>
        <v>-0.17</v>
      </c>
    </row>
    <row r="208" customFormat="false" ht="12.75" hidden="false" customHeight="false" outlineLevel="0" collapsed="false">
      <c r="A208" s="0"/>
      <c r="S208" s="947" t="n">
        <v>43132</v>
      </c>
      <c r="T208" s="0" t="n">
        <v>4.572</v>
      </c>
      <c r="U208" s="0" t="n">
        <v>0.17</v>
      </c>
      <c r="X208" s="0" t="n">
        <f aca="false">AB208-T208</f>
        <v>-4.572</v>
      </c>
      <c r="Y208" s="0" t="n">
        <f aca="false">AC208-U208</f>
        <v>-0.17</v>
      </c>
    </row>
    <row r="209" customFormat="false" ht="12.75" hidden="false" customHeight="false" outlineLevel="0" collapsed="false">
      <c r="A209" s="0"/>
      <c r="S209" s="947" t="n">
        <v>43160</v>
      </c>
      <c r="T209" s="0" t="n">
        <v>4.44</v>
      </c>
      <c r="U209" s="0" t="n">
        <v>0.17</v>
      </c>
      <c r="X209" s="0" t="n">
        <f aca="false">AB209-T209</f>
        <v>-4.44</v>
      </c>
      <c r="Y209" s="0" t="n">
        <f aca="false">AC209-U209</f>
        <v>-0.17</v>
      </c>
    </row>
    <row r="210" customFormat="false" ht="12.75" hidden="false" customHeight="false" outlineLevel="0" collapsed="false">
      <c r="A210" s="0"/>
      <c r="S210" s="947" t="n">
        <v>43191</v>
      </c>
      <c r="T210" s="0" t="n">
        <v>4.242</v>
      </c>
      <c r="U210" s="0" t="n">
        <v>0.17</v>
      </c>
      <c r="X210" s="0" t="n">
        <f aca="false">AB210-T210</f>
        <v>-4.242</v>
      </c>
      <c r="Y210" s="0" t="n">
        <f aca="false">AC210-U210</f>
        <v>-0.17</v>
      </c>
    </row>
    <row r="211" customFormat="false" ht="12.75" hidden="false" customHeight="false" outlineLevel="0" collapsed="false">
      <c r="A211" s="0"/>
      <c r="S211" s="947" t="n">
        <v>43221</v>
      </c>
      <c r="T211" s="0" t="n">
        <v>4.238</v>
      </c>
      <c r="U211" s="0" t="n">
        <v>0.17</v>
      </c>
      <c r="X211" s="0" t="n">
        <f aca="false">AB211-T211</f>
        <v>-4.238</v>
      </c>
      <c r="Y211" s="0" t="n">
        <f aca="false">AC211-U211</f>
        <v>-0.17</v>
      </c>
    </row>
    <row r="212" customFormat="false" ht="12.75" hidden="false" customHeight="false" outlineLevel="0" collapsed="false">
      <c r="A212" s="0"/>
      <c r="S212" s="947" t="n">
        <v>43252</v>
      </c>
      <c r="T212" s="0" t="n">
        <v>4.27</v>
      </c>
      <c r="U212" s="0" t="n">
        <v>0.17</v>
      </c>
      <c r="X212" s="0" t="n">
        <f aca="false">AB212-T212</f>
        <v>-4.27</v>
      </c>
      <c r="Y212" s="0" t="n">
        <f aca="false">AC212-U212</f>
        <v>-0.17</v>
      </c>
    </row>
    <row r="213" customFormat="false" ht="12.75" hidden="false" customHeight="false" outlineLevel="0" collapsed="false">
      <c r="A213" s="0"/>
      <c r="S213" s="947" t="n">
        <v>43282</v>
      </c>
      <c r="T213" s="0" t="n">
        <v>4.32</v>
      </c>
      <c r="U213" s="0" t="n">
        <v>0.17</v>
      </c>
      <c r="X213" s="0" t="n">
        <f aca="false">AB213-T213</f>
        <v>-4.32</v>
      </c>
      <c r="Y213" s="0" t="n">
        <f aca="false">AC213-U213</f>
        <v>-0.17</v>
      </c>
    </row>
    <row r="214" customFormat="false" ht="12.75" hidden="false" customHeight="false" outlineLevel="0" collapsed="false">
      <c r="A214" s="0"/>
      <c r="S214" s="947" t="n">
        <v>43313</v>
      </c>
      <c r="T214" s="0" t="n">
        <v>4.354</v>
      </c>
      <c r="U214" s="0" t="n">
        <v>0.17</v>
      </c>
      <c r="X214" s="0" t="n">
        <f aca="false">AB214-T214</f>
        <v>-4.354</v>
      </c>
      <c r="Y214" s="0" t="n">
        <f aca="false">AC214-U214</f>
        <v>-0.17</v>
      </c>
    </row>
    <row r="215" customFormat="false" ht="12.75" hidden="false" customHeight="false" outlineLevel="0" collapsed="false">
      <c r="A215" s="0"/>
      <c r="S215" s="947" t="n">
        <v>43344</v>
      </c>
      <c r="T215" s="0" t="n">
        <v>4.367</v>
      </c>
      <c r="U215" s="0" t="n">
        <v>0.17</v>
      </c>
      <c r="X215" s="0" t="n">
        <f aca="false">AB215-T215</f>
        <v>-4.367</v>
      </c>
      <c r="Y215" s="0" t="n">
        <f aca="false">AC215-U215</f>
        <v>-0.17</v>
      </c>
    </row>
    <row r="216" customFormat="false" ht="12.75" hidden="false" customHeight="false" outlineLevel="0" collapsed="false">
      <c r="A216" s="0"/>
      <c r="S216" s="947" t="n">
        <v>43374</v>
      </c>
      <c r="T216" s="0" t="n">
        <v>4.366</v>
      </c>
      <c r="U216" s="0" t="n">
        <v>0.17</v>
      </c>
      <c r="X216" s="0" t="n">
        <f aca="false">AB216-T216</f>
        <v>-4.366</v>
      </c>
      <c r="Y216" s="0" t="n">
        <f aca="false">AC216-U216</f>
        <v>-0.17</v>
      </c>
    </row>
    <row r="217" customFormat="false" ht="12.75" hidden="false" customHeight="false" outlineLevel="0" collapsed="false">
      <c r="A217" s="0"/>
      <c r="S217" s="947" t="n">
        <v>43405</v>
      </c>
      <c r="T217" s="0" t="n">
        <v>4.521</v>
      </c>
      <c r="U217" s="0" t="n">
        <v>0.17</v>
      </c>
      <c r="X217" s="0" t="n">
        <f aca="false">AB217-T217</f>
        <v>-4.521</v>
      </c>
      <c r="Y217" s="0" t="n">
        <f aca="false">AC217-U217</f>
        <v>-0.17</v>
      </c>
    </row>
    <row r="218" customFormat="false" ht="12.75" hidden="false" customHeight="false" outlineLevel="0" collapsed="false">
      <c r="A218" s="0"/>
      <c r="S218" s="947" t="n">
        <v>43435</v>
      </c>
      <c r="T218" s="0" t="n">
        <v>4.686</v>
      </c>
      <c r="U218" s="0" t="n">
        <v>0.17</v>
      </c>
      <c r="X218" s="0" t="n">
        <f aca="false">AB218-T218</f>
        <v>-4.686</v>
      </c>
      <c r="Y218" s="0" t="n">
        <f aca="false">AC218-U218</f>
        <v>-0.17</v>
      </c>
    </row>
    <row r="219" customFormat="false" ht="12.75" hidden="false" customHeight="false" outlineLevel="0" collapsed="false">
      <c r="A219" s="0"/>
      <c r="S219" s="947" t="n">
        <v>43466</v>
      </c>
      <c r="T219" s="0" t="n">
        <v>4.776</v>
      </c>
      <c r="U219" s="0" t="n">
        <v>0.17</v>
      </c>
      <c r="X219" s="0" t="n">
        <f aca="false">AB219-T219</f>
        <v>-4.776</v>
      </c>
      <c r="Y219" s="0" t="n">
        <f aca="false">AC219-U219</f>
        <v>-0.17</v>
      </c>
    </row>
    <row r="220" customFormat="false" ht="12.75" hidden="false" customHeight="false" outlineLevel="0" collapsed="false">
      <c r="A220" s="0"/>
      <c r="S220" s="947" t="n">
        <v>43497</v>
      </c>
      <c r="T220" s="0" t="n">
        <v>4.662</v>
      </c>
      <c r="U220" s="0" t="n">
        <v>0.17</v>
      </c>
      <c r="X220" s="0" t="n">
        <f aca="false">AB220-T220</f>
        <v>-4.662</v>
      </c>
      <c r="Y220" s="0" t="n">
        <f aca="false">AC220-U220</f>
        <v>-0.17</v>
      </c>
    </row>
    <row r="221" customFormat="false" ht="12.75" hidden="false" customHeight="false" outlineLevel="0" collapsed="false">
      <c r="A221" s="0"/>
      <c r="S221" s="947" t="n">
        <v>43525</v>
      </c>
      <c r="T221" s="0" t="n">
        <v>4.53</v>
      </c>
      <c r="U221" s="0" t="n">
        <v>0.17</v>
      </c>
      <c r="X221" s="0" t="n">
        <f aca="false">AB221-T221</f>
        <v>-4.53</v>
      </c>
      <c r="Y221" s="0" t="n">
        <f aca="false">AC221-U221</f>
        <v>-0.17</v>
      </c>
    </row>
    <row r="222" customFormat="false" ht="12.75" hidden="false" customHeight="false" outlineLevel="0" collapsed="false">
      <c r="A222" s="0"/>
      <c r="S222" s="947" t="n">
        <v>43556</v>
      </c>
      <c r="T222" s="0" t="n">
        <v>4.332</v>
      </c>
      <c r="U222" s="0" t="n">
        <v>0.17</v>
      </c>
      <c r="X222" s="0" t="n">
        <f aca="false">AB222-T222</f>
        <v>-4.332</v>
      </c>
      <c r="Y222" s="0" t="n">
        <f aca="false">AC222-U222</f>
        <v>-0.17</v>
      </c>
    </row>
    <row r="223" customFormat="false" ht="12.75" hidden="false" customHeight="false" outlineLevel="0" collapsed="false">
      <c r="A223" s="0"/>
      <c r="S223" s="947" t="n">
        <v>43586</v>
      </c>
      <c r="T223" s="0" t="n">
        <v>4.328</v>
      </c>
      <c r="U223" s="0" t="n">
        <v>0.17</v>
      </c>
      <c r="X223" s="0" t="n">
        <f aca="false">AB223-T223</f>
        <v>-4.328</v>
      </c>
      <c r="Y223" s="0" t="n">
        <f aca="false">AC223-U223</f>
        <v>-0.17</v>
      </c>
    </row>
    <row r="224" customFormat="false" ht="12.75" hidden="false" customHeight="false" outlineLevel="0" collapsed="false">
      <c r="A224" s="0"/>
      <c r="S224" s="947" t="n">
        <v>43617</v>
      </c>
      <c r="T224" s="0" t="n">
        <v>4.36</v>
      </c>
      <c r="U224" s="0" t="n">
        <v>0.17</v>
      </c>
      <c r="X224" s="0" t="n">
        <f aca="false">AB224-T224</f>
        <v>-4.36</v>
      </c>
      <c r="Y224" s="0" t="n">
        <f aca="false">AC224-U224</f>
        <v>-0.17</v>
      </c>
    </row>
    <row r="225" customFormat="false" ht="12.75" hidden="false" customHeight="false" outlineLevel="0" collapsed="false">
      <c r="A225" s="0"/>
      <c r="S225" s="947" t="n">
        <v>43647</v>
      </c>
      <c r="T225" s="0" t="n">
        <v>4.41</v>
      </c>
      <c r="U225" s="0" t="n">
        <v>0.17</v>
      </c>
      <c r="X225" s="0" t="n">
        <f aca="false">AB225-T225</f>
        <v>-4.41</v>
      </c>
      <c r="Y225" s="0" t="n">
        <f aca="false">AC225-U225</f>
        <v>-0.17</v>
      </c>
    </row>
    <row r="226" customFormat="false" ht="12.75" hidden="false" customHeight="false" outlineLevel="0" collapsed="false">
      <c r="A226" s="0"/>
      <c r="S226" s="947" t="n">
        <v>43678</v>
      </c>
      <c r="T226" s="0" t="n">
        <v>4.444</v>
      </c>
      <c r="U226" s="0" t="n">
        <v>0.17</v>
      </c>
      <c r="X226" s="0" t="n">
        <f aca="false">AB226-T226</f>
        <v>-4.444</v>
      </c>
      <c r="Y226" s="0" t="n">
        <f aca="false">AC226-U226</f>
        <v>-0.17</v>
      </c>
    </row>
    <row r="227" customFormat="false" ht="12.75" hidden="false" customHeight="false" outlineLevel="0" collapsed="false">
      <c r="A227" s="0"/>
      <c r="S227" s="947" t="n">
        <v>43709</v>
      </c>
      <c r="T227" s="0" t="n">
        <v>4.457</v>
      </c>
      <c r="U227" s="0" t="n">
        <v>0.17</v>
      </c>
      <c r="X227" s="0" t="n">
        <f aca="false">AB227-T227</f>
        <v>-4.457</v>
      </c>
      <c r="Y227" s="0" t="n">
        <f aca="false">AC227-U227</f>
        <v>-0.17</v>
      </c>
    </row>
    <row r="228" customFormat="false" ht="12.75" hidden="false" customHeight="false" outlineLevel="0" collapsed="false">
      <c r="A228" s="0"/>
      <c r="S228" s="947" t="n">
        <v>43739</v>
      </c>
      <c r="T228" s="0" t="n">
        <v>4.456</v>
      </c>
      <c r="U228" s="0" t="n">
        <v>0.17</v>
      </c>
      <c r="X228" s="0" t="n">
        <f aca="false">AB228-T228</f>
        <v>-4.456</v>
      </c>
      <c r="Y228" s="0" t="n">
        <f aca="false">AC228-U228</f>
        <v>-0.17</v>
      </c>
    </row>
    <row r="229" customFormat="false" ht="12.75" hidden="false" customHeight="false" outlineLevel="0" collapsed="false">
      <c r="A229" s="0"/>
      <c r="S229" s="947" t="n">
        <v>43770</v>
      </c>
      <c r="T229" s="0" t="n">
        <v>4.611</v>
      </c>
      <c r="U229" s="0" t="n">
        <v>0.17</v>
      </c>
      <c r="X229" s="0" t="n">
        <f aca="false">AB229-T229</f>
        <v>-4.611</v>
      </c>
      <c r="Y229" s="0" t="n">
        <f aca="false">AC229-U229</f>
        <v>-0.17</v>
      </c>
    </row>
    <row r="230" customFormat="false" ht="12.75" hidden="false" customHeight="false" outlineLevel="0" collapsed="false">
      <c r="A230" s="0"/>
      <c r="S230" s="947" t="n">
        <v>43800</v>
      </c>
      <c r="T230" s="0" t="n">
        <v>4.776</v>
      </c>
      <c r="U230" s="0" t="n">
        <v>0.17</v>
      </c>
      <c r="X230" s="0" t="n">
        <f aca="false">AB230-T230</f>
        <v>-4.776</v>
      </c>
      <c r="Y230" s="0" t="n">
        <f aca="false">AC230-U230</f>
        <v>-0.17</v>
      </c>
    </row>
    <row r="231" customFormat="false" ht="12.75" hidden="false" customHeight="false" outlineLevel="0" collapsed="false">
      <c r="A231" s="0"/>
      <c r="S231" s="947" t="n">
        <v>43831</v>
      </c>
      <c r="T231" s="0" t="n">
        <v>4.866</v>
      </c>
      <c r="U231" s="0" t="n">
        <v>0.17</v>
      </c>
      <c r="X231" s="0" t="n">
        <f aca="false">AB231-T231</f>
        <v>-4.866</v>
      </c>
      <c r="Y231" s="0" t="n">
        <f aca="false">AC231-U231</f>
        <v>-0.17</v>
      </c>
    </row>
    <row r="232" customFormat="false" ht="12.75" hidden="false" customHeight="false" outlineLevel="0" collapsed="false">
      <c r="A232" s="0"/>
      <c r="S232" s="947" t="n">
        <v>43862</v>
      </c>
      <c r="T232" s="0" t="n">
        <v>4.752</v>
      </c>
      <c r="U232" s="0" t="n">
        <v>0.17</v>
      </c>
      <c r="X232" s="0" t="n">
        <f aca="false">AB232-T232</f>
        <v>-4.752</v>
      </c>
      <c r="Y232" s="0" t="n">
        <f aca="false">AC232-U232</f>
        <v>-0.17</v>
      </c>
    </row>
    <row r="233" customFormat="false" ht="12.75" hidden="false" customHeight="false" outlineLevel="0" collapsed="false">
      <c r="A233" s="0"/>
      <c r="S233" s="947" t="n">
        <v>43891</v>
      </c>
      <c r="T233" s="0" t="n">
        <v>4.62</v>
      </c>
      <c r="U233" s="0" t="n">
        <v>0.17</v>
      </c>
      <c r="X233" s="0" t="n">
        <f aca="false">AB233-T233</f>
        <v>-4.62</v>
      </c>
      <c r="Y233" s="0" t="n">
        <f aca="false">AC233-U233</f>
        <v>-0.17</v>
      </c>
    </row>
    <row r="234" customFormat="false" ht="12.75" hidden="false" customHeight="false" outlineLevel="0" collapsed="false">
      <c r="A234" s="0"/>
      <c r="S234" s="947" t="n">
        <v>43922</v>
      </c>
      <c r="T234" s="0" t="n">
        <v>4.422</v>
      </c>
      <c r="U234" s="0" t="n">
        <v>0.17</v>
      </c>
      <c r="X234" s="0" t="n">
        <f aca="false">AB234-T234</f>
        <v>-4.422</v>
      </c>
      <c r="Y234" s="0" t="n">
        <f aca="false">AC234-U234</f>
        <v>-0.17</v>
      </c>
    </row>
    <row r="235" customFormat="false" ht="12.75" hidden="false" customHeight="false" outlineLevel="0" collapsed="false">
      <c r="A235" s="0"/>
      <c r="S235" s="947" t="n">
        <v>43952</v>
      </c>
      <c r="T235" s="0" t="n">
        <v>4.418</v>
      </c>
      <c r="U235" s="0" t="n">
        <v>0.17</v>
      </c>
      <c r="X235" s="0" t="n">
        <f aca="false">AB235-T235</f>
        <v>-4.418</v>
      </c>
      <c r="Y235" s="0" t="n">
        <f aca="false">AC235-U235</f>
        <v>-0.17</v>
      </c>
    </row>
    <row r="236" customFormat="false" ht="12.75" hidden="false" customHeight="false" outlineLevel="0" collapsed="false">
      <c r="A236" s="0"/>
      <c r="S236" s="947" t="n">
        <v>43983</v>
      </c>
      <c r="T236" s="0" t="n">
        <v>4.45</v>
      </c>
      <c r="U236" s="0" t="n">
        <v>0.17</v>
      </c>
      <c r="X236" s="0" t="n">
        <f aca="false">AB236-T236</f>
        <v>-4.45</v>
      </c>
      <c r="Y236" s="0" t="n">
        <f aca="false">AC236-U236</f>
        <v>-0.17</v>
      </c>
    </row>
    <row r="237" customFormat="false" ht="12.75" hidden="false" customHeight="false" outlineLevel="0" collapsed="false">
      <c r="A237" s="0"/>
      <c r="S237" s="947" t="n">
        <v>44013</v>
      </c>
      <c r="T237" s="0" t="n">
        <v>4.5</v>
      </c>
      <c r="U237" s="0" t="n">
        <v>0.17</v>
      </c>
      <c r="X237" s="0" t="n">
        <f aca="false">AB237-T237</f>
        <v>-4.5</v>
      </c>
      <c r="Y237" s="0" t="n">
        <f aca="false">AC237-U237</f>
        <v>-0.17</v>
      </c>
    </row>
    <row r="238" customFormat="false" ht="12.75" hidden="false" customHeight="false" outlineLevel="0" collapsed="false">
      <c r="A238" s="0"/>
      <c r="S238" s="947" t="n">
        <v>44044</v>
      </c>
      <c r="T238" s="0" t="n">
        <v>4.534</v>
      </c>
      <c r="U238" s="0" t="n">
        <v>0.17</v>
      </c>
      <c r="X238" s="0" t="n">
        <f aca="false">AB238-T238</f>
        <v>-4.534</v>
      </c>
      <c r="Y238" s="0" t="n">
        <f aca="false">AC238-U238</f>
        <v>-0.17</v>
      </c>
    </row>
    <row r="239" customFormat="false" ht="12.75" hidden="false" customHeight="false" outlineLevel="0" collapsed="false">
      <c r="A239" s="0"/>
      <c r="S239" s="947" t="n">
        <v>44075</v>
      </c>
      <c r="T239" s="0" t="n">
        <v>4.547</v>
      </c>
      <c r="U239" s="0" t="n">
        <v>0.17</v>
      </c>
      <c r="X239" s="0" t="n">
        <f aca="false">AB239-T239</f>
        <v>-4.547</v>
      </c>
      <c r="Y239" s="0" t="n">
        <f aca="false">AC239-U239</f>
        <v>-0.17</v>
      </c>
    </row>
    <row r="240" customFormat="false" ht="12.75" hidden="false" customHeight="false" outlineLevel="0" collapsed="false">
      <c r="A240" s="0"/>
      <c r="S240" s="947" t="n">
        <v>44105</v>
      </c>
      <c r="T240" s="0" t="n">
        <v>4.546</v>
      </c>
      <c r="U240" s="0" t="n">
        <v>0.17</v>
      </c>
      <c r="X240" s="0" t="n">
        <f aca="false">AB240-T240</f>
        <v>-4.546</v>
      </c>
      <c r="Y240" s="0" t="n">
        <f aca="false">AC240-U240</f>
        <v>-0.17</v>
      </c>
    </row>
    <row r="241" customFormat="false" ht="12.75" hidden="false" customHeight="false" outlineLevel="0" collapsed="false">
      <c r="A241" s="0"/>
      <c r="S241" s="947" t="n">
        <v>44136</v>
      </c>
      <c r="T241" s="0" t="n">
        <v>4.701</v>
      </c>
      <c r="U241" s="0" t="n">
        <v>0.17</v>
      </c>
      <c r="X241" s="0" t="n">
        <f aca="false">AB241-T241</f>
        <v>-4.701</v>
      </c>
      <c r="Y241" s="0" t="n">
        <f aca="false">AC241-U241</f>
        <v>-0.17</v>
      </c>
    </row>
    <row r="242" customFormat="false" ht="12.75" hidden="false" customHeight="false" outlineLevel="0" collapsed="false">
      <c r="A242" s="0"/>
      <c r="S242" s="947" t="n">
        <v>44166</v>
      </c>
      <c r="T242" s="0" t="n">
        <v>4.866</v>
      </c>
      <c r="U242" s="0" t="n">
        <v>0.17</v>
      </c>
      <c r="X242" s="0" t="n">
        <f aca="false">AB242-T242</f>
        <v>-4.866</v>
      </c>
      <c r="Y242" s="0" t="n">
        <f aca="false">AC242-U242</f>
        <v>-0.17</v>
      </c>
    </row>
    <row r="243" customFormat="false" ht="12.75" hidden="false" customHeight="false" outlineLevel="0" collapsed="false">
      <c r="A243" s="0"/>
      <c r="S243" s="947" t="n">
        <v>44197</v>
      </c>
      <c r="T243" s="0" t="n">
        <v>4.956</v>
      </c>
      <c r="U243" s="0" t="n">
        <v>0.17</v>
      </c>
      <c r="X243" s="0" t="n">
        <f aca="false">AB243-T243</f>
        <v>-4.956</v>
      </c>
      <c r="Y243" s="0" t="n">
        <f aca="false">AC243-U243</f>
        <v>-0.17</v>
      </c>
    </row>
    <row r="244" customFormat="false" ht="12.75" hidden="false" customHeight="false" outlineLevel="0" collapsed="false">
      <c r="A244" s="0"/>
      <c r="S244" s="947" t="n">
        <v>44228</v>
      </c>
      <c r="T244" s="0" t="n">
        <v>4.842</v>
      </c>
      <c r="U244" s="0" t="n">
        <v>0.17</v>
      </c>
      <c r="X244" s="0" t="n">
        <f aca="false">AB244-T244</f>
        <v>-4.842</v>
      </c>
      <c r="Y244" s="0" t="n">
        <f aca="false">AC244-U244</f>
        <v>-0.17</v>
      </c>
    </row>
    <row r="245" customFormat="false" ht="12.75" hidden="false" customHeight="false" outlineLevel="0" collapsed="false">
      <c r="A245" s="0"/>
      <c r="S245" s="947" t="n">
        <v>44256</v>
      </c>
      <c r="T245" s="0" t="n">
        <v>4.71</v>
      </c>
      <c r="U245" s="0" t="n">
        <v>0.17</v>
      </c>
      <c r="X245" s="0" t="n">
        <f aca="false">AB245-T245</f>
        <v>-4.71</v>
      </c>
      <c r="Y245" s="0" t="n">
        <f aca="false">AC245-U245</f>
        <v>-0.17</v>
      </c>
    </row>
    <row r="246" customFormat="false" ht="12.75" hidden="false" customHeight="false" outlineLevel="0" collapsed="false">
      <c r="A246" s="0"/>
      <c r="S246" s="947" t="n">
        <v>44287</v>
      </c>
      <c r="T246" s="0" t="n">
        <v>4.512</v>
      </c>
      <c r="U246" s="0" t="n">
        <v>0.17</v>
      </c>
      <c r="X246" s="0" t="n">
        <f aca="false">AB246-T246</f>
        <v>-4.512</v>
      </c>
      <c r="Y246" s="0" t="n">
        <f aca="false">AC246-U246</f>
        <v>-0.17</v>
      </c>
    </row>
    <row r="247" customFormat="false" ht="12.75" hidden="false" customHeight="false" outlineLevel="0" collapsed="false">
      <c r="A247" s="0"/>
      <c r="S247" s="947" t="n">
        <v>44317</v>
      </c>
      <c r="T247" s="0" t="n">
        <v>4.508</v>
      </c>
      <c r="U247" s="0" t="n">
        <v>0.17</v>
      </c>
      <c r="X247" s="0" t="n">
        <f aca="false">AB247-T247</f>
        <v>-4.508</v>
      </c>
      <c r="Y247" s="0" t="n">
        <f aca="false">AC247-U247</f>
        <v>-0.17</v>
      </c>
    </row>
    <row r="248" customFormat="false" ht="12.75" hidden="false" customHeight="false" outlineLevel="0" collapsed="false">
      <c r="A248" s="0"/>
      <c r="S248" s="947" t="n">
        <v>44348</v>
      </c>
      <c r="T248" s="0" t="n">
        <v>4.54</v>
      </c>
      <c r="U248" s="0" t="n">
        <v>0.17</v>
      </c>
      <c r="X248" s="0" t="n">
        <f aca="false">AB248-T248</f>
        <v>-4.54</v>
      </c>
      <c r="Y248" s="0" t="n">
        <f aca="false">AC248-U248</f>
        <v>-0.17</v>
      </c>
    </row>
    <row r="249" customFormat="false" ht="12.75" hidden="false" customHeight="false" outlineLevel="0" collapsed="false">
      <c r="A249" s="0"/>
      <c r="S249" s="947" t="n">
        <v>44378</v>
      </c>
      <c r="T249" s="0" t="n">
        <v>4.59</v>
      </c>
      <c r="U249" s="0" t="n">
        <v>0.17</v>
      </c>
      <c r="X249" s="0" t="n">
        <f aca="false">AB249-T249</f>
        <v>-4.59</v>
      </c>
      <c r="Y249" s="0" t="n">
        <f aca="false">AC249-U249</f>
        <v>-0.17</v>
      </c>
    </row>
    <row r="250" customFormat="false" ht="12.75" hidden="false" customHeight="false" outlineLevel="0" collapsed="false">
      <c r="A250" s="0"/>
      <c r="S250" s="947" t="n">
        <v>44409</v>
      </c>
      <c r="T250" s="0" t="n">
        <v>4.624</v>
      </c>
      <c r="U250" s="0" t="n">
        <v>0.17</v>
      </c>
      <c r="X250" s="0" t="n">
        <f aca="false">AB250-T250</f>
        <v>-4.624</v>
      </c>
      <c r="Y250" s="0" t="n">
        <f aca="false">AC250-U250</f>
        <v>-0.17</v>
      </c>
    </row>
    <row r="251" customFormat="false" ht="12.75" hidden="false" customHeight="false" outlineLevel="0" collapsed="false">
      <c r="A251" s="0"/>
      <c r="S251" s="947" t="n">
        <v>44440</v>
      </c>
      <c r="T251" s="0" t="n">
        <v>4.637</v>
      </c>
      <c r="U251" s="0" t="n">
        <v>0.17</v>
      </c>
      <c r="X251" s="0" t="n">
        <f aca="false">AB251-T251</f>
        <v>-4.637</v>
      </c>
      <c r="Y251" s="0" t="n">
        <f aca="false">AC251-U251</f>
        <v>-0.17</v>
      </c>
    </row>
    <row r="252" customFormat="false" ht="12.75" hidden="false" customHeight="false" outlineLevel="0" collapsed="false">
      <c r="A252" s="0"/>
      <c r="S252" s="947" t="n">
        <v>44470</v>
      </c>
      <c r="T252" s="0" t="n">
        <v>4.636</v>
      </c>
      <c r="U252" s="0" t="n">
        <v>0.17</v>
      </c>
      <c r="X252" s="0" t="n">
        <f aca="false">AB252-T252</f>
        <v>-4.636</v>
      </c>
      <c r="Y252" s="0" t="n">
        <f aca="false">AC252-U252</f>
        <v>-0.17</v>
      </c>
    </row>
    <row r="253" customFormat="false" ht="12.75" hidden="false" customHeight="false" outlineLevel="0" collapsed="false">
      <c r="A253" s="0"/>
      <c r="S253" s="947" t="n">
        <v>44501</v>
      </c>
      <c r="T253" s="0" t="n">
        <v>4.791</v>
      </c>
      <c r="U253" s="0" t="n">
        <v>0.17</v>
      </c>
      <c r="X253" s="0" t="n">
        <f aca="false">AB253-T253</f>
        <v>-4.791</v>
      </c>
      <c r="Y253" s="0" t="n">
        <f aca="false">AC253-U253</f>
        <v>-0.17</v>
      </c>
    </row>
    <row r="254" customFormat="false" ht="12.75" hidden="false" customHeight="false" outlineLevel="0" collapsed="false">
      <c r="A254" s="0"/>
      <c r="S254" s="947" t="n">
        <v>44531</v>
      </c>
      <c r="T254" s="0" t="n">
        <v>4.956</v>
      </c>
      <c r="U254" s="0" t="n">
        <v>0.17</v>
      </c>
      <c r="X254" s="0" t="n">
        <f aca="false">AB254-T254</f>
        <v>-4.956</v>
      </c>
      <c r="Y254" s="0" t="n">
        <f aca="false">AC254-U254</f>
        <v>-0.17</v>
      </c>
    </row>
    <row r="255" customFormat="false" ht="12.75" hidden="false" customHeight="false" outlineLevel="0" collapsed="false">
      <c r="A255" s="0"/>
      <c r="S255" s="947" t="n">
        <v>44562</v>
      </c>
      <c r="T255" s="0" t="n">
        <v>5.046</v>
      </c>
      <c r="U255" s="0" t="n">
        <v>0.17</v>
      </c>
      <c r="X255" s="0" t="n">
        <f aca="false">AB255-T255</f>
        <v>-5.046</v>
      </c>
      <c r="Y255" s="0" t="n">
        <f aca="false">AC255-U255</f>
        <v>-0.17</v>
      </c>
    </row>
    <row r="256" customFormat="false" ht="12.75" hidden="false" customHeight="false" outlineLevel="0" collapsed="false">
      <c r="A256" s="0"/>
      <c r="S256" s="947" t="n">
        <v>44593</v>
      </c>
      <c r="T256" s="0" t="n">
        <v>4.932</v>
      </c>
      <c r="U256" s="0" t="n">
        <v>0.17</v>
      </c>
      <c r="X256" s="0" t="n">
        <f aca="false">AB256-T256</f>
        <v>-4.932</v>
      </c>
      <c r="Y256" s="0" t="n">
        <f aca="false">AC256-U256</f>
        <v>-0.17</v>
      </c>
    </row>
    <row r="257" customFormat="false" ht="12.75" hidden="false" customHeight="false" outlineLevel="0" collapsed="false">
      <c r="A257" s="0"/>
      <c r="S257" s="947" t="n">
        <v>44621</v>
      </c>
      <c r="T257" s="0" t="n">
        <v>4.8</v>
      </c>
      <c r="U257" s="0" t="n">
        <v>0.17</v>
      </c>
      <c r="X257" s="0" t="n">
        <f aca="false">AB257-T257</f>
        <v>-4.8</v>
      </c>
      <c r="Y257" s="0" t="n">
        <f aca="false">AC257-U257</f>
        <v>-0.17</v>
      </c>
    </row>
    <row r="258" customFormat="false" ht="12.75" hidden="false" customHeight="false" outlineLevel="0" collapsed="false">
      <c r="A258" s="0"/>
      <c r="S258" s="947" t="n">
        <v>44652</v>
      </c>
      <c r="T258" s="0" t="n">
        <v>4.602</v>
      </c>
      <c r="U258" s="0" t="n">
        <v>0.17</v>
      </c>
      <c r="X258" s="0" t="n">
        <f aca="false">AB258-T258</f>
        <v>-4.602</v>
      </c>
      <c r="Y258" s="0" t="n">
        <f aca="false">AC258-U258</f>
        <v>-0.17</v>
      </c>
    </row>
    <row r="259" customFormat="false" ht="12.75" hidden="false" customHeight="false" outlineLevel="0" collapsed="false">
      <c r="A259" s="0"/>
      <c r="S259" s="947" t="n">
        <v>44682</v>
      </c>
      <c r="T259" s="0" t="n">
        <v>4.598</v>
      </c>
      <c r="U259" s="0" t="n">
        <v>0.17</v>
      </c>
      <c r="X259" s="0" t="n">
        <f aca="false">AB259-T259</f>
        <v>-4.598</v>
      </c>
      <c r="Y259" s="0" t="n">
        <f aca="false">AC259-U259</f>
        <v>-0.17</v>
      </c>
    </row>
    <row r="260" customFormat="false" ht="12.75" hidden="false" customHeight="false" outlineLevel="0" collapsed="false">
      <c r="A260" s="0"/>
      <c r="S260" s="947" t="n">
        <v>44713</v>
      </c>
      <c r="T260" s="0" t="n">
        <v>4.63</v>
      </c>
      <c r="U260" s="0" t="n">
        <v>0.17</v>
      </c>
      <c r="X260" s="0" t="n">
        <f aca="false">AB260-T260</f>
        <v>-4.63</v>
      </c>
      <c r="Y260" s="0" t="n">
        <f aca="false">AC260-U260</f>
        <v>-0.17</v>
      </c>
    </row>
    <row r="261" customFormat="false" ht="12.75" hidden="false" customHeight="false" outlineLevel="0" collapsed="false">
      <c r="A261" s="0"/>
      <c r="S261" s="947" t="n">
        <v>44743</v>
      </c>
      <c r="T261" s="0" t="n">
        <v>4.68</v>
      </c>
      <c r="U261" s="0" t="n">
        <v>0.17</v>
      </c>
      <c r="X261" s="0" t="n">
        <f aca="false">AB261-T261</f>
        <v>-4.68</v>
      </c>
      <c r="Y261" s="0" t="n">
        <f aca="false">AC261-U261</f>
        <v>-0.17</v>
      </c>
    </row>
    <row r="262" customFormat="false" ht="12.75" hidden="false" customHeight="false" outlineLevel="0" collapsed="false">
      <c r="A262" s="0"/>
      <c r="S262" s="947" t="n">
        <v>44774</v>
      </c>
      <c r="T262" s="0" t="n">
        <v>4.714</v>
      </c>
      <c r="U262" s="0" t="n">
        <v>0.17</v>
      </c>
      <c r="X262" s="0" t="n">
        <f aca="false">AB262-T262</f>
        <v>-4.714</v>
      </c>
      <c r="Y262" s="0" t="n">
        <f aca="false">AC262-U262</f>
        <v>-0.17</v>
      </c>
    </row>
    <row r="263" customFormat="false" ht="12.75" hidden="false" customHeight="false" outlineLevel="0" collapsed="false">
      <c r="A263" s="0"/>
      <c r="S263" s="947" t="n">
        <v>44805</v>
      </c>
      <c r="T263" s="0" t="n">
        <v>4.727</v>
      </c>
      <c r="U263" s="0" t="n">
        <v>0.17</v>
      </c>
      <c r="X263" s="0" t="n">
        <f aca="false">AB263-T263</f>
        <v>-4.727</v>
      </c>
      <c r="Y263" s="0" t="n">
        <f aca="false">AC263-U263</f>
        <v>-0.17</v>
      </c>
    </row>
    <row r="264" customFormat="false" ht="12.75" hidden="false" customHeight="false" outlineLevel="0" collapsed="false">
      <c r="A264" s="0"/>
      <c r="S264" s="947" t="n">
        <v>44835</v>
      </c>
      <c r="T264" s="0" t="n">
        <v>4.726</v>
      </c>
      <c r="U264" s="0" t="n">
        <v>0.17</v>
      </c>
      <c r="X264" s="0" t="n">
        <f aca="false">AB264-T264</f>
        <v>-4.726</v>
      </c>
      <c r="Y264" s="0" t="n">
        <f aca="false">AC264-U264</f>
        <v>-0.17</v>
      </c>
    </row>
    <row r="265" customFormat="false" ht="12.75" hidden="false" customHeight="false" outlineLevel="0" collapsed="false">
      <c r="A265" s="0"/>
      <c r="S265" s="947" t="n">
        <v>44866</v>
      </c>
      <c r="T265" s="0" t="n">
        <v>4.881</v>
      </c>
      <c r="U265" s="0" t="n">
        <v>0.17</v>
      </c>
      <c r="X265" s="0" t="n">
        <f aca="false">AB265-T265</f>
        <v>-4.881</v>
      </c>
      <c r="Y265" s="0" t="n">
        <f aca="false">AC265-U265</f>
        <v>-0.17</v>
      </c>
    </row>
    <row r="266" customFormat="false" ht="12.75" hidden="false" customHeight="false" outlineLevel="0" collapsed="false">
      <c r="A266" s="0"/>
      <c r="S266" s="947" t="n">
        <v>44896</v>
      </c>
      <c r="T266" s="0" t="n">
        <v>5.046</v>
      </c>
      <c r="U266" s="0" t="n">
        <v>0.17</v>
      </c>
      <c r="X266" s="0" t="n">
        <f aca="false">AB266-T266</f>
        <v>-5.046</v>
      </c>
      <c r="Y266" s="0" t="n">
        <f aca="false">AC266-U266</f>
        <v>-0.17</v>
      </c>
    </row>
    <row r="267" customFormat="false" ht="12.75" hidden="false" customHeight="false" outlineLevel="0" collapsed="false">
      <c r="A267" s="0"/>
      <c r="S267" s="947" t="n">
        <v>44927</v>
      </c>
      <c r="T267" s="0" t="n">
        <v>5.136</v>
      </c>
      <c r="U267" s="0" t="n">
        <v>0.17</v>
      </c>
      <c r="X267" s="0" t="n">
        <f aca="false">AB267-T267</f>
        <v>-5.136</v>
      </c>
      <c r="Y267" s="0" t="n">
        <f aca="false">AC267-U267</f>
        <v>-0.17</v>
      </c>
    </row>
    <row r="268" customFormat="false" ht="12.75" hidden="false" customHeight="false" outlineLevel="0" collapsed="false">
      <c r="A268" s="0"/>
      <c r="S268" s="947" t="n">
        <v>44958</v>
      </c>
      <c r="T268" s="0" t="n">
        <v>5.022</v>
      </c>
      <c r="U268" s="0" t="n">
        <v>0.17</v>
      </c>
      <c r="X268" s="0" t="n">
        <f aca="false">AB268-T268</f>
        <v>-5.022</v>
      </c>
      <c r="Y268" s="0" t="n">
        <f aca="false">AC268-U268</f>
        <v>-0.17</v>
      </c>
    </row>
    <row r="269" customFormat="false" ht="12.75" hidden="false" customHeight="false" outlineLevel="0" collapsed="false">
      <c r="A269" s="0"/>
      <c r="S269" s="947" t="n">
        <v>44986</v>
      </c>
      <c r="T269" s="0" t="n">
        <v>4.89</v>
      </c>
      <c r="U269" s="0" t="n">
        <v>0.17</v>
      </c>
      <c r="X269" s="0" t="n">
        <f aca="false">AB269-T269</f>
        <v>-4.89</v>
      </c>
      <c r="Y269" s="0" t="n">
        <f aca="false">AC269-U269</f>
        <v>-0.17</v>
      </c>
    </row>
    <row r="270" customFormat="false" ht="12.75" hidden="false" customHeight="false" outlineLevel="0" collapsed="false">
      <c r="A270" s="0"/>
      <c r="S270" s="947" t="n">
        <v>45017</v>
      </c>
      <c r="T270" s="0" t="n">
        <v>4.692</v>
      </c>
      <c r="U270" s="0" t="n">
        <v>0.17</v>
      </c>
      <c r="X270" s="0" t="n">
        <f aca="false">AB270-T270</f>
        <v>-4.692</v>
      </c>
      <c r="Y270" s="0" t="n">
        <f aca="false">AC270-U270</f>
        <v>-0.17</v>
      </c>
    </row>
    <row r="271" customFormat="false" ht="12.75" hidden="false" customHeight="false" outlineLevel="0" collapsed="false">
      <c r="A271" s="0"/>
      <c r="S271" s="947" t="n">
        <v>45047</v>
      </c>
      <c r="T271" s="0" t="n">
        <v>4.688</v>
      </c>
      <c r="U271" s="0" t="n">
        <v>0.17</v>
      </c>
      <c r="X271" s="0" t="n">
        <f aca="false">AB271-T271</f>
        <v>-4.688</v>
      </c>
      <c r="Y271" s="0" t="n">
        <f aca="false">AC271-U271</f>
        <v>-0.17</v>
      </c>
    </row>
    <row r="272" customFormat="false" ht="12.75" hidden="false" customHeight="false" outlineLevel="0" collapsed="false">
      <c r="A272" s="0"/>
      <c r="S272" s="947" t="n">
        <v>45078</v>
      </c>
      <c r="T272" s="0" t="n">
        <v>4.72</v>
      </c>
      <c r="U272" s="0" t="n">
        <v>0.17</v>
      </c>
      <c r="X272" s="0" t="n">
        <f aca="false">AB272-T272</f>
        <v>-4.72</v>
      </c>
      <c r="Y272" s="0" t="n">
        <f aca="false">AC272-U272</f>
        <v>-0.17</v>
      </c>
    </row>
    <row r="273" customFormat="false" ht="12.75" hidden="false" customHeight="false" outlineLevel="0" collapsed="false">
      <c r="A273" s="0"/>
      <c r="S273" s="947" t="n">
        <v>45108</v>
      </c>
      <c r="T273" s="0" t="n">
        <v>4.77</v>
      </c>
      <c r="U273" s="0" t="n">
        <v>0.17</v>
      </c>
      <c r="X273" s="0" t="n">
        <f aca="false">AB273-T273</f>
        <v>-4.77</v>
      </c>
      <c r="Y273" s="0" t="n">
        <f aca="false">AC273-U273</f>
        <v>-0.17</v>
      </c>
    </row>
    <row r="274" customFormat="false" ht="12.75" hidden="false" customHeight="false" outlineLevel="0" collapsed="false">
      <c r="A274" s="0"/>
      <c r="S274" s="947" t="n">
        <v>45139</v>
      </c>
      <c r="T274" s="0" t="n">
        <v>4.804</v>
      </c>
      <c r="U274" s="0" t="n">
        <v>0.17</v>
      </c>
      <c r="X274" s="0" t="n">
        <f aca="false">AB274-T274</f>
        <v>-4.804</v>
      </c>
      <c r="Y274" s="0" t="n">
        <f aca="false">AC274-U274</f>
        <v>-0.17</v>
      </c>
    </row>
    <row r="275" customFormat="false" ht="12.75" hidden="false" customHeight="false" outlineLevel="0" collapsed="false">
      <c r="A275" s="0"/>
      <c r="S275" s="947" t="n">
        <v>45170</v>
      </c>
      <c r="T275" s="0" t="n">
        <v>4.817</v>
      </c>
      <c r="U275" s="0" t="n">
        <v>0.17</v>
      </c>
      <c r="X275" s="0" t="n">
        <f aca="false">AB275-T275</f>
        <v>-4.817</v>
      </c>
      <c r="Y275" s="0" t="n">
        <f aca="false">AC275-U275</f>
        <v>-0.17</v>
      </c>
    </row>
    <row r="276" customFormat="false" ht="12.75" hidden="false" customHeight="false" outlineLevel="0" collapsed="false">
      <c r="A276" s="0"/>
      <c r="S276" s="947" t="n">
        <v>45200</v>
      </c>
      <c r="T276" s="0" t="n">
        <v>4.816</v>
      </c>
      <c r="U276" s="0" t="n">
        <v>0.17</v>
      </c>
      <c r="X276" s="0" t="n">
        <f aca="false">AB276-T276</f>
        <v>-4.816</v>
      </c>
      <c r="Y276" s="0" t="n">
        <f aca="false">AC276-U276</f>
        <v>-0.17</v>
      </c>
    </row>
    <row r="277" customFormat="false" ht="12.75" hidden="false" customHeight="false" outlineLevel="0" collapsed="false">
      <c r="A277" s="0"/>
      <c r="S277" s="947" t="n">
        <v>45231</v>
      </c>
      <c r="T277" s="0" t="n">
        <v>4.971</v>
      </c>
      <c r="U277" s="0" t="n">
        <v>0.17</v>
      </c>
      <c r="X277" s="0" t="n">
        <f aca="false">AB277-T277</f>
        <v>-4.971</v>
      </c>
      <c r="Y277" s="0" t="n">
        <f aca="false">AC277-U277</f>
        <v>-0.17</v>
      </c>
    </row>
    <row r="278" customFormat="false" ht="12.75" hidden="false" customHeight="false" outlineLevel="0" collapsed="false">
      <c r="A278" s="0"/>
      <c r="S278" s="947" t="n">
        <v>45261</v>
      </c>
      <c r="T278" s="0" t="n">
        <v>5.136</v>
      </c>
      <c r="U278" s="0" t="n">
        <v>0.17</v>
      </c>
      <c r="X278" s="0" t="n">
        <f aca="false">AB278-T278</f>
        <v>-5.136</v>
      </c>
      <c r="Y278" s="0" t="n">
        <f aca="false">AC278-U278</f>
        <v>-0.17</v>
      </c>
    </row>
    <row r="279" customFormat="false" ht="12.75" hidden="false" customHeight="false" outlineLevel="0" collapsed="false">
      <c r="A279" s="0"/>
      <c r="S279" s="947" t="n">
        <v>45292</v>
      </c>
      <c r="T279" s="0" t="n">
        <v>5.226</v>
      </c>
      <c r="U279" s="0" t="n">
        <v>0.17</v>
      </c>
      <c r="X279" s="0" t="n">
        <f aca="false">AB279-T279</f>
        <v>-5.226</v>
      </c>
      <c r="Y279" s="0" t="n">
        <f aca="false">AC279-U279</f>
        <v>-0.17</v>
      </c>
    </row>
    <row r="280" customFormat="false" ht="12.75" hidden="false" customHeight="false" outlineLevel="0" collapsed="false">
      <c r="A280" s="0"/>
      <c r="S280" s="947" t="n">
        <v>45323</v>
      </c>
      <c r="T280" s="0" t="n">
        <v>5.112</v>
      </c>
      <c r="U280" s="0" t="n">
        <v>0.17</v>
      </c>
      <c r="X280" s="0" t="n">
        <f aca="false">AB280-T280</f>
        <v>-5.112</v>
      </c>
      <c r="Y280" s="0" t="n">
        <f aca="false">AC280-U280</f>
        <v>-0.17</v>
      </c>
    </row>
    <row r="281" customFormat="false" ht="12.75" hidden="false" customHeight="false" outlineLevel="0" collapsed="false">
      <c r="A281" s="0"/>
      <c r="S281" s="947" t="n">
        <v>45352</v>
      </c>
      <c r="T281" s="0" t="n">
        <v>4.98</v>
      </c>
      <c r="U281" s="0" t="n">
        <v>0.17</v>
      </c>
      <c r="X281" s="0" t="n">
        <f aca="false">AB281-T281</f>
        <v>-4.98</v>
      </c>
      <c r="Y281" s="0" t="n">
        <f aca="false">AC281-U281</f>
        <v>-0.17</v>
      </c>
    </row>
    <row r="282" customFormat="false" ht="12.75" hidden="false" customHeight="false" outlineLevel="0" collapsed="false">
      <c r="A282" s="0"/>
      <c r="S282" s="947" t="n">
        <v>45383</v>
      </c>
      <c r="T282" s="0" t="n">
        <v>4.782</v>
      </c>
      <c r="U282" s="0" t="n">
        <v>0.17</v>
      </c>
      <c r="X282" s="0" t="n">
        <f aca="false">AB282-T282</f>
        <v>-4.782</v>
      </c>
      <c r="Y282" s="0" t="n">
        <f aca="false">AC282-U282</f>
        <v>-0.17</v>
      </c>
    </row>
    <row r="283" customFormat="false" ht="12.75" hidden="false" customHeight="false" outlineLevel="0" collapsed="false">
      <c r="A283" s="0"/>
      <c r="S283" s="947" t="n">
        <v>45413</v>
      </c>
      <c r="T283" s="0" t="n">
        <v>4.778</v>
      </c>
      <c r="U283" s="0" t="n">
        <v>0.17</v>
      </c>
      <c r="X283" s="0" t="n">
        <f aca="false">AB283-T283</f>
        <v>-4.778</v>
      </c>
      <c r="Y283" s="0" t="n">
        <f aca="false">AC283-U283</f>
        <v>-0.17</v>
      </c>
    </row>
    <row r="284" customFormat="false" ht="12.75" hidden="false" customHeight="false" outlineLevel="0" collapsed="false">
      <c r="A284" s="0"/>
      <c r="S284" s="947" t="n">
        <v>45444</v>
      </c>
      <c r="T284" s="0" t="n">
        <v>4.81</v>
      </c>
      <c r="U284" s="0" t="n">
        <v>0.17</v>
      </c>
      <c r="X284" s="0" t="n">
        <f aca="false">AB284-T284</f>
        <v>-4.81</v>
      </c>
      <c r="Y284" s="0" t="n">
        <f aca="false">AC284-U284</f>
        <v>-0.17</v>
      </c>
    </row>
    <row r="285" customFormat="false" ht="12.75" hidden="false" customHeight="false" outlineLevel="0" collapsed="false">
      <c r="A285" s="0"/>
      <c r="S285" s="947" t="n">
        <v>45474</v>
      </c>
      <c r="T285" s="0" t="n">
        <v>4.86</v>
      </c>
      <c r="U285" s="0" t="n">
        <v>0.17</v>
      </c>
      <c r="X285" s="0" t="n">
        <f aca="false">AB285-T285</f>
        <v>-4.86</v>
      </c>
      <c r="Y285" s="0" t="n">
        <f aca="false">AC285-U285</f>
        <v>-0.17</v>
      </c>
    </row>
    <row r="286" customFormat="false" ht="12.75" hidden="false" customHeight="false" outlineLevel="0" collapsed="false">
      <c r="A286" s="0"/>
      <c r="S286" s="947" t="n">
        <v>45505</v>
      </c>
      <c r="T286" s="0" t="n">
        <v>4.894</v>
      </c>
      <c r="U286" s="0" t="n">
        <v>0.17</v>
      </c>
      <c r="X286" s="0" t="n">
        <f aca="false">AB286-T286</f>
        <v>-4.894</v>
      </c>
      <c r="Y286" s="0" t="n">
        <f aca="false">AC286-U286</f>
        <v>-0.17</v>
      </c>
    </row>
    <row r="287" customFormat="false" ht="12.75" hidden="false" customHeight="false" outlineLevel="0" collapsed="false">
      <c r="A287" s="0"/>
      <c r="S287" s="947" t="n">
        <v>45536</v>
      </c>
      <c r="T287" s="0" t="n">
        <v>4.907</v>
      </c>
      <c r="U287" s="0" t="n">
        <v>0.17</v>
      </c>
      <c r="X287" s="0" t="n">
        <f aca="false">AB287-T287</f>
        <v>-4.907</v>
      </c>
      <c r="Y287" s="0" t="n">
        <f aca="false">AC287-U287</f>
        <v>-0.17</v>
      </c>
    </row>
    <row r="288" customFormat="false" ht="12.75" hidden="false" customHeight="false" outlineLevel="0" collapsed="false">
      <c r="A288" s="0"/>
      <c r="S288" s="947" t="n">
        <v>45566</v>
      </c>
      <c r="T288" s="0" t="n">
        <v>4.906</v>
      </c>
      <c r="U288" s="0" t="n">
        <v>0.17</v>
      </c>
      <c r="X288" s="0" t="n">
        <f aca="false">AB288-T288</f>
        <v>-4.906</v>
      </c>
      <c r="Y288" s="0" t="n">
        <f aca="false">AC288-U288</f>
        <v>-0.17</v>
      </c>
    </row>
    <row r="289" customFormat="false" ht="12.75" hidden="false" customHeight="false" outlineLevel="0" collapsed="false">
      <c r="A289" s="0"/>
      <c r="S289" s="947" t="n">
        <v>45597</v>
      </c>
      <c r="T289" s="0" t="n">
        <v>5.061</v>
      </c>
      <c r="U289" s="0" t="n">
        <v>0.17</v>
      </c>
      <c r="X289" s="0" t="n">
        <f aca="false">AB289-T289</f>
        <v>-5.061</v>
      </c>
      <c r="Y289" s="0" t="n">
        <f aca="false">AC289-U289</f>
        <v>-0.17</v>
      </c>
    </row>
    <row r="290" customFormat="false" ht="12.75" hidden="false" customHeight="false" outlineLevel="0" collapsed="false">
      <c r="A290" s="0"/>
      <c r="S290" s="947" t="n">
        <v>45627</v>
      </c>
      <c r="T290" s="0" t="n">
        <v>5.226</v>
      </c>
      <c r="U290" s="0" t="n">
        <v>0.17</v>
      </c>
      <c r="X290" s="0" t="n">
        <f aca="false">AB290-T290</f>
        <v>-5.226</v>
      </c>
      <c r="Y290" s="0" t="n">
        <f aca="false">AC290-U290</f>
        <v>-0.17</v>
      </c>
    </row>
    <row r="291" customFormat="false" ht="12.75" hidden="false" customHeight="false" outlineLevel="0" collapsed="false">
      <c r="A291" s="0"/>
      <c r="X291" s="0" t="n">
        <f aca="false">AB291-T291</f>
        <v>0</v>
      </c>
      <c r="Y291" s="0" t="n">
        <f aca="false">AC291-U291</f>
        <v>0</v>
      </c>
    </row>
    <row r="292" customFormat="false" ht="12.75" hidden="false" customHeight="false" outlineLevel="0" collapsed="false">
      <c r="A292" s="0"/>
      <c r="X292" s="0" t="n">
        <f aca="false">AB292-T292</f>
        <v>0</v>
      </c>
      <c r="Y292" s="0" t="n">
        <f aca="false">AC292-U292</f>
        <v>0</v>
      </c>
    </row>
    <row r="293" customFormat="false" ht="12.75" hidden="false" customHeight="false" outlineLevel="0" collapsed="false">
      <c r="A293" s="0"/>
      <c r="X293" s="0" t="n">
        <f aca="false">AB293-T293</f>
        <v>0</v>
      </c>
      <c r="Y293" s="0" t="n">
        <f aca="false">AC293-U293</f>
        <v>0</v>
      </c>
    </row>
    <row r="294" customFormat="false" ht="12.75" hidden="false" customHeight="false" outlineLevel="0" collapsed="false">
      <c r="A294" s="0"/>
      <c r="X294" s="0" t="n">
        <f aca="false">AB294-T294</f>
        <v>0</v>
      </c>
      <c r="Y294" s="0" t="n">
        <f aca="false">AC294-U294</f>
        <v>0</v>
      </c>
    </row>
    <row r="295" customFormat="false" ht="12.75" hidden="false" customHeight="false" outlineLevel="0" collapsed="false">
      <c r="A295" s="0"/>
      <c r="X295" s="0" t="n">
        <f aca="false">AB295-T295</f>
        <v>0</v>
      </c>
      <c r="Y295" s="0" t="n">
        <f aca="false">AC295-U295</f>
        <v>0</v>
      </c>
    </row>
    <row r="296" customFormat="false" ht="12.75" hidden="false" customHeight="false" outlineLevel="0" collapsed="false">
      <c r="A296" s="0"/>
      <c r="X296" s="0" t="n">
        <f aca="false">AB296-T296</f>
        <v>0</v>
      </c>
      <c r="Y296" s="0" t="n">
        <f aca="false">AC296-U296</f>
        <v>0</v>
      </c>
    </row>
    <row r="297" customFormat="false" ht="12.75" hidden="false" customHeight="false" outlineLevel="0" collapsed="false">
      <c r="A297" s="0"/>
      <c r="X297" s="0" t="n">
        <f aca="false">AB297-T297</f>
        <v>0</v>
      </c>
      <c r="Y297" s="0" t="n">
        <f aca="false">AC297-U297</f>
        <v>0</v>
      </c>
    </row>
    <row r="298" customFormat="false" ht="12.75" hidden="false" customHeight="false" outlineLevel="0" collapsed="false">
      <c r="A298" s="0"/>
      <c r="X298" s="0" t="n">
        <f aca="false">AB298-T298</f>
        <v>0</v>
      </c>
      <c r="Y298" s="0" t="n">
        <f aca="false">AC298-U298</f>
        <v>0</v>
      </c>
    </row>
    <row r="299" customFormat="false" ht="12.75" hidden="false" customHeight="false" outlineLevel="0" collapsed="false">
      <c r="A299" s="0"/>
      <c r="X299" s="0" t="n">
        <f aca="false">AB299-T299</f>
        <v>0</v>
      </c>
      <c r="Y299" s="0" t="n">
        <f aca="false">AC299-U299</f>
        <v>0</v>
      </c>
    </row>
    <row r="300" customFormat="false" ht="12.75" hidden="false" customHeight="false" outlineLevel="0" collapsed="false">
      <c r="A300" s="0"/>
      <c r="X300" s="0" t="n">
        <f aca="false">AB300-T300</f>
        <v>0</v>
      </c>
      <c r="Y300" s="0" t="n">
        <f aca="false">AC300-U300</f>
        <v>0</v>
      </c>
    </row>
    <row r="301" customFormat="false" ht="12.75" hidden="false" customHeight="false" outlineLevel="0" collapsed="false">
      <c r="A301" s="0"/>
      <c r="X301" s="0" t="n">
        <f aca="false">AB301-T301</f>
        <v>0</v>
      </c>
      <c r="Y301" s="0" t="n">
        <f aca="false">AC301-U301</f>
        <v>0</v>
      </c>
    </row>
    <row r="302" customFormat="false" ht="12.75" hidden="false" customHeight="false" outlineLevel="0" collapsed="false">
      <c r="A302" s="0"/>
    </row>
    <row r="303" customFormat="false" ht="12.75" hidden="false" customHeight="false" outlineLevel="0" collapsed="false">
      <c r="A303" s="0"/>
    </row>
    <row r="304" customFormat="false" ht="12.75" hidden="false" customHeight="false" outlineLevel="0" collapsed="false">
      <c r="A304" s="0"/>
    </row>
    <row r="305" customFormat="false" ht="12.75" hidden="false" customHeight="false" outlineLevel="0" collapsed="false">
      <c r="A305" s="0"/>
    </row>
    <row r="306" customFormat="false" ht="12.75" hidden="false" customHeight="false" outlineLevel="0" collapsed="false">
      <c r="A306" s="0"/>
    </row>
    <row r="307" customFormat="false" ht="12.75" hidden="false" customHeight="false" outlineLevel="0" collapsed="false">
      <c r="A307" s="0"/>
    </row>
    <row r="308" customFormat="false" ht="12.75" hidden="false" customHeight="false" outlineLevel="0" collapsed="false">
      <c r="A308" s="0"/>
    </row>
    <row r="309" customFormat="false" ht="12.75" hidden="false" customHeight="false" outlineLevel="0" collapsed="false">
      <c r="A309" s="0"/>
    </row>
    <row r="310" customFormat="false" ht="12.75" hidden="false" customHeight="false" outlineLevel="0" collapsed="false">
      <c r="A310" s="0"/>
    </row>
    <row r="311" customFormat="false" ht="12.75" hidden="false" customHeight="false" outlineLevel="0" collapsed="false">
      <c r="A311" s="0"/>
    </row>
    <row r="312" customFormat="false" ht="12.75" hidden="false" customHeight="false" outlineLevel="0" collapsed="false">
      <c r="A312" s="0"/>
    </row>
    <row r="313" customFormat="false" ht="12.75" hidden="false" customHeight="false" outlineLevel="0" collapsed="false">
      <c r="A313" s="0"/>
    </row>
    <row r="314" customFormat="false" ht="12.75" hidden="false" customHeight="false" outlineLevel="0" collapsed="false">
      <c r="A314" s="0"/>
    </row>
    <row r="315" customFormat="false" ht="12.75" hidden="false" customHeight="false" outlineLevel="0" collapsed="false">
      <c r="A315" s="0"/>
    </row>
    <row r="316" customFormat="false" ht="12.75" hidden="false" customHeight="false" outlineLevel="0" collapsed="false">
      <c r="A316" s="0"/>
    </row>
    <row r="317" customFormat="false" ht="12.75" hidden="false" customHeight="false" outlineLevel="0" collapsed="false">
      <c r="A317" s="0"/>
    </row>
    <row r="318" customFormat="false" ht="12.75" hidden="false" customHeight="false" outlineLevel="0" collapsed="false">
      <c r="A318" s="0"/>
    </row>
    <row r="319" customFormat="false" ht="12.75" hidden="false" customHeight="false" outlineLevel="0" collapsed="false">
      <c r="A319" s="0"/>
    </row>
    <row r="320" customFormat="false" ht="12.75" hidden="false" customHeight="false" outlineLevel="0" collapsed="false">
      <c r="A320" s="0"/>
    </row>
    <row r="321" customFormat="false" ht="12.75" hidden="false" customHeight="false" outlineLevel="0" collapsed="false">
      <c r="A321" s="0"/>
    </row>
    <row r="322" customFormat="false" ht="12.75" hidden="false" customHeight="false" outlineLevel="0" collapsed="false">
      <c r="A322" s="0"/>
    </row>
    <row r="323" customFormat="false" ht="12.75" hidden="false" customHeight="false" outlineLevel="0" collapsed="false">
      <c r="A323" s="0"/>
    </row>
    <row r="324" customFormat="false" ht="12.75" hidden="false" customHeight="false" outlineLevel="0" collapsed="false">
      <c r="A324" s="0"/>
    </row>
    <row r="325" customFormat="false" ht="12.75" hidden="false" customHeight="false" outlineLevel="0" collapsed="false">
      <c r="A325" s="0"/>
    </row>
    <row r="326" customFormat="false" ht="12.75" hidden="false" customHeight="false" outlineLevel="0" collapsed="false">
      <c r="A326" s="0"/>
    </row>
    <row r="327" customFormat="false" ht="12.75" hidden="false" customHeight="false" outlineLevel="0" collapsed="false">
      <c r="A327" s="0"/>
    </row>
    <row r="328" customFormat="false" ht="12.75" hidden="false" customHeight="false" outlineLevel="0" collapsed="false">
      <c r="A328" s="0"/>
    </row>
    <row r="329" customFormat="false" ht="12.75" hidden="false" customHeight="false" outlineLevel="0" collapsed="false">
      <c r="A329" s="0"/>
    </row>
    <row r="330" customFormat="false" ht="12.75" hidden="false" customHeight="false" outlineLevel="0" collapsed="false">
      <c r="A330" s="0"/>
    </row>
    <row r="331" customFormat="false" ht="12.75" hidden="false" customHeight="false" outlineLevel="0" collapsed="false">
      <c r="A331" s="0"/>
    </row>
    <row r="332" customFormat="false" ht="12.75" hidden="false" customHeight="false" outlineLevel="0" collapsed="false">
      <c r="A332" s="0"/>
    </row>
    <row r="333" customFormat="false" ht="12.75" hidden="false" customHeight="false" outlineLevel="0" collapsed="false">
      <c r="A333" s="0"/>
    </row>
    <row r="334" customFormat="false" ht="12.75" hidden="false" customHeight="false" outlineLevel="0" collapsed="false">
      <c r="A334" s="0"/>
    </row>
    <row r="335" customFormat="false" ht="12.75" hidden="false" customHeight="false" outlineLevel="0" collapsed="false">
      <c r="A335" s="0"/>
    </row>
    <row r="336" customFormat="false" ht="12.75" hidden="false" customHeight="false" outlineLevel="0" collapsed="false">
      <c r="A336" s="0"/>
    </row>
    <row r="337" customFormat="false" ht="12.75" hidden="false" customHeight="false" outlineLevel="0" collapsed="false">
      <c r="A337" s="0"/>
    </row>
    <row r="338" customFormat="false" ht="12.75" hidden="false" customHeight="false" outlineLevel="0" collapsed="false">
      <c r="A338" s="0"/>
    </row>
    <row r="339" customFormat="false" ht="12.75" hidden="false" customHeight="false" outlineLevel="0" collapsed="false">
      <c r="A339" s="0"/>
    </row>
    <row r="340" customFormat="false" ht="12.75" hidden="false" customHeight="false" outlineLevel="0" collapsed="false">
      <c r="A340" s="0"/>
    </row>
    <row r="341" customFormat="false" ht="12.75" hidden="false" customHeight="false" outlineLevel="0" collapsed="false">
      <c r="A341" s="0"/>
    </row>
    <row r="342" customFormat="false" ht="12.75" hidden="false" customHeight="false" outlineLevel="0" collapsed="false">
      <c r="A342" s="0"/>
    </row>
    <row r="343" customFormat="false" ht="12.75" hidden="false" customHeight="false" outlineLevel="0" collapsed="false">
      <c r="A343" s="0"/>
    </row>
    <row r="344" customFormat="false" ht="12.75" hidden="false" customHeight="false" outlineLevel="0" collapsed="false">
      <c r="A344" s="0"/>
    </row>
    <row r="345" customFormat="false" ht="12.75" hidden="false" customHeight="false" outlineLevel="0" collapsed="false">
      <c r="A345" s="0"/>
    </row>
    <row r="346" customFormat="false" ht="12.75" hidden="false" customHeight="false" outlineLevel="0" collapsed="false">
      <c r="A346" s="0"/>
    </row>
    <row r="347" customFormat="false" ht="12.75" hidden="false" customHeight="false" outlineLevel="0" collapsed="false">
      <c r="A347" s="0"/>
    </row>
    <row r="348" customFormat="false" ht="12.75" hidden="false" customHeight="false" outlineLevel="0" collapsed="false">
      <c r="A348" s="0"/>
    </row>
    <row r="349" customFormat="false" ht="12.75" hidden="false" customHeight="false" outlineLevel="0" collapsed="false">
      <c r="A349" s="0"/>
    </row>
    <row r="350" customFormat="false" ht="12.75" hidden="false" customHeight="false" outlineLevel="0" collapsed="false">
      <c r="A350" s="0"/>
    </row>
    <row r="351" customFormat="false" ht="12.75" hidden="false" customHeight="false" outlineLevel="0" collapsed="false">
      <c r="A351" s="0"/>
    </row>
    <row r="352" customFormat="false" ht="12.75" hidden="false" customHeight="false" outlineLevel="0" collapsed="false">
      <c r="A352" s="0"/>
    </row>
    <row r="353" customFormat="false" ht="12.75" hidden="false" customHeight="false" outlineLevel="0" collapsed="false">
      <c r="A353" s="0"/>
    </row>
    <row r="354" customFormat="false" ht="12.75" hidden="false" customHeight="false" outlineLevel="0" collapsed="false">
      <c r="A354" s="0"/>
    </row>
    <row r="355" customFormat="false" ht="12.75" hidden="false" customHeight="false" outlineLevel="0" collapsed="false">
      <c r="A355" s="0"/>
    </row>
    <row r="356" customFormat="false" ht="12.75" hidden="false" customHeight="false" outlineLevel="0" collapsed="false">
      <c r="A356" s="0"/>
    </row>
    <row r="357" customFormat="false" ht="12.75" hidden="false" customHeight="false" outlineLevel="0" collapsed="false">
      <c r="A357" s="0"/>
    </row>
    <row r="358" customFormat="false" ht="12.75" hidden="false" customHeight="false" outlineLevel="0" collapsed="false">
      <c r="A358" s="0"/>
    </row>
    <row r="359" customFormat="false" ht="12.75" hidden="false" customHeight="false" outlineLevel="0" collapsed="false">
      <c r="A359" s="0"/>
    </row>
    <row r="360" customFormat="false" ht="12.75" hidden="false" customHeight="false" outlineLevel="0" collapsed="false">
      <c r="A360" s="0"/>
    </row>
    <row r="361" customFormat="false" ht="12.75" hidden="false" customHeight="false" outlineLevel="0" collapsed="false">
      <c r="A361" s="0"/>
    </row>
    <row r="362" customFormat="false" ht="12.75" hidden="false" customHeight="false" outlineLevel="0" collapsed="false">
      <c r="A362" s="0"/>
    </row>
    <row r="363" customFormat="false" ht="12.75" hidden="false" customHeight="false" outlineLevel="0" collapsed="false">
      <c r="A363" s="0"/>
    </row>
    <row r="364" customFormat="false" ht="12.75" hidden="false" customHeight="false" outlineLevel="0" collapsed="false">
      <c r="A364" s="0"/>
    </row>
    <row r="365" customFormat="false" ht="12.75" hidden="false" customHeight="false" outlineLevel="0" collapsed="false">
      <c r="A365" s="0"/>
    </row>
    <row r="366" customFormat="false" ht="12.75" hidden="false" customHeight="false" outlineLevel="0" collapsed="false">
      <c r="A366" s="0"/>
    </row>
    <row r="367" customFormat="false" ht="12.75" hidden="false" customHeight="false" outlineLevel="0" collapsed="false">
      <c r="A367" s="0"/>
    </row>
    <row r="368" customFormat="false" ht="12.75" hidden="false" customHeight="false" outlineLevel="0" collapsed="false">
      <c r="A368" s="0"/>
    </row>
    <row r="369" customFormat="false" ht="12.75" hidden="false" customHeight="false" outlineLevel="0" collapsed="false">
      <c r="A369" s="0"/>
    </row>
    <row r="370" customFormat="false" ht="12.75" hidden="false" customHeight="false" outlineLevel="0" collapsed="false">
      <c r="A370" s="0"/>
    </row>
    <row r="371" customFormat="false" ht="12.75" hidden="false" customHeight="false" outlineLevel="0" collapsed="false">
      <c r="A371" s="0"/>
    </row>
    <row r="372" customFormat="false" ht="12.75" hidden="false" customHeight="false" outlineLevel="0" collapsed="false">
      <c r="A372" s="0"/>
    </row>
    <row r="373" customFormat="false" ht="12.75" hidden="false" customHeight="false" outlineLevel="0" collapsed="false">
      <c r="A373" s="0"/>
    </row>
    <row r="374" customFormat="false" ht="12.75" hidden="false" customHeight="false" outlineLevel="0" collapsed="false">
      <c r="A374" s="0"/>
    </row>
    <row r="375" customFormat="false" ht="12.75" hidden="false" customHeight="false" outlineLevel="0" collapsed="false">
      <c r="A375" s="0"/>
    </row>
    <row r="376" customFormat="false" ht="12.75" hidden="false" customHeight="false" outlineLevel="0" collapsed="false">
      <c r="A376" s="0"/>
    </row>
    <row r="377" customFormat="false" ht="12.75" hidden="false" customHeight="false" outlineLevel="0" collapsed="false">
      <c r="A377" s="0"/>
    </row>
    <row r="378" customFormat="false" ht="12.75" hidden="false" customHeight="false" outlineLevel="0" collapsed="false">
      <c r="A378" s="0"/>
    </row>
    <row r="379" customFormat="false" ht="12.75" hidden="false" customHeight="false" outlineLevel="0" collapsed="false">
      <c r="A379" s="0"/>
    </row>
    <row r="380" customFormat="false" ht="12.75" hidden="false" customHeight="false" outlineLevel="0" collapsed="false">
      <c r="A380" s="0"/>
    </row>
    <row r="381" customFormat="false" ht="12.75" hidden="false" customHeight="false" outlineLevel="0" collapsed="false">
      <c r="A381" s="0"/>
    </row>
    <row r="382" customFormat="false" ht="12.75" hidden="false" customHeight="false" outlineLevel="0" collapsed="false">
      <c r="A382" s="0"/>
    </row>
    <row r="383" customFormat="false" ht="12.75" hidden="false" customHeight="false" outlineLevel="0" collapsed="false">
      <c r="A383" s="0"/>
    </row>
    <row r="384" customFormat="false" ht="12.75" hidden="false" customHeight="false" outlineLevel="0" collapsed="false">
      <c r="A384" s="0"/>
    </row>
    <row r="385" customFormat="false" ht="12.75" hidden="false" customHeight="false" outlineLevel="0" collapsed="false">
      <c r="A385" s="0"/>
    </row>
    <row r="386" customFormat="false" ht="12.75" hidden="false" customHeight="false" outlineLevel="0" collapsed="false">
      <c r="A386" s="0"/>
    </row>
    <row r="387" customFormat="false" ht="12.75" hidden="false" customHeight="false" outlineLevel="0" collapsed="false">
      <c r="A387" s="0"/>
    </row>
    <row r="388" customFormat="false" ht="12.75" hidden="false" customHeight="false" outlineLevel="0" collapsed="false">
      <c r="A388" s="0"/>
    </row>
    <row r="389" customFormat="false" ht="12.75" hidden="false" customHeight="false" outlineLevel="0" collapsed="false">
      <c r="A389" s="0"/>
    </row>
    <row r="390" customFormat="false" ht="12.75" hidden="false" customHeight="false" outlineLevel="0" collapsed="false">
      <c r="A390" s="0"/>
    </row>
    <row r="391" customFormat="false" ht="12.75" hidden="false" customHeight="false" outlineLevel="0" collapsed="false">
      <c r="A391" s="0"/>
    </row>
    <row r="392" customFormat="false" ht="12.75" hidden="false" customHeight="false" outlineLevel="0" collapsed="false">
      <c r="A392" s="0"/>
    </row>
    <row r="393" customFormat="false" ht="12.75" hidden="false" customHeight="false" outlineLevel="0" collapsed="false">
      <c r="A393" s="0"/>
    </row>
    <row r="394" customFormat="false" ht="12.75" hidden="false" customHeight="false" outlineLevel="0" collapsed="false">
      <c r="A394" s="0"/>
    </row>
    <row r="395" customFormat="false" ht="12.75" hidden="false" customHeight="false" outlineLevel="0" collapsed="false">
      <c r="A395" s="0"/>
    </row>
    <row r="396" customFormat="false" ht="12.75" hidden="false" customHeight="false" outlineLevel="0" collapsed="false">
      <c r="A396" s="0"/>
    </row>
    <row r="397" customFormat="false" ht="12.75" hidden="false" customHeight="false" outlineLevel="0" collapsed="false">
      <c r="A397" s="0"/>
    </row>
    <row r="398" customFormat="false" ht="12.75" hidden="false" customHeight="false" outlineLevel="0" collapsed="false">
      <c r="A398" s="0"/>
    </row>
    <row r="399" customFormat="false" ht="12.75" hidden="false" customHeight="false" outlineLevel="0" collapsed="false">
      <c r="A399" s="0"/>
    </row>
    <row r="400" customFormat="false" ht="12.75" hidden="false" customHeight="false" outlineLevel="0" collapsed="false">
      <c r="A400" s="0"/>
    </row>
    <row r="401" customFormat="false" ht="12.75" hidden="false" customHeight="false" outlineLevel="0" collapsed="false">
      <c r="A401" s="0"/>
    </row>
    <row r="402" customFormat="false" ht="12.75" hidden="false" customHeight="false" outlineLevel="0" collapsed="false">
      <c r="A402" s="0"/>
    </row>
    <row r="403" customFormat="false" ht="12.75" hidden="false" customHeight="false" outlineLevel="0" collapsed="false">
      <c r="A403" s="0"/>
    </row>
    <row r="404" customFormat="false" ht="12.75" hidden="false" customHeight="false" outlineLevel="0" collapsed="false">
      <c r="A404" s="0"/>
    </row>
    <row r="405" customFormat="false" ht="12.75" hidden="false" customHeight="false" outlineLevel="0" collapsed="false">
      <c r="A405" s="0"/>
    </row>
    <row r="406" customFormat="false" ht="12.75" hidden="false" customHeight="false" outlineLevel="0" collapsed="false">
      <c r="A406" s="0"/>
    </row>
    <row r="407" customFormat="false" ht="12.75" hidden="false" customHeight="false" outlineLevel="0" collapsed="false">
      <c r="A407" s="0"/>
    </row>
    <row r="408" customFormat="false" ht="12.75" hidden="false" customHeight="false" outlineLevel="0" collapsed="false">
      <c r="A408" s="0"/>
    </row>
    <row r="409" customFormat="false" ht="12.75" hidden="false" customHeight="false" outlineLevel="0" collapsed="false">
      <c r="A409" s="0"/>
    </row>
    <row r="410" customFormat="false" ht="12.75" hidden="false" customHeight="false" outlineLevel="0" collapsed="false">
      <c r="A410" s="0"/>
    </row>
    <row r="411" customFormat="false" ht="12.75" hidden="false" customHeight="false" outlineLevel="0" collapsed="false">
      <c r="A411" s="0"/>
    </row>
    <row r="412" customFormat="false" ht="12.75" hidden="false" customHeight="false" outlineLevel="0" collapsed="false">
      <c r="A412" s="0"/>
    </row>
    <row r="413" customFormat="false" ht="12.75" hidden="false" customHeight="false" outlineLevel="0" collapsed="false">
      <c r="A413" s="0"/>
    </row>
    <row r="414" customFormat="false" ht="12.75" hidden="false" customHeight="false" outlineLevel="0" collapsed="false">
      <c r="A414" s="0"/>
    </row>
    <row r="415" customFormat="false" ht="12.75" hidden="false" customHeight="false" outlineLevel="0" collapsed="false">
      <c r="A415" s="0"/>
    </row>
    <row r="416" customFormat="false" ht="12.75" hidden="false" customHeight="false" outlineLevel="0" collapsed="false">
      <c r="A416" s="0"/>
    </row>
    <row r="417" customFormat="false" ht="12.75" hidden="false" customHeight="false" outlineLevel="0" collapsed="false">
      <c r="A417" s="0"/>
    </row>
    <row r="418" customFormat="false" ht="12.75" hidden="false" customHeight="false" outlineLevel="0" collapsed="false">
      <c r="A418" s="0"/>
    </row>
    <row r="419" customFormat="false" ht="12.75" hidden="false" customHeight="false" outlineLevel="0" collapsed="false">
      <c r="A419" s="0"/>
    </row>
    <row r="420" customFormat="false" ht="12.75" hidden="false" customHeight="false" outlineLevel="0" collapsed="false">
      <c r="A420" s="0"/>
    </row>
    <row r="421" customFormat="false" ht="12.75" hidden="false" customHeight="false" outlineLevel="0" collapsed="false">
      <c r="A421" s="0"/>
    </row>
    <row r="422" customFormat="false" ht="12.75" hidden="false" customHeight="false" outlineLevel="0" collapsed="false">
      <c r="A422" s="0"/>
    </row>
    <row r="423" customFormat="false" ht="12.75" hidden="false" customHeight="false" outlineLevel="0" collapsed="false">
      <c r="A423" s="0"/>
    </row>
    <row r="424" customFormat="false" ht="12.75" hidden="false" customHeight="false" outlineLevel="0" collapsed="false">
      <c r="A424" s="0"/>
    </row>
    <row r="425" customFormat="false" ht="12.75" hidden="false" customHeight="false" outlineLevel="0" collapsed="false">
      <c r="A425" s="0"/>
    </row>
    <row r="426" customFormat="false" ht="12.75" hidden="false" customHeight="false" outlineLevel="0" collapsed="false">
      <c r="A426" s="0"/>
    </row>
    <row r="427" customFormat="false" ht="12.75" hidden="false" customHeight="false" outlineLevel="0" collapsed="false">
      <c r="A427" s="0"/>
    </row>
    <row r="428" customFormat="false" ht="12.75" hidden="false" customHeight="false" outlineLevel="0" collapsed="false">
      <c r="A428" s="0"/>
    </row>
    <row r="429" customFormat="false" ht="12.75" hidden="false" customHeight="false" outlineLevel="0" collapsed="false">
      <c r="A429" s="0"/>
    </row>
    <row r="430" customFormat="false" ht="12.75" hidden="false" customHeight="false" outlineLevel="0" collapsed="false">
      <c r="A430" s="0"/>
    </row>
    <row r="431" customFormat="false" ht="12.75" hidden="false" customHeight="false" outlineLevel="0" collapsed="false">
      <c r="A431" s="0"/>
    </row>
    <row r="432" customFormat="false" ht="12.75" hidden="false" customHeight="false" outlineLevel="0" collapsed="false">
      <c r="A432" s="0"/>
    </row>
    <row r="433" customFormat="false" ht="12.75" hidden="false" customHeight="false" outlineLevel="0" collapsed="false">
      <c r="A433" s="0"/>
    </row>
    <row r="434" customFormat="false" ht="12.75" hidden="false" customHeight="false" outlineLevel="0" collapsed="false">
      <c r="A434" s="0"/>
    </row>
    <row r="435" customFormat="false" ht="12.75" hidden="false" customHeight="false" outlineLevel="0" collapsed="false">
      <c r="A435" s="0"/>
    </row>
    <row r="436" customFormat="false" ht="12.75" hidden="false" customHeight="false" outlineLevel="0" collapsed="false">
      <c r="A436" s="0"/>
    </row>
    <row r="437" customFormat="false" ht="12.75" hidden="false" customHeight="false" outlineLevel="0" collapsed="false">
      <c r="A437" s="0"/>
    </row>
    <row r="438" customFormat="false" ht="12.75" hidden="false" customHeight="false" outlineLevel="0" collapsed="false">
      <c r="A438" s="0"/>
    </row>
    <row r="439" customFormat="false" ht="12.75" hidden="false" customHeight="false" outlineLevel="0" collapsed="false">
      <c r="A439" s="0"/>
    </row>
    <row r="440" customFormat="false" ht="12.75" hidden="false" customHeight="false" outlineLevel="0" collapsed="false">
      <c r="A440" s="0"/>
    </row>
    <row r="441" customFormat="false" ht="12.75" hidden="false" customHeight="false" outlineLevel="0" collapsed="false">
      <c r="A441" s="0"/>
    </row>
    <row r="442" customFormat="false" ht="12.75" hidden="false" customHeight="false" outlineLevel="0" collapsed="false">
      <c r="A442" s="0"/>
    </row>
    <row r="443" customFormat="false" ht="12.75" hidden="false" customHeight="false" outlineLevel="0" collapsed="false">
      <c r="A443" s="0"/>
    </row>
    <row r="444" customFormat="false" ht="12.75" hidden="false" customHeight="false" outlineLevel="0" collapsed="false">
      <c r="A444" s="0"/>
    </row>
    <row r="445" customFormat="false" ht="12.75" hidden="false" customHeight="false" outlineLevel="0" collapsed="false">
      <c r="A445" s="0"/>
    </row>
    <row r="446" customFormat="false" ht="12.75" hidden="false" customHeight="false" outlineLevel="0" collapsed="false">
      <c r="A446" s="0"/>
    </row>
    <row r="447" customFormat="false" ht="12.75" hidden="false" customHeight="false" outlineLevel="0" collapsed="false">
      <c r="A447" s="0"/>
    </row>
    <row r="448" customFormat="false" ht="12.75" hidden="false" customHeight="false" outlineLevel="0" collapsed="false">
      <c r="A448" s="0"/>
    </row>
    <row r="449" customFormat="false" ht="12.75" hidden="false" customHeight="false" outlineLevel="0" collapsed="false">
      <c r="A449" s="0"/>
    </row>
    <row r="450" customFormat="false" ht="12.75" hidden="false" customHeight="false" outlineLevel="0" collapsed="false">
      <c r="A450" s="0"/>
    </row>
    <row r="451" customFormat="false" ht="12.75" hidden="false" customHeight="false" outlineLevel="0" collapsed="false">
      <c r="A451" s="0"/>
    </row>
    <row r="452" customFormat="false" ht="12.75" hidden="false" customHeight="false" outlineLevel="0" collapsed="false">
      <c r="A452" s="0"/>
    </row>
    <row r="453" customFormat="false" ht="12.75" hidden="false" customHeight="false" outlineLevel="0" collapsed="false">
      <c r="A453" s="0"/>
    </row>
    <row r="454" customFormat="false" ht="12.75" hidden="false" customHeight="false" outlineLevel="0" collapsed="false">
      <c r="A454" s="0"/>
    </row>
    <row r="455" customFormat="false" ht="12.75" hidden="false" customHeight="false" outlineLevel="0" collapsed="false">
      <c r="A455" s="0"/>
    </row>
    <row r="456" customFormat="false" ht="12.75" hidden="false" customHeight="false" outlineLevel="0" collapsed="false">
      <c r="A456" s="0"/>
    </row>
    <row r="457" customFormat="false" ht="12.75" hidden="false" customHeight="false" outlineLevel="0" collapsed="false">
      <c r="A457" s="0"/>
    </row>
    <row r="458" customFormat="false" ht="12.75" hidden="false" customHeight="false" outlineLevel="0" collapsed="false">
      <c r="A458" s="0"/>
    </row>
    <row r="459" customFormat="false" ht="12.75" hidden="false" customHeight="false" outlineLevel="0" collapsed="false">
      <c r="A459" s="0"/>
    </row>
    <row r="460" customFormat="false" ht="12.75" hidden="false" customHeight="false" outlineLevel="0" collapsed="false">
      <c r="A460" s="0"/>
    </row>
    <row r="461" customFormat="false" ht="12.75" hidden="false" customHeight="false" outlineLevel="0" collapsed="false">
      <c r="A461" s="0"/>
    </row>
    <row r="462" customFormat="false" ht="12.75" hidden="false" customHeight="false" outlineLevel="0" collapsed="false">
      <c r="A462" s="0"/>
    </row>
    <row r="463" customFormat="false" ht="12.75" hidden="false" customHeight="false" outlineLevel="0" collapsed="false">
      <c r="A463" s="0"/>
    </row>
    <row r="464" customFormat="false" ht="12.75" hidden="false" customHeight="false" outlineLevel="0" collapsed="false">
      <c r="A464" s="0"/>
    </row>
    <row r="465" customFormat="false" ht="12.75" hidden="false" customHeight="false" outlineLevel="0" collapsed="false">
      <c r="A465" s="0"/>
    </row>
    <row r="466" customFormat="false" ht="12.75" hidden="false" customHeight="false" outlineLevel="0" collapsed="false">
      <c r="A466" s="0"/>
    </row>
    <row r="467" customFormat="false" ht="12.75" hidden="false" customHeight="false" outlineLevel="0" collapsed="false">
      <c r="A467" s="0"/>
    </row>
    <row r="468" customFormat="false" ht="12.75" hidden="false" customHeight="false" outlineLevel="0" collapsed="false">
      <c r="A468" s="0"/>
    </row>
    <row r="469" customFormat="false" ht="12.75" hidden="false" customHeight="false" outlineLevel="0" collapsed="false">
      <c r="A469" s="0"/>
    </row>
    <row r="470" customFormat="false" ht="12.75" hidden="false" customHeight="false" outlineLevel="0" collapsed="false">
      <c r="A470" s="0"/>
    </row>
    <row r="471" customFormat="false" ht="12.75" hidden="false" customHeight="false" outlineLevel="0" collapsed="false">
      <c r="A471" s="0"/>
    </row>
    <row r="472" customFormat="false" ht="12.75" hidden="false" customHeight="false" outlineLevel="0" collapsed="false">
      <c r="A472" s="0"/>
    </row>
    <row r="473" customFormat="false" ht="12.75" hidden="false" customHeight="false" outlineLevel="0" collapsed="false">
      <c r="A473" s="0"/>
    </row>
    <row r="474" customFormat="false" ht="12.75" hidden="false" customHeight="false" outlineLevel="0" collapsed="false">
      <c r="A474" s="0"/>
    </row>
    <row r="475" customFormat="false" ht="12.75" hidden="false" customHeight="false" outlineLevel="0" collapsed="false">
      <c r="A475" s="0"/>
    </row>
    <row r="476" customFormat="false" ht="12.75" hidden="false" customHeight="false" outlineLevel="0" collapsed="false">
      <c r="A476" s="0"/>
    </row>
    <row r="477" customFormat="false" ht="12.75" hidden="false" customHeight="false" outlineLevel="0" collapsed="false">
      <c r="A477" s="0"/>
    </row>
    <row r="478" customFormat="false" ht="12.75" hidden="false" customHeight="false" outlineLevel="0" collapsed="false">
      <c r="A478" s="0"/>
    </row>
    <row r="479" customFormat="false" ht="12.75" hidden="false" customHeight="false" outlineLevel="0" collapsed="false">
      <c r="A479" s="0"/>
    </row>
    <row r="480" customFormat="false" ht="12.75" hidden="false" customHeight="false" outlineLevel="0" collapsed="false">
      <c r="A480" s="0"/>
    </row>
    <row r="481" customFormat="false" ht="12.75" hidden="false" customHeight="false" outlineLevel="0" collapsed="false">
      <c r="A481" s="0"/>
    </row>
    <row r="482" customFormat="false" ht="12.75" hidden="false" customHeight="false" outlineLevel="0" collapsed="false">
      <c r="A482" s="0"/>
    </row>
    <row r="483" customFormat="false" ht="12.75" hidden="false" customHeight="false" outlineLevel="0" collapsed="false">
      <c r="A483" s="0"/>
    </row>
    <row r="484" customFormat="false" ht="12.75" hidden="false" customHeight="false" outlineLevel="0" collapsed="false">
      <c r="A484" s="0"/>
    </row>
    <row r="485" customFormat="false" ht="12.75" hidden="false" customHeight="false" outlineLevel="0" collapsed="false">
      <c r="A485" s="0"/>
    </row>
    <row r="486" customFormat="false" ht="12.75" hidden="false" customHeight="false" outlineLevel="0" collapsed="false">
      <c r="A486" s="0"/>
    </row>
    <row r="487" customFormat="false" ht="12.75" hidden="false" customHeight="false" outlineLevel="0" collapsed="false">
      <c r="A487" s="0"/>
    </row>
    <row r="488" customFormat="false" ht="12.75" hidden="false" customHeight="false" outlineLevel="0" collapsed="false">
      <c r="A488" s="0"/>
    </row>
    <row r="489" customFormat="false" ht="12.75" hidden="false" customHeight="false" outlineLevel="0" collapsed="false">
      <c r="A489" s="0"/>
    </row>
    <row r="490" customFormat="false" ht="12.75" hidden="false" customHeight="false" outlineLevel="0" collapsed="false">
      <c r="A490" s="0"/>
    </row>
    <row r="491" customFormat="false" ht="12.75" hidden="false" customHeight="false" outlineLevel="0" collapsed="false">
      <c r="A491" s="0"/>
    </row>
    <row r="492" customFormat="false" ht="12.75" hidden="false" customHeight="false" outlineLevel="0" collapsed="false">
      <c r="A492" s="0"/>
    </row>
    <row r="493" customFormat="false" ht="12.75" hidden="false" customHeight="false" outlineLevel="0" collapsed="false">
      <c r="A493" s="0"/>
    </row>
    <row r="494" customFormat="false" ht="12.75" hidden="false" customHeight="false" outlineLevel="0" collapsed="false">
      <c r="A494" s="0"/>
    </row>
    <row r="495" customFormat="false" ht="12.75" hidden="false" customHeight="false" outlineLevel="0" collapsed="false">
      <c r="A495" s="0"/>
    </row>
    <row r="496" customFormat="false" ht="12.75" hidden="false" customHeight="false" outlineLevel="0" collapsed="false">
      <c r="A496" s="0"/>
    </row>
    <row r="497" customFormat="false" ht="12.75" hidden="false" customHeight="false" outlineLevel="0" collapsed="false">
      <c r="A497" s="0"/>
    </row>
    <row r="498" customFormat="false" ht="12.75" hidden="false" customHeight="false" outlineLevel="0" collapsed="false">
      <c r="A498" s="0"/>
    </row>
    <row r="499" customFormat="false" ht="12.75" hidden="false" customHeight="false" outlineLevel="0" collapsed="false">
      <c r="A499" s="0"/>
    </row>
    <row r="500" customFormat="false" ht="12.75" hidden="false" customHeight="false" outlineLevel="0" collapsed="false">
      <c r="A500" s="0"/>
    </row>
    <row r="501" customFormat="false" ht="12.75" hidden="false" customHeight="false" outlineLevel="0" collapsed="false">
      <c r="A501" s="0"/>
    </row>
    <row r="502" customFormat="false" ht="12.75" hidden="false" customHeight="false" outlineLevel="0" collapsed="false">
      <c r="A502" s="0"/>
    </row>
    <row r="503" customFormat="false" ht="12.75" hidden="false" customHeight="false" outlineLevel="0" collapsed="false">
      <c r="A503" s="0"/>
    </row>
    <row r="504" customFormat="false" ht="12.75" hidden="false" customHeight="false" outlineLevel="0" collapsed="false">
      <c r="A504" s="0"/>
    </row>
    <row r="505" customFormat="false" ht="12.75" hidden="false" customHeight="false" outlineLevel="0" collapsed="false">
      <c r="A505" s="0"/>
    </row>
    <row r="506" customFormat="false" ht="12.75" hidden="false" customHeight="false" outlineLevel="0" collapsed="false">
      <c r="A506" s="0"/>
    </row>
    <row r="507" customFormat="false" ht="12.75" hidden="false" customHeight="false" outlineLevel="0" collapsed="false">
      <c r="A507" s="0"/>
    </row>
    <row r="508" customFormat="false" ht="12.75" hidden="false" customHeight="false" outlineLevel="0" collapsed="false">
      <c r="A508" s="0"/>
    </row>
    <row r="509" customFormat="false" ht="12.75" hidden="false" customHeight="false" outlineLevel="0" collapsed="false">
      <c r="A509" s="0"/>
    </row>
    <row r="510" customFormat="false" ht="12.75" hidden="false" customHeight="false" outlineLevel="0" collapsed="false">
      <c r="A510" s="0"/>
    </row>
    <row r="511" customFormat="false" ht="12.75" hidden="false" customHeight="false" outlineLevel="0" collapsed="false">
      <c r="A511" s="0"/>
    </row>
    <row r="512" customFormat="false" ht="12.75" hidden="false" customHeight="false" outlineLevel="0" collapsed="false">
      <c r="A512" s="0"/>
    </row>
    <row r="513" customFormat="false" ht="12.75" hidden="false" customHeight="false" outlineLevel="0" collapsed="false">
      <c r="A513" s="0"/>
    </row>
    <row r="514" customFormat="false" ht="12.75" hidden="false" customHeight="false" outlineLevel="0" collapsed="false">
      <c r="A514" s="0"/>
    </row>
    <row r="515" customFormat="false" ht="12.75" hidden="false" customHeight="false" outlineLevel="0" collapsed="false">
      <c r="A515" s="0"/>
    </row>
    <row r="516" customFormat="false" ht="12.75" hidden="false" customHeight="false" outlineLevel="0" collapsed="false">
      <c r="A516" s="0"/>
    </row>
    <row r="517" customFormat="false" ht="12.75" hidden="false" customHeight="false" outlineLevel="0" collapsed="false">
      <c r="A517" s="0"/>
    </row>
    <row r="518" customFormat="false" ht="12.75" hidden="false" customHeight="false" outlineLevel="0" collapsed="false">
      <c r="A518" s="0"/>
    </row>
    <row r="519" customFormat="false" ht="12.75" hidden="false" customHeight="false" outlineLevel="0" collapsed="false">
      <c r="A519" s="0"/>
    </row>
    <row r="520" customFormat="false" ht="12.75" hidden="false" customHeight="false" outlineLevel="0" collapsed="false">
      <c r="A520" s="0"/>
    </row>
    <row r="521" customFormat="false" ht="12.75" hidden="false" customHeight="false" outlineLevel="0" collapsed="false">
      <c r="A521" s="0"/>
    </row>
    <row r="522" customFormat="false" ht="12.75" hidden="false" customHeight="false" outlineLevel="0" collapsed="false">
      <c r="A522" s="0"/>
    </row>
    <row r="523" customFormat="false" ht="12.75" hidden="false" customHeight="false" outlineLevel="0" collapsed="false">
      <c r="A523" s="0"/>
    </row>
    <row r="524" customFormat="false" ht="12.75" hidden="false" customHeight="false" outlineLevel="0" collapsed="false">
      <c r="A524" s="0"/>
    </row>
    <row r="525" customFormat="false" ht="12.75" hidden="false" customHeight="false" outlineLevel="0" collapsed="false">
      <c r="A525" s="0"/>
    </row>
    <row r="526" customFormat="false" ht="12.75" hidden="false" customHeight="false" outlineLevel="0" collapsed="false">
      <c r="A526" s="0"/>
    </row>
    <row r="527" customFormat="false" ht="12.75" hidden="false" customHeight="false" outlineLevel="0" collapsed="false">
      <c r="A527" s="0"/>
    </row>
    <row r="528" customFormat="false" ht="12.75" hidden="false" customHeight="false" outlineLevel="0" collapsed="false">
      <c r="A528" s="0"/>
    </row>
    <row r="529" customFormat="false" ht="12.75" hidden="false" customHeight="false" outlineLevel="0" collapsed="false">
      <c r="A529" s="0"/>
    </row>
    <row r="530" customFormat="false" ht="12.75" hidden="false" customHeight="false" outlineLevel="0" collapsed="false">
      <c r="A530" s="0"/>
    </row>
    <row r="531" customFormat="false" ht="12.75" hidden="false" customHeight="false" outlineLevel="0" collapsed="false">
      <c r="A531" s="0"/>
    </row>
    <row r="532" customFormat="false" ht="12.75" hidden="false" customHeight="false" outlineLevel="0" collapsed="false">
      <c r="A532" s="0"/>
    </row>
    <row r="533" customFormat="false" ht="12.75" hidden="false" customHeight="false" outlineLevel="0" collapsed="false">
      <c r="A533" s="0"/>
    </row>
    <row r="534" customFormat="false" ht="12.75" hidden="false" customHeight="false" outlineLevel="0" collapsed="false">
      <c r="A534" s="0"/>
    </row>
    <row r="535" customFormat="false" ht="12.75" hidden="false" customHeight="false" outlineLevel="0" collapsed="false">
      <c r="A535" s="0"/>
    </row>
    <row r="536" customFormat="false" ht="12.75" hidden="false" customHeight="false" outlineLevel="0" collapsed="false">
      <c r="A536" s="0"/>
    </row>
    <row r="537" customFormat="false" ht="12.75" hidden="false" customHeight="false" outlineLevel="0" collapsed="false">
      <c r="A537" s="0"/>
    </row>
    <row r="538" customFormat="false" ht="12.75" hidden="false" customHeight="false" outlineLevel="0" collapsed="false">
      <c r="A538" s="0"/>
    </row>
    <row r="539" customFormat="false" ht="12.75" hidden="false" customHeight="false" outlineLevel="0" collapsed="false">
      <c r="A539" s="0"/>
    </row>
    <row r="540" customFormat="false" ht="12.75" hidden="false" customHeight="false" outlineLevel="0" collapsed="false">
      <c r="A540" s="0"/>
    </row>
    <row r="541" customFormat="false" ht="12.75" hidden="false" customHeight="false" outlineLevel="0" collapsed="false">
      <c r="A541" s="0"/>
    </row>
    <row r="542" customFormat="false" ht="12.75" hidden="false" customHeight="false" outlineLevel="0" collapsed="false">
      <c r="A542" s="0"/>
    </row>
    <row r="543" customFormat="false" ht="12.75" hidden="false" customHeight="false" outlineLevel="0" collapsed="false">
      <c r="A543" s="0"/>
    </row>
    <row r="544" customFormat="false" ht="12.75" hidden="false" customHeight="false" outlineLevel="0" collapsed="false">
      <c r="A544" s="0"/>
    </row>
    <row r="545" customFormat="false" ht="12.75" hidden="false" customHeight="false" outlineLevel="0" collapsed="false">
      <c r="A545" s="0"/>
    </row>
    <row r="546" customFormat="false" ht="12.75" hidden="false" customHeight="false" outlineLevel="0" collapsed="false">
      <c r="A546" s="0"/>
    </row>
    <row r="547" customFormat="false" ht="12.75" hidden="false" customHeight="false" outlineLevel="0" collapsed="false">
      <c r="A547" s="0"/>
    </row>
    <row r="548" customFormat="false" ht="12.75" hidden="false" customHeight="false" outlineLevel="0" collapsed="false">
      <c r="A548" s="0"/>
    </row>
    <row r="549" customFormat="false" ht="12.75" hidden="false" customHeight="false" outlineLevel="0" collapsed="false">
      <c r="A549" s="0"/>
    </row>
    <row r="550" customFormat="false" ht="12.75" hidden="false" customHeight="false" outlineLevel="0" collapsed="false">
      <c r="A550" s="0"/>
    </row>
    <row r="551" customFormat="false" ht="12.75" hidden="false" customHeight="false" outlineLevel="0" collapsed="false">
      <c r="A551" s="0"/>
    </row>
    <row r="552" customFormat="false" ht="12.75" hidden="false" customHeight="false" outlineLevel="0" collapsed="false">
      <c r="A552" s="0"/>
    </row>
    <row r="553" customFormat="false" ht="12.75" hidden="false" customHeight="false" outlineLevel="0" collapsed="false">
      <c r="A553" s="0"/>
    </row>
    <row r="554" customFormat="false" ht="12.75" hidden="false" customHeight="false" outlineLevel="0" collapsed="false">
      <c r="A554" s="0"/>
    </row>
    <row r="555" customFormat="false" ht="12.75" hidden="false" customHeight="false" outlineLevel="0" collapsed="false">
      <c r="A555" s="0"/>
    </row>
    <row r="556" customFormat="false" ht="12.75" hidden="false" customHeight="false" outlineLevel="0" collapsed="false">
      <c r="A556" s="0"/>
    </row>
    <row r="557" customFormat="false" ht="12.75" hidden="false" customHeight="false" outlineLevel="0" collapsed="false">
      <c r="A557" s="0"/>
    </row>
    <row r="558" customFormat="false" ht="12.75" hidden="false" customHeight="false" outlineLevel="0" collapsed="false">
      <c r="A558" s="0"/>
    </row>
    <row r="559" customFormat="false" ht="12.75" hidden="false" customHeight="false" outlineLevel="0" collapsed="false">
      <c r="A559" s="0"/>
    </row>
    <row r="560" customFormat="false" ht="12.75" hidden="false" customHeight="false" outlineLevel="0" collapsed="false">
      <c r="A560" s="0"/>
    </row>
    <row r="561" customFormat="false" ht="12.75" hidden="false" customHeight="false" outlineLevel="0" collapsed="false">
      <c r="A561" s="0"/>
    </row>
    <row r="562" customFormat="false" ht="12.75" hidden="false" customHeight="false" outlineLevel="0" collapsed="false">
      <c r="A562" s="0"/>
    </row>
    <row r="563" customFormat="false" ht="12.75" hidden="false" customHeight="false" outlineLevel="0" collapsed="false">
      <c r="A563" s="0"/>
    </row>
    <row r="564" customFormat="false" ht="12.75" hidden="false" customHeight="false" outlineLevel="0" collapsed="false">
      <c r="A564" s="0"/>
    </row>
    <row r="565" customFormat="false" ht="12.75" hidden="false" customHeight="false" outlineLevel="0" collapsed="false">
      <c r="A565" s="0"/>
    </row>
    <row r="566" customFormat="false" ht="12.75" hidden="false" customHeight="false" outlineLevel="0" collapsed="false">
      <c r="A566" s="0"/>
    </row>
    <row r="567" customFormat="false" ht="12.75" hidden="false" customHeight="false" outlineLevel="0" collapsed="false">
      <c r="A567" s="0"/>
    </row>
    <row r="568" customFormat="false" ht="12.75" hidden="false" customHeight="false" outlineLevel="0" collapsed="false">
      <c r="A568" s="0"/>
    </row>
    <row r="569" customFormat="false" ht="12.75" hidden="false" customHeight="false" outlineLevel="0" collapsed="false">
      <c r="A569" s="0"/>
    </row>
    <row r="570" customFormat="false" ht="12.75" hidden="false" customHeight="false" outlineLevel="0" collapsed="false">
      <c r="A570" s="0"/>
    </row>
    <row r="571" customFormat="false" ht="12.75" hidden="false" customHeight="false" outlineLevel="0" collapsed="false">
      <c r="A571" s="0"/>
    </row>
    <row r="572" customFormat="false" ht="12.75" hidden="false" customHeight="false" outlineLevel="0" collapsed="false">
      <c r="A572" s="0"/>
    </row>
    <row r="573" customFormat="false" ht="12.75" hidden="false" customHeight="false" outlineLevel="0" collapsed="false">
      <c r="A573" s="0"/>
    </row>
    <row r="574" customFormat="false" ht="12.75" hidden="false" customHeight="false" outlineLevel="0" collapsed="false">
      <c r="A574" s="0"/>
    </row>
    <row r="575" customFormat="false" ht="12.75" hidden="false" customHeight="false" outlineLevel="0" collapsed="false">
      <c r="A575" s="0"/>
    </row>
    <row r="576" customFormat="false" ht="12.75" hidden="false" customHeight="false" outlineLevel="0" collapsed="false">
      <c r="A576" s="0"/>
    </row>
    <row r="577" customFormat="false" ht="12.75" hidden="false" customHeight="false" outlineLevel="0" collapsed="false">
      <c r="A577" s="0"/>
    </row>
    <row r="578" customFormat="false" ht="12.75" hidden="false" customHeight="false" outlineLevel="0" collapsed="false">
      <c r="A578" s="0"/>
    </row>
    <row r="579" customFormat="false" ht="12.75" hidden="false" customHeight="false" outlineLevel="0" collapsed="false">
      <c r="A579" s="0"/>
    </row>
    <row r="580" customFormat="false" ht="12.75" hidden="false" customHeight="false" outlineLevel="0" collapsed="false">
      <c r="A580" s="0"/>
    </row>
    <row r="581" customFormat="false" ht="12.75" hidden="false" customHeight="false" outlineLevel="0" collapsed="false">
      <c r="A581" s="0"/>
    </row>
    <row r="582" customFormat="false" ht="12.75" hidden="false" customHeight="false" outlineLevel="0" collapsed="false">
      <c r="A582" s="0"/>
    </row>
    <row r="583" customFormat="false" ht="12.75" hidden="false" customHeight="false" outlineLevel="0" collapsed="false">
      <c r="A583" s="0"/>
    </row>
    <row r="584" customFormat="false" ht="12.75" hidden="false" customHeight="false" outlineLevel="0" collapsed="false">
      <c r="A584" s="0"/>
    </row>
    <row r="585" customFormat="false" ht="12.75" hidden="false" customHeight="false" outlineLevel="0" collapsed="false">
      <c r="A585" s="0"/>
    </row>
    <row r="586" customFormat="false" ht="12.75" hidden="false" customHeight="false" outlineLevel="0" collapsed="false">
      <c r="A586" s="0"/>
    </row>
    <row r="587" customFormat="false" ht="12.75" hidden="false" customHeight="false" outlineLevel="0" collapsed="false">
      <c r="A587" s="0"/>
    </row>
    <row r="588" customFormat="false" ht="12.75" hidden="false" customHeight="false" outlineLevel="0" collapsed="false">
      <c r="A588" s="0"/>
    </row>
    <row r="589" customFormat="false" ht="12.75" hidden="false" customHeight="false" outlineLevel="0" collapsed="false">
      <c r="A589" s="0"/>
    </row>
    <row r="590" customFormat="false" ht="12.75" hidden="false" customHeight="false" outlineLevel="0" collapsed="false">
      <c r="A590" s="0"/>
    </row>
    <row r="591" customFormat="false" ht="12.75" hidden="false" customHeight="false" outlineLevel="0" collapsed="false">
      <c r="A591" s="0"/>
    </row>
    <row r="592" customFormat="false" ht="12.75" hidden="false" customHeight="false" outlineLevel="0" collapsed="false">
      <c r="A592" s="0"/>
    </row>
    <row r="593" customFormat="false" ht="12.75" hidden="false" customHeight="false" outlineLevel="0" collapsed="false">
      <c r="A593" s="0"/>
    </row>
    <row r="594" customFormat="false" ht="12.75" hidden="false" customHeight="false" outlineLevel="0" collapsed="false">
      <c r="A594" s="0"/>
    </row>
    <row r="595" customFormat="false" ht="12.75" hidden="false" customHeight="false" outlineLevel="0" collapsed="false">
      <c r="A595" s="0"/>
    </row>
    <row r="596" customFormat="false" ht="12.75" hidden="false" customHeight="false" outlineLevel="0" collapsed="false">
      <c r="A596" s="0"/>
    </row>
    <row r="597" customFormat="false" ht="12.75" hidden="false" customHeight="false" outlineLevel="0" collapsed="false">
      <c r="A597" s="0"/>
    </row>
    <row r="598" customFormat="false" ht="12.75" hidden="false" customHeight="false" outlineLevel="0" collapsed="false">
      <c r="A598" s="0"/>
    </row>
    <row r="599" customFormat="false" ht="12.75" hidden="false" customHeight="false" outlineLevel="0" collapsed="false">
      <c r="A599" s="0"/>
    </row>
    <row r="600" customFormat="false" ht="12.75" hidden="false" customHeight="false" outlineLevel="0" collapsed="false">
      <c r="A600" s="0"/>
    </row>
    <row r="601" customFormat="false" ht="12.75" hidden="false" customHeight="false" outlineLevel="0" collapsed="false">
      <c r="A601" s="0"/>
    </row>
    <row r="602" customFormat="false" ht="12.75" hidden="false" customHeight="false" outlineLevel="0" collapsed="false">
      <c r="A602" s="0"/>
    </row>
    <row r="603" customFormat="false" ht="12.75" hidden="false" customHeight="false" outlineLevel="0" collapsed="false">
      <c r="A603" s="0"/>
    </row>
    <row r="604" customFormat="false" ht="12.75" hidden="false" customHeight="false" outlineLevel="0" collapsed="false">
      <c r="A604" s="0"/>
    </row>
    <row r="605" customFormat="false" ht="12.75" hidden="false" customHeight="false" outlineLevel="0" collapsed="false">
      <c r="A605" s="0"/>
    </row>
    <row r="606" customFormat="false" ht="12.75" hidden="false" customHeight="false" outlineLevel="0" collapsed="false">
      <c r="A606" s="0"/>
    </row>
    <row r="607" customFormat="false" ht="12.75" hidden="false" customHeight="false" outlineLevel="0" collapsed="false">
      <c r="A607" s="0"/>
    </row>
    <row r="608" customFormat="false" ht="12.75" hidden="false" customHeight="false" outlineLevel="0" collapsed="false">
      <c r="A608" s="0"/>
    </row>
    <row r="609" customFormat="false" ht="12.75" hidden="false" customHeight="false" outlineLevel="0" collapsed="false">
      <c r="A609" s="0"/>
    </row>
    <row r="610" customFormat="false" ht="12.75" hidden="false" customHeight="false" outlineLevel="0" collapsed="false">
      <c r="A610" s="0"/>
    </row>
    <row r="611" customFormat="false" ht="12.75" hidden="false" customHeight="false" outlineLevel="0" collapsed="false">
      <c r="A611" s="0"/>
    </row>
    <row r="612" customFormat="false" ht="12.75" hidden="false" customHeight="false" outlineLevel="0" collapsed="false">
      <c r="A612" s="0"/>
    </row>
    <row r="613" customFormat="false" ht="12.75" hidden="false" customHeight="false" outlineLevel="0" collapsed="false">
      <c r="A613" s="0"/>
    </row>
    <row r="614" customFormat="false" ht="12.75" hidden="false" customHeight="false" outlineLevel="0" collapsed="false">
      <c r="A614" s="0"/>
    </row>
    <row r="615" customFormat="false" ht="12.75" hidden="false" customHeight="false" outlineLevel="0" collapsed="false">
      <c r="A615" s="0"/>
    </row>
    <row r="616" customFormat="false" ht="12.75" hidden="false" customHeight="false" outlineLevel="0" collapsed="false">
      <c r="A616" s="0"/>
    </row>
    <row r="617" customFormat="false" ht="12.75" hidden="false" customHeight="false" outlineLevel="0" collapsed="false">
      <c r="A617" s="0"/>
    </row>
    <row r="618" customFormat="false" ht="12.75" hidden="false" customHeight="false" outlineLevel="0" collapsed="false">
      <c r="A618" s="0"/>
    </row>
    <row r="619" customFormat="false" ht="12.75" hidden="false" customHeight="false" outlineLevel="0" collapsed="false">
      <c r="A619" s="0"/>
    </row>
    <row r="620" customFormat="false" ht="12.75" hidden="false" customHeight="false" outlineLevel="0" collapsed="false">
      <c r="A620" s="0"/>
    </row>
    <row r="621" customFormat="false" ht="12.75" hidden="false" customHeight="false" outlineLevel="0" collapsed="false">
      <c r="A621" s="0"/>
    </row>
    <row r="622" customFormat="false" ht="12.75" hidden="false" customHeight="false" outlineLevel="0" collapsed="false">
      <c r="A622" s="0"/>
    </row>
    <row r="623" customFormat="false" ht="12.75" hidden="false" customHeight="false" outlineLevel="0" collapsed="false">
      <c r="A623" s="0"/>
    </row>
    <row r="624" customFormat="false" ht="12.75" hidden="false" customHeight="false" outlineLevel="0" collapsed="false">
      <c r="A624" s="0"/>
    </row>
    <row r="625" customFormat="false" ht="12.75" hidden="false" customHeight="false" outlineLevel="0" collapsed="false">
      <c r="A625" s="0"/>
    </row>
    <row r="626" customFormat="false" ht="12.75" hidden="false" customHeight="false" outlineLevel="0" collapsed="false">
      <c r="A626" s="0"/>
    </row>
    <row r="627" customFormat="false" ht="12.75" hidden="false" customHeight="false" outlineLevel="0" collapsed="false">
      <c r="A627" s="0"/>
    </row>
    <row r="628" customFormat="false" ht="12.75" hidden="false" customHeight="false" outlineLevel="0" collapsed="false">
      <c r="A628" s="0"/>
    </row>
    <row r="629" customFormat="false" ht="12.75" hidden="false" customHeight="false" outlineLevel="0" collapsed="false">
      <c r="A629" s="0"/>
    </row>
    <row r="630" customFormat="false" ht="12.75" hidden="false" customHeight="false" outlineLevel="0" collapsed="false">
      <c r="A630" s="0"/>
    </row>
    <row r="631" customFormat="false" ht="12.75" hidden="false" customHeight="false" outlineLevel="0" collapsed="false">
      <c r="A631" s="0"/>
    </row>
    <row r="632" customFormat="false" ht="12.75" hidden="false" customHeight="false" outlineLevel="0" collapsed="false">
      <c r="A632" s="0"/>
    </row>
    <row r="633" customFormat="false" ht="12.75" hidden="false" customHeight="false" outlineLevel="0" collapsed="false">
      <c r="A633" s="0"/>
    </row>
    <row r="634" customFormat="false" ht="12.75" hidden="false" customHeight="false" outlineLevel="0" collapsed="false">
      <c r="A634" s="0"/>
    </row>
    <row r="635" customFormat="false" ht="12.75" hidden="false" customHeight="false" outlineLevel="0" collapsed="false">
      <c r="A635" s="0"/>
    </row>
    <row r="636" customFormat="false" ht="12.75" hidden="false" customHeight="false" outlineLevel="0" collapsed="false">
      <c r="A636" s="0"/>
    </row>
    <row r="637" customFormat="false" ht="12.75" hidden="false" customHeight="false" outlineLevel="0" collapsed="false">
      <c r="A637" s="0"/>
    </row>
    <row r="638" customFormat="false" ht="12.75" hidden="false" customHeight="false" outlineLevel="0" collapsed="false">
      <c r="A638" s="0"/>
    </row>
    <row r="639" customFormat="false" ht="12.75" hidden="false" customHeight="false" outlineLevel="0" collapsed="false">
      <c r="A639" s="0"/>
    </row>
    <row r="640" customFormat="false" ht="12.75" hidden="false" customHeight="false" outlineLevel="0" collapsed="false">
      <c r="A640" s="0"/>
    </row>
    <row r="641" customFormat="false" ht="12.75" hidden="false" customHeight="false" outlineLevel="0" collapsed="false">
      <c r="A641" s="0"/>
    </row>
    <row r="642" customFormat="false" ht="12.75" hidden="false" customHeight="false" outlineLevel="0" collapsed="false">
      <c r="A642" s="0"/>
    </row>
    <row r="643" customFormat="false" ht="12.75" hidden="false" customHeight="false" outlineLevel="0" collapsed="false">
      <c r="A643" s="0"/>
    </row>
    <row r="644" customFormat="false" ht="12.75" hidden="false" customHeight="false" outlineLevel="0" collapsed="false">
      <c r="A644" s="0"/>
    </row>
    <row r="645" customFormat="false" ht="12.75" hidden="false" customHeight="false" outlineLevel="0" collapsed="false">
      <c r="A645" s="0"/>
    </row>
    <row r="646" customFormat="false" ht="12.75" hidden="false" customHeight="false" outlineLevel="0" collapsed="false">
      <c r="A646" s="0"/>
    </row>
    <row r="647" customFormat="false" ht="12.75" hidden="false" customHeight="false" outlineLevel="0" collapsed="false">
      <c r="A647" s="0"/>
    </row>
    <row r="648" customFormat="false" ht="12.75" hidden="false" customHeight="false" outlineLevel="0" collapsed="false">
      <c r="A648" s="0"/>
    </row>
    <row r="649" customFormat="false" ht="12.75" hidden="false" customHeight="false" outlineLevel="0" collapsed="false">
      <c r="A649" s="0"/>
    </row>
    <row r="650" customFormat="false" ht="12.75" hidden="false" customHeight="false" outlineLevel="0" collapsed="false">
      <c r="A650" s="0"/>
    </row>
    <row r="651" customFormat="false" ht="12.75" hidden="false" customHeight="false" outlineLevel="0" collapsed="false">
      <c r="A651" s="0"/>
    </row>
    <row r="652" customFormat="false" ht="12.75" hidden="false" customHeight="false" outlineLevel="0" collapsed="false">
      <c r="A652" s="0"/>
    </row>
    <row r="653" customFormat="false" ht="12.75" hidden="false" customHeight="false" outlineLevel="0" collapsed="false">
      <c r="A653" s="0"/>
    </row>
    <row r="654" customFormat="false" ht="12.75" hidden="false" customHeight="false" outlineLevel="0" collapsed="false">
      <c r="A654" s="0"/>
    </row>
    <row r="655" customFormat="false" ht="12.75" hidden="false" customHeight="false" outlineLevel="0" collapsed="false">
      <c r="A655" s="0"/>
    </row>
    <row r="656" customFormat="false" ht="12.75" hidden="false" customHeight="false" outlineLevel="0" collapsed="false">
      <c r="A656" s="0"/>
    </row>
    <row r="657" customFormat="false" ht="12.75" hidden="false" customHeight="false" outlineLevel="0" collapsed="false">
      <c r="A657" s="0"/>
    </row>
    <row r="658" customFormat="false" ht="12.75" hidden="false" customHeight="false" outlineLevel="0" collapsed="false">
      <c r="A658" s="0"/>
    </row>
    <row r="659" customFormat="false" ht="12.75" hidden="false" customHeight="false" outlineLevel="0" collapsed="false">
      <c r="A659" s="0"/>
    </row>
    <row r="660" customFormat="false" ht="12.75" hidden="false" customHeight="false" outlineLevel="0" collapsed="false">
      <c r="A660" s="0"/>
    </row>
    <row r="661" customFormat="false" ht="12.75" hidden="false" customHeight="false" outlineLevel="0" collapsed="false">
      <c r="A661" s="0"/>
    </row>
    <row r="662" customFormat="false" ht="12.75" hidden="false" customHeight="false" outlineLevel="0" collapsed="false">
      <c r="A662" s="0"/>
    </row>
    <row r="663" customFormat="false" ht="12.75" hidden="false" customHeight="false" outlineLevel="0" collapsed="false">
      <c r="A663" s="0"/>
    </row>
    <row r="664" customFormat="false" ht="12.75" hidden="false" customHeight="false" outlineLevel="0" collapsed="false">
      <c r="A664" s="0"/>
    </row>
    <row r="665" customFormat="false" ht="12.75" hidden="false" customHeight="false" outlineLevel="0" collapsed="false">
      <c r="A665" s="0"/>
    </row>
    <row r="666" customFormat="false" ht="12.75" hidden="false" customHeight="false" outlineLevel="0" collapsed="false">
      <c r="A666" s="0"/>
    </row>
    <row r="667" customFormat="false" ht="12.75" hidden="false" customHeight="false" outlineLevel="0" collapsed="false">
      <c r="A667" s="0"/>
    </row>
    <row r="668" customFormat="false" ht="12.75" hidden="false" customHeight="false" outlineLevel="0" collapsed="false">
      <c r="A668" s="0"/>
    </row>
    <row r="669" customFormat="false" ht="12.75" hidden="false" customHeight="false" outlineLevel="0" collapsed="false">
      <c r="A669" s="0"/>
    </row>
    <row r="670" customFormat="false" ht="12.75" hidden="false" customHeight="false" outlineLevel="0" collapsed="false">
      <c r="A670" s="0"/>
    </row>
    <row r="671" customFormat="false" ht="12.75" hidden="false" customHeight="false" outlineLevel="0" collapsed="false">
      <c r="A671" s="0"/>
    </row>
    <row r="672" customFormat="false" ht="12.75" hidden="false" customHeight="false" outlineLevel="0" collapsed="false">
      <c r="A672" s="0"/>
    </row>
    <row r="673" customFormat="false" ht="12.75" hidden="false" customHeight="false" outlineLevel="0" collapsed="false">
      <c r="A673" s="0"/>
    </row>
    <row r="674" customFormat="false" ht="12.75" hidden="false" customHeight="false" outlineLevel="0" collapsed="false">
      <c r="A674" s="0"/>
    </row>
    <row r="675" customFormat="false" ht="12.75" hidden="false" customHeight="false" outlineLevel="0" collapsed="false">
      <c r="A675" s="0"/>
    </row>
    <row r="676" customFormat="false" ht="12.75" hidden="false" customHeight="false" outlineLevel="0" collapsed="false">
      <c r="A676" s="0"/>
    </row>
    <row r="677" customFormat="false" ht="12.75" hidden="false" customHeight="false" outlineLevel="0" collapsed="false">
      <c r="A677" s="0"/>
    </row>
    <row r="678" customFormat="false" ht="12.75" hidden="false" customHeight="false" outlineLevel="0" collapsed="false">
      <c r="A678" s="0"/>
    </row>
    <row r="679" customFormat="false" ht="12.75" hidden="false" customHeight="false" outlineLevel="0" collapsed="false">
      <c r="A679" s="0"/>
    </row>
    <row r="680" customFormat="false" ht="12.75" hidden="false" customHeight="false" outlineLevel="0" collapsed="false">
      <c r="A680" s="0"/>
    </row>
    <row r="681" customFormat="false" ht="12.75" hidden="false" customHeight="false" outlineLevel="0" collapsed="false">
      <c r="A681" s="0"/>
    </row>
    <row r="682" customFormat="false" ht="12.75" hidden="false" customHeight="false" outlineLevel="0" collapsed="false">
      <c r="A682" s="0"/>
    </row>
    <row r="683" customFormat="false" ht="12.75" hidden="false" customHeight="false" outlineLevel="0" collapsed="false">
      <c r="A683" s="0"/>
    </row>
    <row r="684" customFormat="false" ht="12.75" hidden="false" customHeight="false" outlineLevel="0" collapsed="false">
      <c r="A684" s="0"/>
    </row>
    <row r="685" customFormat="false" ht="12.75" hidden="false" customHeight="false" outlineLevel="0" collapsed="false">
      <c r="A685" s="0"/>
    </row>
    <row r="686" customFormat="false" ht="12.75" hidden="false" customHeight="false" outlineLevel="0" collapsed="false">
      <c r="A686" s="0"/>
    </row>
    <row r="687" customFormat="false" ht="12.75" hidden="false" customHeight="false" outlineLevel="0" collapsed="false">
      <c r="A687" s="0"/>
    </row>
    <row r="688" customFormat="false" ht="12.75" hidden="false" customHeight="false" outlineLevel="0" collapsed="false">
      <c r="A688" s="0"/>
    </row>
    <row r="689" customFormat="false" ht="12.75" hidden="false" customHeight="false" outlineLevel="0" collapsed="false">
      <c r="A689" s="0"/>
    </row>
    <row r="690" customFormat="false" ht="12.75" hidden="false" customHeight="false" outlineLevel="0" collapsed="false">
      <c r="A690" s="0"/>
    </row>
    <row r="691" customFormat="false" ht="12.75" hidden="false" customHeight="false" outlineLevel="0" collapsed="false">
      <c r="A691" s="0"/>
    </row>
    <row r="692" customFormat="false" ht="12.75" hidden="false" customHeight="false" outlineLevel="0" collapsed="false">
      <c r="A692" s="0"/>
    </row>
    <row r="693" customFormat="false" ht="12.75" hidden="false" customHeight="false" outlineLevel="0" collapsed="false">
      <c r="A693" s="0"/>
    </row>
    <row r="694" customFormat="false" ht="12.75" hidden="false" customHeight="false" outlineLevel="0" collapsed="false">
      <c r="A694" s="0"/>
    </row>
    <row r="695" customFormat="false" ht="12.75" hidden="false" customHeight="false" outlineLevel="0" collapsed="false">
      <c r="A695" s="0"/>
    </row>
    <row r="696" customFormat="false" ht="12.75" hidden="false" customHeight="false" outlineLevel="0" collapsed="false">
      <c r="A696" s="0"/>
    </row>
    <row r="697" customFormat="false" ht="12.75" hidden="false" customHeight="false" outlineLevel="0" collapsed="false">
      <c r="A697" s="0"/>
    </row>
    <row r="698" customFormat="false" ht="12.75" hidden="false" customHeight="false" outlineLevel="0" collapsed="false">
      <c r="A698" s="0"/>
    </row>
    <row r="699" customFormat="false" ht="12.75" hidden="false" customHeight="false" outlineLevel="0" collapsed="false">
      <c r="A699" s="0"/>
    </row>
    <row r="700" customFormat="false" ht="12.75" hidden="false" customHeight="false" outlineLevel="0" collapsed="false">
      <c r="A700" s="0"/>
    </row>
    <row r="701" customFormat="false" ht="12.75" hidden="false" customHeight="false" outlineLevel="0" collapsed="false">
      <c r="A701" s="0"/>
    </row>
    <row r="702" customFormat="false" ht="12.75" hidden="false" customHeight="false" outlineLevel="0" collapsed="false">
      <c r="A702" s="0"/>
    </row>
    <row r="703" customFormat="false" ht="12.75" hidden="false" customHeight="false" outlineLevel="0" collapsed="false">
      <c r="A703" s="0"/>
    </row>
    <row r="704" customFormat="false" ht="12.75" hidden="false" customHeight="false" outlineLevel="0" collapsed="false">
      <c r="A704" s="0"/>
    </row>
    <row r="705" customFormat="false" ht="12.75" hidden="false" customHeight="false" outlineLevel="0" collapsed="false">
      <c r="A705" s="0"/>
    </row>
    <row r="706" customFormat="false" ht="12.75" hidden="false" customHeight="false" outlineLevel="0" collapsed="false">
      <c r="A706" s="0"/>
    </row>
    <row r="707" customFormat="false" ht="12.75" hidden="false" customHeight="false" outlineLevel="0" collapsed="false">
      <c r="A707" s="0"/>
    </row>
    <row r="708" customFormat="false" ht="12.75" hidden="false" customHeight="false" outlineLevel="0" collapsed="false">
      <c r="A708" s="0"/>
    </row>
    <row r="709" customFormat="false" ht="12.75" hidden="false" customHeight="false" outlineLevel="0" collapsed="false">
      <c r="A709" s="0"/>
    </row>
    <row r="710" customFormat="false" ht="12.75" hidden="false" customHeight="false" outlineLevel="0" collapsed="false">
      <c r="A710" s="0"/>
    </row>
    <row r="711" customFormat="false" ht="12.75" hidden="false" customHeight="false" outlineLevel="0" collapsed="false">
      <c r="A711" s="0"/>
    </row>
    <row r="712" customFormat="false" ht="12.75" hidden="false" customHeight="false" outlineLevel="0" collapsed="false">
      <c r="A712" s="0"/>
    </row>
    <row r="713" customFormat="false" ht="12.75" hidden="false" customHeight="false" outlineLevel="0" collapsed="false">
      <c r="A713" s="0"/>
    </row>
    <row r="714" customFormat="false" ht="12.75" hidden="false" customHeight="false" outlineLevel="0" collapsed="false">
      <c r="A714" s="0"/>
    </row>
    <row r="715" customFormat="false" ht="12.75" hidden="false" customHeight="false" outlineLevel="0" collapsed="false">
      <c r="A715" s="0"/>
    </row>
    <row r="716" customFormat="false" ht="12.75" hidden="false" customHeight="false" outlineLevel="0" collapsed="false">
      <c r="A716" s="0"/>
    </row>
    <row r="717" customFormat="false" ht="12.75" hidden="false" customHeight="false" outlineLevel="0" collapsed="false">
      <c r="A717" s="0"/>
    </row>
    <row r="718" customFormat="false" ht="12.75" hidden="false" customHeight="false" outlineLevel="0" collapsed="false">
      <c r="A718" s="0"/>
    </row>
    <row r="719" customFormat="false" ht="12.75" hidden="false" customHeight="false" outlineLevel="0" collapsed="false">
      <c r="A719" s="0"/>
    </row>
    <row r="720" customFormat="false" ht="12.75" hidden="false" customHeight="false" outlineLevel="0" collapsed="false">
      <c r="A720" s="0"/>
    </row>
    <row r="721" customFormat="false" ht="12.75" hidden="false" customHeight="false" outlineLevel="0" collapsed="false">
      <c r="A721" s="0"/>
    </row>
    <row r="722" customFormat="false" ht="12.75" hidden="false" customHeight="false" outlineLevel="0" collapsed="false">
      <c r="A722" s="0"/>
    </row>
    <row r="723" customFormat="false" ht="12.75" hidden="false" customHeight="false" outlineLevel="0" collapsed="false">
      <c r="A723" s="0"/>
    </row>
    <row r="724" customFormat="false" ht="12.75" hidden="false" customHeight="false" outlineLevel="0" collapsed="false">
      <c r="A724" s="0"/>
    </row>
    <row r="725" customFormat="false" ht="12.75" hidden="false" customHeight="false" outlineLevel="0" collapsed="false">
      <c r="A725" s="0"/>
    </row>
    <row r="726" customFormat="false" ht="12.75" hidden="false" customHeight="false" outlineLevel="0" collapsed="false">
      <c r="A726" s="0"/>
    </row>
    <row r="727" customFormat="false" ht="12.75" hidden="false" customHeight="false" outlineLevel="0" collapsed="false">
      <c r="A727" s="0"/>
    </row>
    <row r="728" customFormat="false" ht="12.75" hidden="false" customHeight="false" outlineLevel="0" collapsed="false">
      <c r="A728" s="0"/>
    </row>
    <row r="729" customFormat="false" ht="12.75" hidden="false" customHeight="false" outlineLevel="0" collapsed="false">
      <c r="A729" s="0"/>
    </row>
    <row r="730" customFormat="false" ht="12.75" hidden="false" customHeight="false" outlineLevel="0" collapsed="false">
      <c r="A730" s="0"/>
    </row>
    <row r="731" customFormat="false" ht="12.75" hidden="false" customHeight="false" outlineLevel="0" collapsed="false">
      <c r="A731" s="0"/>
    </row>
    <row r="732" customFormat="false" ht="12.75" hidden="false" customHeight="false" outlineLevel="0" collapsed="false">
      <c r="A732" s="0"/>
    </row>
    <row r="733" customFormat="false" ht="12.75" hidden="false" customHeight="false" outlineLevel="0" collapsed="false">
      <c r="A733" s="0"/>
    </row>
    <row r="734" customFormat="false" ht="12.75" hidden="false" customHeight="false" outlineLevel="0" collapsed="false">
      <c r="A734" s="0"/>
    </row>
    <row r="735" customFormat="false" ht="12.75" hidden="false" customHeight="false" outlineLevel="0" collapsed="false">
      <c r="A735" s="0"/>
    </row>
    <row r="736" customFormat="false" ht="12.75" hidden="false" customHeight="false" outlineLevel="0" collapsed="false">
      <c r="A736" s="0"/>
    </row>
    <row r="737" customFormat="false" ht="12.75" hidden="false" customHeight="false" outlineLevel="0" collapsed="false">
      <c r="A737" s="0"/>
    </row>
    <row r="738" customFormat="false" ht="12.75" hidden="false" customHeight="false" outlineLevel="0" collapsed="false">
      <c r="A738" s="0"/>
    </row>
    <row r="739" customFormat="false" ht="12.75" hidden="false" customHeight="false" outlineLevel="0" collapsed="false">
      <c r="A739" s="0"/>
    </row>
    <row r="740" customFormat="false" ht="12.75" hidden="false" customHeight="false" outlineLevel="0" collapsed="false">
      <c r="A740" s="0"/>
    </row>
    <row r="741" customFormat="false" ht="12.75" hidden="false" customHeight="false" outlineLevel="0" collapsed="false">
      <c r="A741" s="0"/>
    </row>
    <row r="742" customFormat="false" ht="12.75" hidden="false" customHeight="false" outlineLevel="0" collapsed="false">
      <c r="A742" s="0"/>
    </row>
    <row r="743" customFormat="false" ht="12.75" hidden="false" customHeight="false" outlineLevel="0" collapsed="false">
      <c r="A743" s="0"/>
    </row>
    <row r="744" customFormat="false" ht="12.75" hidden="false" customHeight="false" outlineLevel="0" collapsed="false">
      <c r="A744" s="0"/>
    </row>
    <row r="745" customFormat="false" ht="12.75" hidden="false" customHeight="false" outlineLevel="0" collapsed="false">
      <c r="A745" s="0"/>
    </row>
    <row r="746" customFormat="false" ht="12.75" hidden="false" customHeight="false" outlineLevel="0" collapsed="false">
      <c r="A746" s="0"/>
    </row>
    <row r="747" customFormat="false" ht="12.75" hidden="false" customHeight="false" outlineLevel="0" collapsed="false">
      <c r="A747" s="0"/>
    </row>
    <row r="748" customFormat="false" ht="12.75" hidden="false" customHeight="false" outlineLevel="0" collapsed="false">
      <c r="A748" s="0"/>
    </row>
    <row r="749" customFormat="false" ht="12.75" hidden="false" customHeight="false" outlineLevel="0" collapsed="false">
      <c r="A749" s="0"/>
    </row>
    <row r="750" customFormat="false" ht="12.75" hidden="false" customHeight="false" outlineLevel="0" collapsed="false">
      <c r="A750" s="0"/>
    </row>
    <row r="751" customFormat="false" ht="12.75" hidden="false" customHeight="false" outlineLevel="0" collapsed="false">
      <c r="A751" s="0"/>
    </row>
    <row r="752" customFormat="false" ht="12.75" hidden="false" customHeight="false" outlineLevel="0" collapsed="false">
      <c r="A752" s="0"/>
    </row>
    <row r="753" customFormat="false" ht="12.75" hidden="false" customHeight="false" outlineLevel="0" collapsed="false">
      <c r="A753" s="0"/>
    </row>
    <row r="754" customFormat="false" ht="12.75" hidden="false" customHeight="false" outlineLevel="0" collapsed="false">
      <c r="A754" s="0"/>
    </row>
    <row r="755" customFormat="false" ht="12.75" hidden="false" customHeight="false" outlineLevel="0" collapsed="false">
      <c r="A755" s="0"/>
    </row>
    <row r="756" customFormat="false" ht="12.75" hidden="false" customHeight="false" outlineLevel="0" collapsed="false">
      <c r="A756" s="0"/>
    </row>
    <row r="757" customFormat="false" ht="12.75" hidden="false" customHeight="false" outlineLevel="0" collapsed="false">
      <c r="A757" s="0"/>
    </row>
    <row r="758" customFormat="false" ht="12.75" hidden="false" customHeight="false" outlineLevel="0" collapsed="false">
      <c r="A758" s="0"/>
    </row>
    <row r="759" customFormat="false" ht="12.75" hidden="false" customHeight="false" outlineLevel="0" collapsed="false">
      <c r="A759" s="0"/>
    </row>
    <row r="760" customFormat="false" ht="12.75" hidden="false" customHeight="false" outlineLevel="0" collapsed="false">
      <c r="A760" s="0"/>
    </row>
    <row r="761" customFormat="false" ht="12.75" hidden="false" customHeight="false" outlineLevel="0" collapsed="false">
      <c r="A761" s="0"/>
    </row>
    <row r="762" customFormat="false" ht="12.75" hidden="false" customHeight="false" outlineLevel="0" collapsed="false">
      <c r="A762" s="0"/>
    </row>
    <row r="763" customFormat="false" ht="12.75" hidden="false" customHeight="false" outlineLevel="0" collapsed="false">
      <c r="A763" s="0"/>
    </row>
    <row r="764" customFormat="false" ht="12.75" hidden="false" customHeight="false" outlineLevel="0" collapsed="false">
      <c r="A764" s="0"/>
    </row>
    <row r="765" customFormat="false" ht="12.75" hidden="false" customHeight="false" outlineLevel="0" collapsed="false">
      <c r="A765" s="0"/>
    </row>
    <row r="766" customFormat="false" ht="12.75" hidden="false" customHeight="false" outlineLevel="0" collapsed="false">
      <c r="A766" s="0"/>
    </row>
    <row r="767" customFormat="false" ht="12.75" hidden="false" customHeight="false" outlineLevel="0" collapsed="false">
      <c r="A767" s="0"/>
    </row>
    <row r="768" customFormat="false" ht="12.75" hidden="false" customHeight="false" outlineLevel="0" collapsed="false">
      <c r="A768" s="0"/>
    </row>
    <row r="769" customFormat="false" ht="12.75" hidden="false" customHeight="false" outlineLevel="0" collapsed="false">
      <c r="A769" s="0"/>
    </row>
    <row r="770" customFormat="false" ht="12.75" hidden="false" customHeight="false" outlineLevel="0" collapsed="false">
      <c r="A770" s="0"/>
    </row>
    <row r="771" customFormat="false" ht="12.75" hidden="false" customHeight="false" outlineLevel="0" collapsed="false">
      <c r="A771" s="0"/>
    </row>
    <row r="772" customFormat="false" ht="12.75" hidden="false" customHeight="false" outlineLevel="0" collapsed="false">
      <c r="A772" s="0"/>
    </row>
    <row r="773" customFormat="false" ht="12.75" hidden="false" customHeight="false" outlineLevel="0" collapsed="false">
      <c r="A773" s="0"/>
    </row>
    <row r="774" customFormat="false" ht="12.75" hidden="false" customHeight="false" outlineLevel="0" collapsed="false">
      <c r="A774" s="0"/>
    </row>
    <row r="775" customFormat="false" ht="12.75" hidden="false" customHeight="false" outlineLevel="0" collapsed="false">
      <c r="A775" s="0"/>
    </row>
    <row r="776" customFormat="false" ht="12.75" hidden="false" customHeight="false" outlineLevel="0" collapsed="false">
      <c r="A776" s="0"/>
    </row>
    <row r="777" customFormat="false" ht="12.75" hidden="false" customHeight="false" outlineLevel="0" collapsed="false">
      <c r="A777" s="0"/>
    </row>
    <row r="778" customFormat="false" ht="12.75" hidden="false" customHeight="false" outlineLevel="0" collapsed="false">
      <c r="A778" s="0"/>
    </row>
    <row r="779" customFormat="false" ht="12.75" hidden="false" customHeight="false" outlineLevel="0" collapsed="false">
      <c r="A779" s="0"/>
    </row>
    <row r="780" customFormat="false" ht="12.75" hidden="false" customHeight="false" outlineLevel="0" collapsed="false">
      <c r="A780" s="0"/>
    </row>
    <row r="781" customFormat="false" ht="12.75" hidden="false" customHeight="false" outlineLevel="0" collapsed="false">
      <c r="A781" s="0"/>
    </row>
    <row r="782" customFormat="false" ht="12.75" hidden="false" customHeight="false" outlineLevel="0" collapsed="false">
      <c r="A782" s="0"/>
    </row>
    <row r="783" customFormat="false" ht="12.75" hidden="false" customHeight="false" outlineLevel="0" collapsed="false">
      <c r="A783" s="0"/>
    </row>
    <row r="784" customFormat="false" ht="12.75" hidden="false" customHeight="false" outlineLevel="0" collapsed="false">
      <c r="A784" s="0"/>
    </row>
    <row r="785" customFormat="false" ht="12.75" hidden="false" customHeight="false" outlineLevel="0" collapsed="false">
      <c r="A785" s="0"/>
    </row>
    <row r="786" customFormat="false" ht="12.75" hidden="false" customHeight="false" outlineLevel="0" collapsed="false">
      <c r="A786" s="0"/>
    </row>
    <row r="787" customFormat="false" ht="12.75" hidden="false" customHeight="false" outlineLevel="0" collapsed="false">
      <c r="A787" s="0"/>
    </row>
    <row r="788" customFormat="false" ht="12.75" hidden="false" customHeight="false" outlineLevel="0" collapsed="false">
      <c r="A788" s="0"/>
    </row>
    <row r="789" customFormat="false" ht="12.75" hidden="false" customHeight="false" outlineLevel="0" collapsed="false">
      <c r="A789" s="0"/>
    </row>
    <row r="790" customFormat="false" ht="12.75" hidden="false" customHeight="false" outlineLevel="0" collapsed="false">
      <c r="A790" s="0"/>
    </row>
    <row r="791" customFormat="false" ht="12.75" hidden="false" customHeight="false" outlineLevel="0" collapsed="false">
      <c r="A791" s="0"/>
    </row>
    <row r="792" customFormat="false" ht="12.75" hidden="false" customHeight="false" outlineLevel="0" collapsed="false">
      <c r="A792" s="0"/>
    </row>
    <row r="793" customFormat="false" ht="12.75" hidden="false" customHeight="false" outlineLevel="0" collapsed="false">
      <c r="A793" s="0"/>
    </row>
    <row r="794" customFormat="false" ht="12.75" hidden="false" customHeight="false" outlineLevel="0" collapsed="false">
      <c r="A794" s="0"/>
    </row>
    <row r="795" customFormat="false" ht="12.75" hidden="false" customHeight="false" outlineLevel="0" collapsed="false">
      <c r="A795" s="0"/>
    </row>
    <row r="796" customFormat="false" ht="12.75" hidden="false" customHeight="false" outlineLevel="0" collapsed="false">
      <c r="A796" s="0"/>
    </row>
    <row r="797" customFormat="false" ht="12.75" hidden="false" customHeight="false" outlineLevel="0" collapsed="false">
      <c r="A797" s="0"/>
    </row>
    <row r="798" customFormat="false" ht="12.75" hidden="false" customHeight="false" outlineLevel="0" collapsed="false">
      <c r="A798" s="0"/>
    </row>
    <row r="799" customFormat="false" ht="12.75" hidden="false" customHeight="false" outlineLevel="0" collapsed="false">
      <c r="A799" s="0"/>
    </row>
    <row r="800" customFormat="false" ht="12.75" hidden="false" customHeight="false" outlineLevel="0" collapsed="false">
      <c r="A800" s="0"/>
    </row>
    <row r="801" customFormat="false" ht="12.75" hidden="false" customHeight="false" outlineLevel="0" collapsed="false">
      <c r="A801" s="0"/>
    </row>
    <row r="802" customFormat="false" ht="12.75" hidden="false" customHeight="false" outlineLevel="0" collapsed="false">
      <c r="A802" s="0"/>
    </row>
    <row r="803" customFormat="false" ht="12.75" hidden="false" customHeight="false" outlineLevel="0" collapsed="false">
      <c r="A803" s="0"/>
    </row>
    <row r="804" customFormat="false" ht="12.75" hidden="false" customHeight="false" outlineLevel="0" collapsed="false">
      <c r="A804" s="0"/>
    </row>
    <row r="805" customFormat="false" ht="12.75" hidden="false" customHeight="false" outlineLevel="0" collapsed="false">
      <c r="A805" s="0"/>
    </row>
    <row r="806" customFormat="false" ht="12.75" hidden="false" customHeight="false" outlineLevel="0" collapsed="false">
      <c r="A806" s="0"/>
    </row>
    <row r="807" customFormat="false" ht="12.75" hidden="false" customHeight="false" outlineLevel="0" collapsed="false">
      <c r="A807" s="0"/>
    </row>
    <row r="808" customFormat="false" ht="12.75" hidden="false" customHeight="false" outlineLevel="0" collapsed="false">
      <c r="A808" s="0"/>
    </row>
    <row r="809" customFormat="false" ht="12.75" hidden="false" customHeight="false" outlineLevel="0" collapsed="false">
      <c r="A809" s="0"/>
    </row>
    <row r="810" customFormat="false" ht="12.75" hidden="false" customHeight="false" outlineLevel="0" collapsed="false">
      <c r="A810" s="0"/>
    </row>
    <row r="811" customFormat="false" ht="12.75" hidden="false" customHeight="false" outlineLevel="0" collapsed="false">
      <c r="A811" s="0"/>
    </row>
    <row r="812" customFormat="false" ht="12.75" hidden="false" customHeight="false" outlineLevel="0" collapsed="false">
      <c r="A812" s="0"/>
    </row>
    <row r="813" customFormat="false" ht="12.75" hidden="false" customHeight="false" outlineLevel="0" collapsed="false">
      <c r="A813" s="0"/>
    </row>
    <row r="814" customFormat="false" ht="12.75" hidden="false" customHeight="false" outlineLevel="0" collapsed="false">
      <c r="A814" s="0"/>
    </row>
    <row r="815" customFormat="false" ht="12.75" hidden="false" customHeight="false" outlineLevel="0" collapsed="false">
      <c r="A815" s="0"/>
    </row>
    <row r="816" customFormat="false" ht="12.75" hidden="false" customHeight="false" outlineLevel="0" collapsed="false">
      <c r="A816" s="0"/>
    </row>
    <row r="817" customFormat="false" ht="12.75" hidden="false" customHeight="false" outlineLevel="0" collapsed="false">
      <c r="A817" s="0"/>
    </row>
    <row r="818" customFormat="false" ht="12.75" hidden="false" customHeight="false" outlineLevel="0" collapsed="false">
      <c r="A818" s="0"/>
    </row>
    <row r="819" customFormat="false" ht="12.75" hidden="false" customHeight="false" outlineLevel="0" collapsed="false">
      <c r="A819" s="0"/>
    </row>
    <row r="820" customFormat="false" ht="12.75" hidden="false" customHeight="false" outlineLevel="0" collapsed="false">
      <c r="A820" s="0"/>
    </row>
    <row r="821" customFormat="false" ht="12.75" hidden="false" customHeight="false" outlineLevel="0" collapsed="false">
      <c r="A821" s="0"/>
    </row>
    <row r="822" customFormat="false" ht="12.75" hidden="false" customHeight="false" outlineLevel="0" collapsed="false">
      <c r="A822" s="0"/>
    </row>
    <row r="823" customFormat="false" ht="12.75" hidden="false" customHeight="false" outlineLevel="0" collapsed="false">
      <c r="A823" s="0"/>
    </row>
    <row r="824" customFormat="false" ht="12.75" hidden="false" customHeight="false" outlineLevel="0" collapsed="false">
      <c r="A824" s="0"/>
    </row>
    <row r="825" customFormat="false" ht="12.75" hidden="false" customHeight="false" outlineLevel="0" collapsed="false">
      <c r="A825" s="0"/>
    </row>
    <row r="826" customFormat="false" ht="12.75" hidden="false" customHeight="false" outlineLevel="0" collapsed="false">
      <c r="A826" s="0"/>
    </row>
    <row r="827" customFormat="false" ht="12.75" hidden="false" customHeight="false" outlineLevel="0" collapsed="false">
      <c r="A827" s="0"/>
    </row>
    <row r="828" customFormat="false" ht="12.75" hidden="false" customHeight="false" outlineLevel="0" collapsed="false">
      <c r="A828" s="0"/>
    </row>
    <row r="829" customFormat="false" ht="12.75" hidden="false" customHeight="false" outlineLevel="0" collapsed="false">
      <c r="A829" s="0"/>
    </row>
    <row r="830" customFormat="false" ht="12.75" hidden="false" customHeight="false" outlineLevel="0" collapsed="false">
      <c r="A830" s="0"/>
    </row>
    <row r="831" customFormat="false" ht="12.75" hidden="false" customHeight="false" outlineLevel="0" collapsed="false">
      <c r="A831" s="0"/>
    </row>
    <row r="832" customFormat="false" ht="12.75" hidden="false" customHeight="false" outlineLevel="0" collapsed="false">
      <c r="A832" s="0"/>
    </row>
    <row r="833" customFormat="false" ht="12.75" hidden="false" customHeight="false" outlineLevel="0" collapsed="false">
      <c r="A833" s="0"/>
    </row>
    <row r="834" customFormat="false" ht="12.75" hidden="false" customHeight="false" outlineLevel="0" collapsed="false">
      <c r="A834" s="0"/>
    </row>
    <row r="835" customFormat="false" ht="12.75" hidden="false" customHeight="false" outlineLevel="0" collapsed="false">
      <c r="A835" s="0"/>
    </row>
    <row r="836" customFormat="false" ht="12.75" hidden="false" customHeight="false" outlineLevel="0" collapsed="false">
      <c r="A836" s="0"/>
    </row>
    <row r="837" customFormat="false" ht="12.75" hidden="false" customHeight="false" outlineLevel="0" collapsed="false">
      <c r="A837" s="0"/>
    </row>
    <row r="838" customFormat="false" ht="12.75" hidden="false" customHeight="false" outlineLevel="0" collapsed="false">
      <c r="A838" s="0"/>
    </row>
    <row r="839" customFormat="false" ht="12.75" hidden="false" customHeight="false" outlineLevel="0" collapsed="false">
      <c r="A839" s="0"/>
    </row>
    <row r="840" customFormat="false" ht="12.75" hidden="false" customHeight="false" outlineLevel="0" collapsed="false">
      <c r="A840" s="0"/>
    </row>
    <row r="841" customFormat="false" ht="12.75" hidden="false" customHeight="false" outlineLevel="0" collapsed="false">
      <c r="A841" s="0"/>
    </row>
    <row r="842" customFormat="false" ht="12.75" hidden="false" customHeight="false" outlineLevel="0" collapsed="false">
      <c r="A842" s="0"/>
    </row>
    <row r="843" customFormat="false" ht="12.75" hidden="false" customHeight="false" outlineLevel="0" collapsed="false">
      <c r="A843" s="0"/>
    </row>
    <row r="844" customFormat="false" ht="12.75" hidden="false" customHeight="false" outlineLevel="0" collapsed="false">
      <c r="A844" s="0"/>
    </row>
    <row r="845" customFormat="false" ht="12.75" hidden="false" customHeight="false" outlineLevel="0" collapsed="false">
      <c r="A845" s="0"/>
    </row>
    <row r="846" customFormat="false" ht="12.75" hidden="false" customHeight="false" outlineLevel="0" collapsed="false">
      <c r="A846" s="0"/>
    </row>
    <row r="847" customFormat="false" ht="12.75" hidden="false" customHeight="false" outlineLevel="0" collapsed="false">
      <c r="A847" s="0"/>
    </row>
    <row r="848" customFormat="false" ht="12.75" hidden="false" customHeight="false" outlineLevel="0" collapsed="false">
      <c r="A848" s="0"/>
    </row>
    <row r="849" customFormat="false" ht="12.75" hidden="false" customHeight="false" outlineLevel="0" collapsed="false">
      <c r="A849" s="0"/>
    </row>
    <row r="850" customFormat="false" ht="12.75" hidden="false" customHeight="false" outlineLevel="0" collapsed="false">
      <c r="A850" s="0"/>
    </row>
    <row r="851" customFormat="false" ht="12.75" hidden="false" customHeight="false" outlineLevel="0" collapsed="false">
      <c r="A851" s="0"/>
    </row>
    <row r="852" customFormat="false" ht="12.75" hidden="false" customHeight="false" outlineLevel="0" collapsed="false">
      <c r="A852" s="0"/>
    </row>
    <row r="853" customFormat="false" ht="12.75" hidden="false" customHeight="false" outlineLevel="0" collapsed="false">
      <c r="A853" s="0"/>
    </row>
    <row r="854" customFormat="false" ht="12.75" hidden="false" customHeight="false" outlineLevel="0" collapsed="false">
      <c r="A854" s="0"/>
    </row>
    <row r="855" customFormat="false" ht="12.75" hidden="false" customHeight="false" outlineLevel="0" collapsed="false">
      <c r="A855" s="0"/>
    </row>
    <row r="856" customFormat="false" ht="12.75" hidden="false" customHeight="false" outlineLevel="0" collapsed="false">
      <c r="A856" s="0"/>
    </row>
    <row r="857" customFormat="false" ht="12.75" hidden="false" customHeight="false" outlineLevel="0" collapsed="false">
      <c r="A857" s="0"/>
    </row>
    <row r="858" customFormat="false" ht="12.75" hidden="false" customHeight="false" outlineLevel="0" collapsed="false">
      <c r="A858" s="0"/>
    </row>
    <row r="859" customFormat="false" ht="12.75" hidden="false" customHeight="false" outlineLevel="0" collapsed="false">
      <c r="A859" s="0"/>
    </row>
    <row r="860" customFormat="false" ht="12.75" hidden="false" customHeight="false" outlineLevel="0" collapsed="false">
      <c r="A860" s="0"/>
    </row>
    <row r="861" customFormat="false" ht="12.75" hidden="false" customHeight="false" outlineLevel="0" collapsed="false">
      <c r="A861" s="0"/>
    </row>
    <row r="862" customFormat="false" ht="12.75" hidden="false" customHeight="false" outlineLevel="0" collapsed="false">
      <c r="A862" s="0"/>
    </row>
    <row r="863" customFormat="false" ht="12.75" hidden="false" customHeight="false" outlineLevel="0" collapsed="false">
      <c r="A863" s="0"/>
    </row>
    <row r="864" customFormat="false" ht="12.75" hidden="false" customHeight="false" outlineLevel="0" collapsed="false">
      <c r="A864" s="0"/>
    </row>
    <row r="865" customFormat="false" ht="12.75" hidden="false" customHeight="false" outlineLevel="0" collapsed="false">
      <c r="A865" s="0"/>
    </row>
    <row r="866" customFormat="false" ht="12.75" hidden="false" customHeight="false" outlineLevel="0" collapsed="false">
      <c r="A866" s="0"/>
    </row>
    <row r="867" customFormat="false" ht="12.75" hidden="false" customHeight="false" outlineLevel="0" collapsed="false">
      <c r="A867" s="0"/>
    </row>
    <row r="868" customFormat="false" ht="12.75" hidden="false" customHeight="false" outlineLevel="0" collapsed="false">
      <c r="A868" s="0"/>
    </row>
    <row r="869" customFormat="false" ht="12.75" hidden="false" customHeight="false" outlineLevel="0" collapsed="false">
      <c r="A869" s="0"/>
    </row>
    <row r="870" customFormat="false" ht="12.75" hidden="false" customHeight="false" outlineLevel="0" collapsed="false">
      <c r="A870" s="0"/>
    </row>
    <row r="871" customFormat="false" ht="12.75" hidden="false" customHeight="false" outlineLevel="0" collapsed="false">
      <c r="A871" s="0"/>
    </row>
    <row r="872" customFormat="false" ht="12.75" hidden="false" customHeight="false" outlineLevel="0" collapsed="false">
      <c r="A872" s="0"/>
    </row>
    <row r="873" customFormat="false" ht="12.75" hidden="false" customHeight="false" outlineLevel="0" collapsed="false">
      <c r="A873" s="0"/>
    </row>
    <row r="874" customFormat="false" ht="12.75" hidden="false" customHeight="false" outlineLevel="0" collapsed="false">
      <c r="A874" s="0"/>
    </row>
    <row r="875" customFormat="false" ht="12.75" hidden="false" customHeight="false" outlineLevel="0" collapsed="false">
      <c r="A875" s="0"/>
    </row>
    <row r="876" customFormat="false" ht="12.75" hidden="false" customHeight="false" outlineLevel="0" collapsed="false">
      <c r="A876" s="0"/>
    </row>
    <row r="877" customFormat="false" ht="12.75" hidden="false" customHeight="false" outlineLevel="0" collapsed="false">
      <c r="A877" s="0"/>
    </row>
    <row r="878" customFormat="false" ht="12.75" hidden="false" customHeight="false" outlineLevel="0" collapsed="false">
      <c r="A878" s="0"/>
    </row>
    <row r="879" customFormat="false" ht="12.75" hidden="false" customHeight="false" outlineLevel="0" collapsed="false">
      <c r="A879" s="0"/>
    </row>
    <row r="880" customFormat="false" ht="12.75" hidden="false" customHeight="false" outlineLevel="0" collapsed="false">
      <c r="A880" s="0"/>
    </row>
    <row r="881" customFormat="false" ht="12.75" hidden="false" customHeight="false" outlineLevel="0" collapsed="false">
      <c r="A881" s="0"/>
    </row>
    <row r="882" customFormat="false" ht="12.75" hidden="false" customHeight="false" outlineLevel="0" collapsed="false">
      <c r="A882" s="0"/>
    </row>
    <row r="883" customFormat="false" ht="12.75" hidden="false" customHeight="false" outlineLevel="0" collapsed="false">
      <c r="A883" s="0"/>
    </row>
    <row r="884" customFormat="false" ht="12.75" hidden="false" customHeight="false" outlineLevel="0" collapsed="false">
      <c r="A884" s="0"/>
    </row>
    <row r="885" customFormat="false" ht="12.75" hidden="false" customHeight="false" outlineLevel="0" collapsed="false">
      <c r="A885" s="0"/>
    </row>
    <row r="886" customFormat="false" ht="12.75" hidden="false" customHeight="false" outlineLevel="0" collapsed="false">
      <c r="A886" s="0"/>
    </row>
    <row r="887" customFormat="false" ht="12.75" hidden="false" customHeight="false" outlineLevel="0" collapsed="false">
      <c r="A887" s="0"/>
    </row>
    <row r="888" customFormat="false" ht="12.75" hidden="false" customHeight="false" outlineLevel="0" collapsed="false">
      <c r="A888" s="0"/>
    </row>
    <row r="889" customFormat="false" ht="12.75" hidden="false" customHeight="false" outlineLevel="0" collapsed="false">
      <c r="A889" s="0"/>
    </row>
    <row r="890" customFormat="false" ht="12.75" hidden="false" customHeight="false" outlineLevel="0" collapsed="false">
      <c r="A890" s="0"/>
    </row>
    <row r="891" customFormat="false" ht="12.75" hidden="false" customHeight="false" outlineLevel="0" collapsed="false">
      <c r="A891" s="0"/>
    </row>
    <row r="892" customFormat="false" ht="12.75" hidden="false" customHeight="false" outlineLevel="0" collapsed="false">
      <c r="A892" s="0"/>
    </row>
    <row r="893" customFormat="false" ht="12.75" hidden="false" customHeight="false" outlineLevel="0" collapsed="false">
      <c r="A893" s="0"/>
    </row>
    <row r="894" customFormat="false" ht="12.75" hidden="false" customHeight="false" outlineLevel="0" collapsed="false">
      <c r="A894" s="0"/>
    </row>
    <row r="895" customFormat="false" ht="12.75" hidden="false" customHeight="false" outlineLevel="0" collapsed="false">
      <c r="A895" s="0"/>
    </row>
    <row r="896" customFormat="false" ht="12.75" hidden="false" customHeight="false" outlineLevel="0" collapsed="false">
      <c r="A896" s="0"/>
    </row>
    <row r="897" customFormat="false" ht="12.75" hidden="false" customHeight="false" outlineLevel="0" collapsed="false">
      <c r="A897" s="0"/>
    </row>
    <row r="898" customFormat="false" ht="12.75" hidden="false" customHeight="false" outlineLevel="0" collapsed="false">
      <c r="A898" s="0"/>
    </row>
    <row r="899" customFormat="false" ht="12.75" hidden="false" customHeight="false" outlineLevel="0" collapsed="false">
      <c r="A899" s="0"/>
    </row>
    <row r="900" customFormat="false" ht="12.75" hidden="false" customHeight="false" outlineLevel="0" collapsed="false">
      <c r="A900" s="0"/>
    </row>
    <row r="901" customFormat="false" ht="12.75" hidden="false" customHeight="false" outlineLevel="0" collapsed="false">
      <c r="A901" s="0"/>
    </row>
    <row r="902" customFormat="false" ht="12.75" hidden="false" customHeight="false" outlineLevel="0" collapsed="false">
      <c r="A902" s="0"/>
    </row>
    <row r="903" customFormat="false" ht="12.75" hidden="false" customHeight="false" outlineLevel="0" collapsed="false">
      <c r="A903" s="0"/>
    </row>
    <row r="904" customFormat="false" ht="12.75" hidden="false" customHeight="false" outlineLevel="0" collapsed="false">
      <c r="A904" s="0"/>
    </row>
    <row r="905" customFormat="false" ht="12.75" hidden="false" customHeight="false" outlineLevel="0" collapsed="false">
      <c r="A905" s="0"/>
    </row>
    <row r="906" customFormat="false" ht="12.75" hidden="false" customHeight="false" outlineLevel="0" collapsed="false">
      <c r="A906" s="0"/>
    </row>
    <row r="907" customFormat="false" ht="12.75" hidden="false" customHeight="false" outlineLevel="0" collapsed="false">
      <c r="A907" s="0"/>
    </row>
    <row r="908" customFormat="false" ht="12.75" hidden="false" customHeight="false" outlineLevel="0" collapsed="false">
      <c r="A908" s="0"/>
    </row>
    <row r="909" customFormat="false" ht="12.75" hidden="false" customHeight="false" outlineLevel="0" collapsed="false">
      <c r="A909" s="0"/>
    </row>
    <row r="910" customFormat="false" ht="12.75" hidden="false" customHeight="false" outlineLevel="0" collapsed="false">
      <c r="A910" s="0"/>
    </row>
    <row r="911" customFormat="false" ht="12.75" hidden="false" customHeight="false" outlineLevel="0" collapsed="false">
      <c r="A911" s="0"/>
    </row>
    <row r="912" customFormat="false" ht="12.75" hidden="false" customHeight="false" outlineLevel="0" collapsed="false">
      <c r="A912" s="0"/>
    </row>
    <row r="913" customFormat="false" ht="12.75" hidden="false" customHeight="false" outlineLevel="0" collapsed="false">
      <c r="A913" s="0"/>
    </row>
    <row r="914" customFormat="false" ht="12.75" hidden="false" customHeight="false" outlineLevel="0" collapsed="false">
      <c r="A914" s="0"/>
    </row>
    <row r="915" customFormat="false" ht="12.75" hidden="false" customHeight="false" outlineLevel="0" collapsed="false">
      <c r="A915" s="0"/>
    </row>
    <row r="916" customFormat="false" ht="12.75" hidden="false" customHeight="false" outlineLevel="0" collapsed="false">
      <c r="A916" s="0"/>
    </row>
    <row r="917" customFormat="false" ht="12.75" hidden="false" customHeight="false" outlineLevel="0" collapsed="false">
      <c r="A917" s="0"/>
    </row>
    <row r="918" customFormat="false" ht="12.75" hidden="false" customHeight="false" outlineLevel="0" collapsed="false">
      <c r="A918" s="0"/>
    </row>
    <row r="919" customFormat="false" ht="12.75" hidden="false" customHeight="false" outlineLevel="0" collapsed="false">
      <c r="A919" s="0"/>
    </row>
    <row r="920" customFormat="false" ht="12.75" hidden="false" customHeight="false" outlineLevel="0" collapsed="false">
      <c r="A920" s="0"/>
    </row>
    <row r="921" customFormat="false" ht="12.75" hidden="false" customHeight="false" outlineLevel="0" collapsed="false">
      <c r="A921" s="0"/>
    </row>
    <row r="922" customFormat="false" ht="12.75" hidden="false" customHeight="false" outlineLevel="0" collapsed="false">
      <c r="A922" s="0"/>
    </row>
    <row r="923" customFormat="false" ht="12.75" hidden="false" customHeight="false" outlineLevel="0" collapsed="false">
      <c r="A923" s="0"/>
    </row>
    <row r="924" customFormat="false" ht="12.75" hidden="false" customHeight="false" outlineLevel="0" collapsed="false">
      <c r="A924" s="0"/>
    </row>
    <row r="925" customFormat="false" ht="12.75" hidden="false" customHeight="false" outlineLevel="0" collapsed="false">
      <c r="A925" s="0"/>
    </row>
    <row r="926" customFormat="false" ht="12.75" hidden="false" customHeight="false" outlineLevel="0" collapsed="false">
      <c r="A926" s="0"/>
    </row>
    <row r="927" customFormat="false" ht="12.75" hidden="false" customHeight="false" outlineLevel="0" collapsed="false">
      <c r="A927" s="0"/>
    </row>
    <row r="928" customFormat="false" ht="12.75" hidden="false" customHeight="false" outlineLevel="0" collapsed="false">
      <c r="A928" s="0"/>
    </row>
    <row r="929" customFormat="false" ht="12.75" hidden="false" customHeight="false" outlineLevel="0" collapsed="false">
      <c r="A929" s="0"/>
    </row>
    <row r="930" customFormat="false" ht="12.75" hidden="false" customHeight="false" outlineLevel="0" collapsed="false">
      <c r="A930" s="0"/>
    </row>
    <row r="931" customFormat="false" ht="12.75" hidden="false" customHeight="false" outlineLevel="0" collapsed="false">
      <c r="A931" s="0"/>
    </row>
    <row r="932" customFormat="false" ht="12.75" hidden="false" customHeight="false" outlineLevel="0" collapsed="false">
      <c r="A932" s="0"/>
    </row>
    <row r="933" customFormat="false" ht="12.75" hidden="false" customHeight="false" outlineLevel="0" collapsed="false">
      <c r="A933" s="0"/>
    </row>
    <row r="934" customFormat="false" ht="12.75" hidden="false" customHeight="false" outlineLevel="0" collapsed="false">
      <c r="A934" s="0"/>
    </row>
    <row r="935" customFormat="false" ht="12.75" hidden="false" customHeight="false" outlineLevel="0" collapsed="false">
      <c r="A935" s="0"/>
    </row>
    <row r="936" customFormat="false" ht="12.75" hidden="false" customHeight="false" outlineLevel="0" collapsed="false">
      <c r="A936" s="0"/>
    </row>
    <row r="937" customFormat="false" ht="12.75" hidden="false" customHeight="false" outlineLevel="0" collapsed="false">
      <c r="A937" s="0"/>
    </row>
    <row r="938" customFormat="false" ht="12.75" hidden="false" customHeight="false" outlineLevel="0" collapsed="false">
      <c r="A938" s="0"/>
    </row>
    <row r="939" customFormat="false" ht="12.75" hidden="false" customHeight="false" outlineLevel="0" collapsed="false">
      <c r="A939" s="0"/>
    </row>
    <row r="940" customFormat="false" ht="12.75" hidden="false" customHeight="false" outlineLevel="0" collapsed="false">
      <c r="A940" s="0"/>
    </row>
    <row r="941" customFormat="false" ht="12.75" hidden="false" customHeight="false" outlineLevel="0" collapsed="false">
      <c r="A941" s="0"/>
    </row>
    <row r="942" customFormat="false" ht="12.75" hidden="false" customHeight="false" outlineLevel="0" collapsed="false">
      <c r="A942" s="0"/>
    </row>
    <row r="943" customFormat="false" ht="12.75" hidden="false" customHeight="false" outlineLevel="0" collapsed="false">
      <c r="A943" s="0"/>
    </row>
    <row r="944" customFormat="false" ht="12.75" hidden="false" customHeight="false" outlineLevel="0" collapsed="false">
      <c r="A944" s="0"/>
    </row>
    <row r="945" customFormat="false" ht="12.75" hidden="false" customHeight="false" outlineLevel="0" collapsed="false">
      <c r="A945" s="0"/>
    </row>
    <row r="946" customFormat="false" ht="12.75" hidden="false" customHeight="false" outlineLevel="0" collapsed="false">
      <c r="A946" s="0"/>
    </row>
    <row r="947" customFormat="false" ht="12.75" hidden="false" customHeight="false" outlineLevel="0" collapsed="false">
      <c r="A947" s="0"/>
    </row>
    <row r="948" customFormat="false" ht="12.75" hidden="false" customHeight="false" outlineLevel="0" collapsed="false">
      <c r="A948" s="0"/>
    </row>
    <row r="949" customFormat="false" ht="12.75" hidden="false" customHeight="false" outlineLevel="0" collapsed="false">
      <c r="A949" s="0"/>
    </row>
    <row r="950" customFormat="false" ht="12.75" hidden="false" customHeight="false" outlineLevel="0" collapsed="false">
      <c r="A950" s="0"/>
    </row>
    <row r="951" customFormat="false" ht="12.75" hidden="false" customHeight="false" outlineLevel="0" collapsed="false">
      <c r="A951" s="0"/>
    </row>
    <row r="952" customFormat="false" ht="12.75" hidden="false" customHeight="false" outlineLevel="0" collapsed="false">
      <c r="A952" s="0"/>
    </row>
    <row r="953" customFormat="false" ht="12.75" hidden="false" customHeight="false" outlineLevel="0" collapsed="false">
      <c r="A953" s="0"/>
    </row>
    <row r="954" customFormat="false" ht="12.75" hidden="false" customHeight="false" outlineLevel="0" collapsed="false">
      <c r="A954" s="0"/>
    </row>
    <row r="955" customFormat="false" ht="12.75" hidden="false" customHeight="false" outlineLevel="0" collapsed="false">
      <c r="A955" s="0"/>
    </row>
    <row r="956" customFormat="false" ht="12.75" hidden="false" customHeight="false" outlineLevel="0" collapsed="false">
      <c r="A956" s="0"/>
    </row>
    <row r="957" customFormat="false" ht="12.75" hidden="false" customHeight="false" outlineLevel="0" collapsed="false">
      <c r="A957" s="0"/>
    </row>
    <row r="958" customFormat="false" ht="12.75" hidden="false" customHeight="false" outlineLevel="0" collapsed="false">
      <c r="A958" s="0"/>
    </row>
    <row r="959" customFormat="false" ht="12.75" hidden="false" customHeight="false" outlineLevel="0" collapsed="false">
      <c r="A959" s="0"/>
    </row>
    <row r="960" customFormat="false" ht="12.75" hidden="false" customHeight="false" outlineLevel="0" collapsed="false">
      <c r="A960" s="0"/>
    </row>
    <row r="961" customFormat="false" ht="12.75" hidden="false" customHeight="false" outlineLevel="0" collapsed="false">
      <c r="A961" s="0"/>
    </row>
    <row r="962" customFormat="false" ht="12.75" hidden="false" customHeight="false" outlineLevel="0" collapsed="false">
      <c r="A962" s="0"/>
    </row>
    <row r="963" customFormat="false" ht="12.75" hidden="false" customHeight="false" outlineLevel="0" collapsed="false">
      <c r="A963" s="0"/>
    </row>
    <row r="964" customFormat="false" ht="12.75" hidden="false" customHeight="false" outlineLevel="0" collapsed="false">
      <c r="A964" s="0"/>
    </row>
    <row r="965" customFormat="false" ht="12.75" hidden="false" customHeight="false" outlineLevel="0" collapsed="false">
      <c r="A965" s="0"/>
    </row>
    <row r="966" customFormat="false" ht="12.75" hidden="false" customHeight="false" outlineLevel="0" collapsed="false">
      <c r="A966" s="0"/>
    </row>
    <row r="967" customFormat="false" ht="12.75" hidden="false" customHeight="false" outlineLevel="0" collapsed="false">
      <c r="A967" s="0"/>
    </row>
    <row r="968" customFormat="false" ht="12.75" hidden="false" customHeight="false" outlineLevel="0" collapsed="false">
      <c r="A968" s="0"/>
    </row>
    <row r="969" customFormat="false" ht="12.75" hidden="false" customHeight="false" outlineLevel="0" collapsed="false">
      <c r="A969" s="0"/>
    </row>
    <row r="970" customFormat="false" ht="12.75" hidden="false" customHeight="false" outlineLevel="0" collapsed="false">
      <c r="A970" s="0"/>
    </row>
    <row r="971" customFormat="false" ht="12.75" hidden="false" customHeight="false" outlineLevel="0" collapsed="false">
      <c r="A971" s="0"/>
    </row>
    <row r="972" customFormat="false" ht="12.75" hidden="false" customHeight="false" outlineLevel="0" collapsed="false">
      <c r="A972" s="0"/>
    </row>
    <row r="973" customFormat="false" ht="12.75" hidden="false" customHeight="false" outlineLevel="0" collapsed="false">
      <c r="A973" s="0"/>
    </row>
    <row r="974" customFormat="false" ht="12.75" hidden="false" customHeight="false" outlineLevel="0" collapsed="false">
      <c r="A974" s="0"/>
    </row>
    <row r="975" customFormat="false" ht="12.75" hidden="false" customHeight="false" outlineLevel="0" collapsed="false">
      <c r="A975" s="0"/>
    </row>
    <row r="976" customFormat="false" ht="12.75" hidden="false" customHeight="false" outlineLevel="0" collapsed="false">
      <c r="A976" s="0"/>
    </row>
    <row r="977" customFormat="false" ht="12.75" hidden="false" customHeight="false" outlineLevel="0" collapsed="false">
      <c r="A977" s="0"/>
    </row>
    <row r="978" customFormat="false" ht="12.75" hidden="false" customHeight="false" outlineLevel="0" collapsed="false">
      <c r="A978" s="0"/>
    </row>
    <row r="979" customFormat="false" ht="12.75" hidden="false" customHeight="false" outlineLevel="0" collapsed="false">
      <c r="A979" s="0"/>
    </row>
    <row r="980" customFormat="false" ht="12.75" hidden="false" customHeight="false" outlineLevel="0" collapsed="false">
      <c r="A980" s="0"/>
    </row>
    <row r="981" customFormat="false" ht="12.75" hidden="false" customHeight="false" outlineLevel="0" collapsed="false">
      <c r="A981" s="0"/>
    </row>
    <row r="982" customFormat="false" ht="12.75" hidden="false" customHeight="false" outlineLevel="0" collapsed="false">
      <c r="A982" s="0"/>
    </row>
    <row r="983" customFormat="false" ht="12.75" hidden="false" customHeight="false" outlineLevel="0" collapsed="false">
      <c r="A983" s="0"/>
    </row>
    <row r="984" customFormat="false" ht="12.75" hidden="false" customHeight="false" outlineLevel="0" collapsed="false">
      <c r="A984" s="0"/>
    </row>
    <row r="985" customFormat="false" ht="12.75" hidden="false" customHeight="false" outlineLevel="0" collapsed="false">
      <c r="A985" s="0"/>
    </row>
    <row r="986" customFormat="false" ht="12.75" hidden="false" customHeight="false" outlineLevel="0" collapsed="false">
      <c r="A986" s="0"/>
    </row>
    <row r="987" customFormat="false" ht="12.75" hidden="false" customHeight="false" outlineLevel="0" collapsed="false">
      <c r="A987" s="0"/>
    </row>
    <row r="988" customFormat="false" ht="12.75" hidden="false" customHeight="false" outlineLevel="0" collapsed="false">
      <c r="A988" s="0"/>
    </row>
    <row r="989" customFormat="false" ht="12.75" hidden="false" customHeight="false" outlineLevel="0" collapsed="false">
      <c r="A989" s="0"/>
    </row>
    <row r="990" customFormat="false" ht="12.75" hidden="false" customHeight="false" outlineLevel="0" collapsed="false">
      <c r="A990" s="0"/>
    </row>
    <row r="991" customFormat="false" ht="12.75" hidden="false" customHeight="false" outlineLevel="0" collapsed="false">
      <c r="A991" s="0"/>
    </row>
    <row r="992" customFormat="false" ht="12.75" hidden="false" customHeight="false" outlineLevel="0" collapsed="false">
      <c r="A992" s="0"/>
    </row>
    <row r="993" customFormat="false" ht="12.75" hidden="false" customHeight="false" outlineLevel="0" collapsed="false">
      <c r="A993" s="0"/>
    </row>
    <row r="994" customFormat="false" ht="12.75" hidden="false" customHeight="false" outlineLevel="0" collapsed="false">
      <c r="A994" s="0"/>
    </row>
    <row r="995" customFormat="false" ht="12.75" hidden="false" customHeight="false" outlineLevel="0" collapsed="false">
      <c r="A995" s="0"/>
    </row>
    <row r="996" customFormat="false" ht="12.75" hidden="false" customHeight="false" outlineLevel="0" collapsed="false">
      <c r="A996" s="0"/>
    </row>
    <row r="997" customFormat="false" ht="12.75" hidden="false" customHeight="false" outlineLevel="0" collapsed="false">
      <c r="A997" s="0"/>
    </row>
    <row r="998" customFormat="false" ht="12.75" hidden="false" customHeight="false" outlineLevel="0" collapsed="false">
      <c r="A998" s="0"/>
    </row>
    <row r="999" customFormat="false" ht="12.75" hidden="false" customHeight="false" outlineLevel="0" collapsed="false">
      <c r="A999" s="0"/>
    </row>
    <row r="1000" customFormat="false" ht="12.75" hidden="false" customHeight="false" outlineLevel="0" collapsed="false">
      <c r="A1000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Nymex_CURVE">
                <anchor moveWithCells="true" sizeWithCells="false">
                  <from>
                    <xdr:col>2</xdr:col>
                    <xdr:colOff>362520</xdr:colOff>
                    <xdr:row>0</xdr:row>
                    <xdr:rowOff>142920</xdr:rowOff>
                  </from>
                  <to>
                    <xdr:col>3</xdr:col>
                    <xdr:colOff>529200</xdr:colOff>
                    <xdr:row>2</xdr:row>
                    <xdr:rowOff>124200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Cd.GetFuturesPosn">
                <anchor moveWithCells="true" sizeWithCells="false">
                  <from>
                    <xdr:col>14</xdr:col>
                    <xdr:colOff>289080</xdr:colOff>
                    <xdr:row>0</xdr:row>
                    <xdr:rowOff>9360</xdr:rowOff>
                  </from>
                  <to>
                    <xdr:col>16</xdr:col>
                    <xdr:colOff>349920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5">
              <controlPr defaultSize="0" print="false" autoFill="0" autoPict="0" macro="xls.Module1.New_Nymex_Gas">
                <anchor moveWithCells="true" sizeWithCells="false">
                  <from>
                    <xdr:col>30</xdr:col>
                    <xdr:colOff>358920</xdr:colOff>
                    <xdr:row>1</xdr:row>
                    <xdr:rowOff>142920</xdr:rowOff>
                  </from>
                  <to>
                    <xdr:col>32</xdr:col>
                    <xdr:colOff>120240</xdr:colOff>
                    <xdr:row>3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W1:AD1367"/>
  <sheetViews>
    <sheetView showFormulas="false" showGridLines="true" showRowColHeaders="true" showZeros="true" rightToLeft="false" tabSelected="false" showOutlineSymbols="true" defaultGridColor="true" view="normal" topLeftCell="W1" colorId="64" zoomScale="100" zoomScaleNormal="100" zoomScalePageLayoutView="100" workbookViewId="0">
      <selection pane="topLeft" activeCell="W1" activeCellId="0" sqref="W1"/>
    </sheetView>
  </sheetViews>
  <sheetFormatPr defaultColWidth="9.0546875" defaultRowHeight="12.75" customHeight="true" zeroHeight="false" outlineLevelRow="0" outlineLevelCol="0"/>
  <cols>
    <col collapsed="false" customWidth="false" hidden="true" outlineLevel="0" max="22" min="1" style="0" width="9.06"/>
    <col collapsed="false" customWidth="true" hidden="false" outlineLevel="0" max="23" min="23" style="952" width="11.28"/>
    <col collapsed="false" customWidth="true" hidden="false" outlineLevel="0" max="24" min="24" style="953" width="19.28"/>
    <col collapsed="false" customWidth="true" hidden="false" outlineLevel="0" max="25" min="25" style="952" width="15.41"/>
    <col collapsed="false" customWidth="true" hidden="false" outlineLevel="0" max="27" min="26" style="952" width="9.14"/>
    <col collapsed="false" customWidth="true" hidden="false" outlineLevel="0" max="28" min="28" style="952" width="14.28"/>
    <col collapsed="false" customWidth="true" hidden="false" outlineLevel="0" max="30" min="29" style="952" width="9.14"/>
  </cols>
  <sheetData>
    <row r="1" customFormat="false" ht="15.75" hidden="false" customHeight="false" outlineLevel="0" collapsed="false">
      <c r="X1" s="934" t="s">
        <v>444</v>
      </c>
      <c r="AB1" s="954"/>
      <c r="AC1" s="954"/>
      <c r="AD1" s="954"/>
    </row>
    <row r="2" customFormat="false" ht="12.75" hidden="false" customHeight="false" outlineLevel="0" collapsed="false">
      <c r="X2" s="936" t="s">
        <v>418</v>
      </c>
      <c r="AB2" s="954"/>
      <c r="AC2" s="954"/>
      <c r="AD2" s="954"/>
    </row>
    <row r="3" customFormat="false" ht="12.75" hidden="false" customHeight="false" outlineLevel="0" collapsed="false">
      <c r="X3" s="937" t="s">
        <v>422</v>
      </c>
      <c r="Y3" s="955"/>
      <c r="AB3" s="954"/>
      <c r="AC3" s="954"/>
      <c r="AD3" s="954"/>
    </row>
    <row r="4" customFormat="false" ht="12.75" hidden="false" customHeight="false" outlineLevel="0" collapsed="false">
      <c r="X4" s="937" t="s">
        <v>422</v>
      </c>
      <c r="Y4" s="936" t="s">
        <v>445</v>
      </c>
      <c r="AB4" s="954"/>
      <c r="AC4" s="954"/>
      <c r="AD4" s="954"/>
    </row>
    <row r="5" customFormat="false" ht="12.75" hidden="false" customHeight="false" outlineLevel="0" collapsed="false">
      <c r="X5" s="956" t="n">
        <f aca="false">[1]Top!$B$5</f>
        <v>37140</v>
      </c>
      <c r="Y5" s="937" t="s">
        <v>446</v>
      </c>
    </row>
    <row r="6" customFormat="false" ht="15.75" hidden="false" customHeight="false" outlineLevel="0" collapsed="false">
      <c r="X6" s="944" t="n">
        <f aca="false">W8</f>
        <v>37165</v>
      </c>
      <c r="Y6" s="937" t="s">
        <v>447</v>
      </c>
      <c r="AB6" s="957"/>
      <c r="AC6" s="958"/>
      <c r="AD6" s="958"/>
    </row>
    <row r="7" customFormat="false" ht="12.75" hidden="false" customHeight="false" outlineLevel="0" collapsed="false">
      <c r="AA7" s="952" t="s">
        <v>448</v>
      </c>
      <c r="AB7" s="959" t="s">
        <v>449</v>
      </c>
      <c r="AC7" s="959" t="s">
        <v>270</v>
      </c>
      <c r="AD7" s="959"/>
    </row>
    <row r="8" customFormat="false" ht="12.75" hidden="false" customHeight="false" outlineLevel="0" collapsed="false">
      <c r="W8" s="960" t="n">
        <f aca="false">DATE(YEAR(X5+31),MONTH(X5+31),1)</f>
        <v>37165</v>
      </c>
      <c r="X8" s="947" t="n">
        <v>37165</v>
      </c>
      <c r="Y8" s="0" t="n">
        <v>0.0367279337826356</v>
      </c>
      <c r="Z8" s="959"/>
      <c r="AA8" s="959" t="n">
        <f aca="false">YEAR(X8)</f>
        <v>2001</v>
      </c>
      <c r="AB8" s="959" t="n">
        <f aca="false">MONTH(X8)</f>
        <v>10</v>
      </c>
      <c r="AC8" s="961" t="n">
        <f aca="false">(1+Y8/2)^(-(DATE(AA9,AB9,20)-[2]TradeSum!$A$3)/182.625)</f>
        <v>0.992554596410886</v>
      </c>
      <c r="AD8" s="959"/>
    </row>
    <row r="9" customFormat="false" ht="12.75" hidden="false" customHeight="false" outlineLevel="0" collapsed="false">
      <c r="X9" s="947" t="n">
        <v>37196</v>
      </c>
      <c r="Y9" s="0" t="n">
        <v>0.0363595764349132</v>
      </c>
      <c r="Z9" s="959"/>
      <c r="AA9" s="959" t="n">
        <f aca="false">YEAR(X9)</f>
        <v>2001</v>
      </c>
      <c r="AB9" s="959" t="n">
        <f aca="false">MONTH(X9)</f>
        <v>11</v>
      </c>
      <c r="AC9" s="961" t="n">
        <f aca="false">(1+Y9/2)^(-(DATE(AA10,AB10,20)-[2]TradeSum!$A$3)/182.625)</f>
        <v>0.989694895808596</v>
      </c>
      <c r="AD9" s="962"/>
    </row>
    <row r="10" customFormat="false" ht="12.75" hidden="false" customHeight="false" outlineLevel="0" collapsed="false">
      <c r="X10" s="947" t="n">
        <v>37226</v>
      </c>
      <c r="Y10" s="0" t="n">
        <v>0.0360187248172275</v>
      </c>
      <c r="Z10" s="959"/>
      <c r="AA10" s="959" t="n">
        <f aca="false">YEAR(X10)</f>
        <v>2001</v>
      </c>
      <c r="AB10" s="959" t="n">
        <f aca="false">MONTH(X10)</f>
        <v>12</v>
      </c>
      <c r="AC10" s="961" t="n">
        <f aca="false">(1+Y10/2)^(-(DATE(AA11,AB11,20)-[2]TradeSum!$A$3)/182.625)</f>
        <v>0.986795796514416</v>
      </c>
      <c r="AD10" s="959"/>
    </row>
    <row r="11" customFormat="false" ht="12.75" hidden="false" customHeight="false" outlineLevel="0" collapsed="false">
      <c r="X11" s="947" t="n">
        <v>37257</v>
      </c>
      <c r="Y11" s="0" t="n">
        <v>0.0354153387976757</v>
      </c>
      <c r="Z11" s="959"/>
      <c r="AA11" s="959" t="n">
        <f aca="false">YEAR(X11)</f>
        <v>2002</v>
      </c>
      <c r="AB11" s="959" t="n">
        <f aca="false">MONTH(X11)</f>
        <v>1</v>
      </c>
      <c r="AC11" s="961" t="n">
        <f aca="false">(1+Y11/2)^(-(DATE(AA12,AB12,20)-[2]TradeSum!$A$3)/182.625)</f>
        <v>0.984077187080641</v>
      </c>
      <c r="AD11" s="959"/>
    </row>
    <row r="12" customFormat="false" ht="12.75" hidden="false" customHeight="false" outlineLevel="0" collapsed="false">
      <c r="X12" s="947" t="n">
        <v>37288</v>
      </c>
      <c r="Y12" s="0" t="n">
        <v>0.0353608272036543</v>
      </c>
      <c r="Z12" s="959"/>
      <c r="AA12" s="959" t="n">
        <f aca="false">YEAR(X12)</f>
        <v>2002</v>
      </c>
      <c r="AB12" s="959" t="n">
        <f aca="false">MONTH(X12)</f>
        <v>2</v>
      </c>
      <c r="AC12" s="961" t="n">
        <f aca="false">(1+Y12/2)^(-(DATE(AA13,AB13,20)-[2]TradeSum!$A$3)/182.625)</f>
        <v>0.981460488623682</v>
      </c>
      <c r="AD12" s="963"/>
    </row>
    <row r="13" customFormat="false" ht="12.75" hidden="false" customHeight="false" outlineLevel="0" collapsed="false">
      <c r="X13" s="947" t="n">
        <v>37316</v>
      </c>
      <c r="Y13" s="0" t="n">
        <v>0.0353115909260424</v>
      </c>
      <c r="Z13" s="959"/>
      <c r="AA13" s="959" t="n">
        <f aca="false">YEAR(X13)</f>
        <v>2002</v>
      </c>
      <c r="AB13" s="959" t="n">
        <f aca="false">MONTH(X13)</f>
        <v>3</v>
      </c>
      <c r="AC13" s="961" t="n">
        <f aca="false">(1+Y13/2)^(-(DATE(AA14,AB14,20)-[2]TradeSum!$A$3)/182.625)</f>
        <v>0.978574306199235</v>
      </c>
      <c r="AD13" s="959"/>
    </row>
    <row r="14" customFormat="false" ht="12.75" hidden="false" customHeight="false" outlineLevel="0" collapsed="false">
      <c r="X14" s="947" t="n">
        <v>37347</v>
      </c>
      <c r="Y14" s="0" t="n">
        <v>0.0353139787676682</v>
      </c>
      <c r="Z14" s="959"/>
      <c r="AA14" s="959" t="n">
        <f aca="false">YEAR(X14)</f>
        <v>2002</v>
      </c>
      <c r="AB14" s="959" t="n">
        <f aca="false">MONTH(X14)</f>
        <v>4</v>
      </c>
      <c r="AC14" s="961" t="n">
        <f aca="false">(1+Y14/2)^(-(DATE(AA15,AB15,20)-[2]TradeSum!$A$3)/182.625)</f>
        <v>0.975763311881444</v>
      </c>
      <c r="AD14" s="959"/>
    </row>
    <row r="15" customFormat="false" ht="12.75" hidden="false" customHeight="false" outlineLevel="0" collapsed="false">
      <c r="X15" s="947" t="n">
        <v>37377</v>
      </c>
      <c r="Y15" s="0" t="n">
        <v>0.0353879317092152</v>
      </c>
      <c r="Z15" s="959"/>
      <c r="AA15" s="959" t="n">
        <f aca="false">YEAR(X15)</f>
        <v>2002</v>
      </c>
      <c r="AB15" s="959" t="n">
        <f aca="false">MONTH(X15)</f>
        <v>5</v>
      </c>
      <c r="AC15" s="961" t="n">
        <f aca="false">(1+Y15/2)^(-(DATE(AA16,AB16,20)-[2]TradeSum!$A$3)/182.625)</f>
        <v>0.972813010513454</v>
      </c>
      <c r="AD15" s="964"/>
    </row>
    <row r="16" customFormat="false" ht="12.75" hidden="false" customHeight="false" outlineLevel="0" collapsed="false">
      <c r="X16" s="947" t="n">
        <v>37408</v>
      </c>
      <c r="Y16" s="0" t="n">
        <v>0.0354643497507463</v>
      </c>
      <c r="Z16" s="959"/>
      <c r="AA16" s="959" t="n">
        <f aca="false">YEAR(X16)</f>
        <v>2002</v>
      </c>
      <c r="AB16" s="959" t="n">
        <f aca="false">MONTH(X16)</f>
        <v>6</v>
      </c>
      <c r="AC16" s="961" t="n">
        <f aca="false">(1+Y16/2)^(-(DATE(AA17,AB17,20)-[2]TradeSum!$A$3)/182.625)</f>
        <v>0.969950971788438</v>
      </c>
      <c r="AD16" s="964"/>
    </row>
    <row r="17" customFormat="false" ht="12.75" hidden="false" customHeight="false" outlineLevel="0" collapsed="false">
      <c r="X17" s="947" t="n">
        <v>37438</v>
      </c>
      <c r="Y17" s="0" t="n">
        <v>0.0356096911374446</v>
      </c>
      <c r="Z17" s="959"/>
      <c r="AA17" s="959" t="n">
        <f aca="false">YEAR(X17)</f>
        <v>2002</v>
      </c>
      <c r="AB17" s="959" t="n">
        <f aca="false">MONTH(X17)</f>
        <v>7</v>
      </c>
      <c r="AC17" s="961" t="n">
        <f aca="false">(1+Y17/2)^(-(DATE(AA18,AB18,20)-[2]TradeSum!$A$3)/182.625)</f>
        <v>0.966929766386753</v>
      </c>
      <c r="AD17" s="964"/>
    </row>
    <row r="18" customFormat="false" ht="12.75" hidden="false" customHeight="false" outlineLevel="0" collapsed="false">
      <c r="X18" s="947" t="n">
        <v>37469</v>
      </c>
      <c r="Y18" s="0" t="n">
        <v>0.0358758619506046</v>
      </c>
      <c r="Z18" s="959"/>
      <c r="AA18" s="959" t="n">
        <f aca="false">YEAR(X18)</f>
        <v>2002</v>
      </c>
      <c r="AB18" s="959" t="n">
        <f aca="false">MONTH(X18)</f>
        <v>8</v>
      </c>
      <c r="AC18" s="961" t="n">
        <f aca="false">(1+Y18/2)^(-(DATE(AA19,AB19,20)-[2]TradeSum!$A$3)/182.625)</f>
        <v>0.963775898189151</v>
      </c>
      <c r="AD18" s="964"/>
    </row>
    <row r="19" customFormat="false" ht="12.75" hidden="false" customHeight="false" outlineLevel="0" collapsed="false">
      <c r="X19" s="947" t="n">
        <v>37500</v>
      </c>
      <c r="Y19" s="0" t="n">
        <v>0.0361420327875828</v>
      </c>
      <c r="Z19" s="959"/>
      <c r="AA19" s="959" t="n">
        <f aca="false">YEAR(X19)</f>
        <v>2002</v>
      </c>
      <c r="AB19" s="959" t="n">
        <f aca="false">MONTH(X19)</f>
        <v>9</v>
      </c>
      <c r="AC19" s="961" t="n">
        <f aca="false">(1+Y19/2)^(-(DATE(AA20,AB20,20)-[2]TradeSum!$A$3)/182.625)</f>
        <v>0.960683921746086</v>
      </c>
      <c r="AD19" s="964"/>
    </row>
    <row r="20" customFormat="false" ht="12.75" hidden="false" customHeight="false" outlineLevel="0" collapsed="false">
      <c r="X20" s="947" t="n">
        <v>37530</v>
      </c>
      <c r="Y20" s="0" t="n">
        <v>0.036455538794899</v>
      </c>
      <c r="Z20" s="959"/>
      <c r="AA20" s="959" t="n">
        <f aca="false">YEAR(X20)</f>
        <v>2002</v>
      </c>
      <c r="AB20" s="959" t="n">
        <f aca="false">MONTH(X20)</f>
        <v>10</v>
      </c>
      <c r="AC20" s="961" t="n">
        <f aca="false">(1+Y20/2)^(-(DATE(AA21,AB21,20)-[2]TradeSum!$A$3)/182.625)</f>
        <v>0.957412569646852</v>
      </c>
      <c r="AD20" s="964"/>
    </row>
    <row r="21" customFormat="false" ht="12.75" hidden="false" customHeight="false" outlineLevel="0" collapsed="false">
      <c r="X21" s="947" t="n">
        <v>37561</v>
      </c>
      <c r="Y21" s="0" t="n">
        <v>0.0368590814687679</v>
      </c>
      <c r="Z21" s="959"/>
      <c r="AA21" s="959" t="n">
        <f aca="false">YEAR(X21)</f>
        <v>2002</v>
      </c>
      <c r="AB21" s="959" t="n">
        <f aca="false">MONTH(X21)</f>
        <v>11</v>
      </c>
      <c r="AC21" s="961" t="n">
        <f aca="false">(1+Y21/2)^(-(DATE(AA22,AB22,20)-[2]TradeSum!$A$3)/182.625)</f>
        <v>0.954089178150039</v>
      </c>
      <c r="AD21" s="964"/>
    </row>
    <row r="22" customFormat="false" ht="12.75" hidden="false" customHeight="false" outlineLevel="0" collapsed="false">
      <c r="X22" s="947" t="n">
        <v>37591</v>
      </c>
      <c r="Y22" s="0" t="n">
        <v>0.0372496066891315</v>
      </c>
      <c r="Z22" s="959"/>
      <c r="AA22" s="959" t="n">
        <f aca="false">YEAR(X22)</f>
        <v>2002</v>
      </c>
      <c r="AB22" s="959" t="n">
        <f aca="false">MONTH(X22)</f>
        <v>12</v>
      </c>
      <c r="AC22" s="961" t="n">
        <f aca="false">(1+Y22/2)^(-(DATE(AA23,AB23,20)-[2]TradeSum!$A$3)/182.625)</f>
        <v>0.950636103476229</v>
      </c>
      <c r="AD22" s="964"/>
    </row>
    <row r="23" customFormat="false" ht="12.75" hidden="false" customHeight="false" outlineLevel="0" collapsed="false">
      <c r="X23" s="947" t="n">
        <v>37622</v>
      </c>
      <c r="Y23" s="0" t="n">
        <v>0.037695878873063</v>
      </c>
      <c r="Z23" s="959"/>
      <c r="AA23" s="959" t="n">
        <f aca="false">YEAR(X23)</f>
        <v>2003</v>
      </c>
      <c r="AB23" s="959" t="n">
        <f aca="false">MONTH(X23)</f>
        <v>1</v>
      </c>
      <c r="AC23" s="961" t="n">
        <f aca="false">(1+Y23/2)^(-(DATE(AA24,AB24,20)-[2]TradeSum!$A$3)/182.625)</f>
        <v>0.947058501643835</v>
      </c>
      <c r="AD23" s="964"/>
    </row>
    <row r="24" customFormat="false" ht="12.75" hidden="false" customHeight="false" outlineLevel="0" collapsed="false">
      <c r="X24" s="947" t="n">
        <v>37653</v>
      </c>
      <c r="Y24" s="0" t="n">
        <v>0.0381940368353995</v>
      </c>
      <c r="Z24" s="959"/>
      <c r="AA24" s="959" t="n">
        <f aca="false">YEAR(X24)</f>
        <v>2003</v>
      </c>
      <c r="AB24" s="959" t="n">
        <f aca="false">MONTH(X24)</f>
        <v>2</v>
      </c>
      <c r="AC24" s="961" t="n">
        <f aca="false">(1+Y24/2)^(-(DATE(AA25,AB25,20)-[2]TradeSum!$A$3)/182.625)</f>
        <v>0.943643503396813</v>
      </c>
      <c r="AD24" s="964"/>
    </row>
    <row r="25" customFormat="false" ht="12.75" hidden="false" customHeight="false" outlineLevel="0" collapsed="false">
      <c r="X25" s="947" t="n">
        <v>37681</v>
      </c>
      <c r="Y25" s="0" t="n">
        <v>0.0386439860343013</v>
      </c>
      <c r="Z25" s="959"/>
      <c r="AA25" s="959" t="n">
        <f aca="false">YEAR(X25)</f>
        <v>2003</v>
      </c>
      <c r="AB25" s="959" t="n">
        <f aca="false">MONTH(X25)</f>
        <v>3</v>
      </c>
      <c r="AC25" s="961" t="n">
        <f aca="false">(1+Y25/2)^(-(DATE(AA26,AB26,20)-[2]TradeSum!$A$3)/182.625)</f>
        <v>0.939946567398907</v>
      </c>
      <c r="AD25" s="964"/>
    </row>
    <row r="26" customFormat="false" ht="12.75" hidden="false" customHeight="false" outlineLevel="0" collapsed="false">
      <c r="X26" s="947" t="n">
        <v>37712</v>
      </c>
      <c r="Y26" s="0" t="n">
        <v>0.0391325383092434</v>
      </c>
      <c r="Z26" s="959"/>
      <c r="AA26" s="959" t="n">
        <f aca="false">YEAR(X26)</f>
        <v>2003</v>
      </c>
      <c r="AB26" s="959" t="n">
        <f aca="false">MONTH(X26)</f>
        <v>4</v>
      </c>
      <c r="AC26" s="961" t="n">
        <f aca="false">(1+Y26/2)^(-(DATE(AA27,AB27,20)-[2]TradeSum!$A$3)/182.625)</f>
        <v>0.936233082562254</v>
      </c>
      <c r="AD26" s="964"/>
    </row>
    <row r="27" customFormat="false" ht="12.75" hidden="false" customHeight="false" outlineLevel="0" collapsed="false">
      <c r="X27" s="947" t="n">
        <v>37742</v>
      </c>
      <c r="Y27" s="0" t="n">
        <v>0.0395875707622251</v>
      </c>
      <c r="Z27" s="959"/>
      <c r="AA27" s="959" t="n">
        <f aca="false">YEAR(X27)</f>
        <v>2003</v>
      </c>
      <c r="AB27" s="959" t="n">
        <f aca="false">MONTH(X27)</f>
        <v>5</v>
      </c>
      <c r="AC27" s="961" t="n">
        <f aca="false">(1+Y27/2)^(-(DATE(AA28,AB28,20)-[2]TradeSum!$A$3)/182.625)</f>
        <v>0.932415600004263</v>
      </c>
      <c r="AD27" s="964"/>
    </row>
    <row r="28" customFormat="false" ht="12.75" hidden="false" customHeight="false" outlineLevel="0" collapsed="false">
      <c r="X28" s="947" t="n">
        <v>37773</v>
      </c>
      <c r="Y28" s="0" t="n">
        <v>0.0400577710366372</v>
      </c>
      <c r="Z28" s="959"/>
      <c r="AA28" s="959" t="n">
        <f aca="false">YEAR(X28)</f>
        <v>2003</v>
      </c>
      <c r="AB28" s="959" t="n">
        <f aca="false">MONTH(X28)</f>
        <v>6</v>
      </c>
      <c r="AC28" s="961" t="n">
        <f aca="false">(1+Y28/2)^(-(DATE(AA29,AB29,20)-[2]TradeSum!$A$3)/182.625)</f>
        <v>0.92861852935736</v>
      </c>
      <c r="AD28" s="964"/>
    </row>
    <row r="29" customFormat="false" ht="12.75" hidden="false" customHeight="false" outlineLevel="0" collapsed="false">
      <c r="X29" s="947" t="n">
        <v>37803</v>
      </c>
      <c r="Y29" s="0" t="n">
        <v>0.0405122586663174</v>
      </c>
      <c r="Z29" s="959"/>
      <c r="AA29" s="959" t="n">
        <f aca="false">YEAR(X29)</f>
        <v>2003</v>
      </c>
      <c r="AB29" s="959" t="n">
        <f aca="false">MONTH(X29)</f>
        <v>7</v>
      </c>
      <c r="AC29" s="961" t="n">
        <f aca="false">(1+Y29/2)^(-(DATE(AA30,AB30,20)-[2]TradeSum!$A$3)/182.625)</f>
        <v>0.924693294257474</v>
      </c>
      <c r="AD29" s="964"/>
    </row>
    <row r="30" customFormat="false" ht="12.75" hidden="false" customHeight="false" outlineLevel="0" collapsed="false">
      <c r="X30" s="947" t="n">
        <v>37834</v>
      </c>
      <c r="Y30" s="0" t="n">
        <v>0.0409811229923331</v>
      </c>
      <c r="Z30" s="959"/>
      <c r="AA30" s="959" t="n">
        <f aca="false">YEAR(X30)</f>
        <v>2003</v>
      </c>
      <c r="AB30" s="959" t="n">
        <f aca="false">MONTH(X30)</f>
        <v>8</v>
      </c>
      <c r="AC30" s="961" t="n">
        <f aca="false">(1+Y30/2)^(-(DATE(AA31,AB31,20)-[2]TradeSum!$A$3)/182.625)</f>
        <v>0.920688784530308</v>
      </c>
      <c r="AD30" s="964"/>
    </row>
    <row r="31" customFormat="false" ht="12.75" hidden="false" customHeight="false" outlineLevel="0" collapsed="false">
      <c r="X31" s="947" t="n">
        <v>37865</v>
      </c>
      <c r="Y31" s="0" t="n">
        <v>0.0414499873920722</v>
      </c>
      <c r="Z31" s="959"/>
      <c r="AA31" s="959" t="n">
        <f aca="false">YEAR(X31)</f>
        <v>2003</v>
      </c>
      <c r="AB31" s="959" t="n">
        <f aca="false">MONTH(X31)</f>
        <v>9</v>
      </c>
      <c r="AC31" s="961" t="n">
        <f aca="false">(1+Y31/2)^(-(DATE(AA32,AB32,20)-[2]TradeSum!$A$3)/182.625)</f>
        <v>0.916733288190573</v>
      </c>
      <c r="AD31" s="964"/>
    </row>
    <row r="32" customFormat="false" ht="12.75" hidden="false" customHeight="false" outlineLevel="0" collapsed="false">
      <c r="X32" s="947" t="n">
        <v>37895</v>
      </c>
      <c r="Y32" s="0" t="n">
        <v>0.0418941808870508</v>
      </c>
      <c r="Z32" s="959"/>
      <c r="AA32" s="959" t="n">
        <f aca="false">YEAR(X32)</f>
        <v>2003</v>
      </c>
      <c r="AB32" s="959" t="n">
        <f aca="false">MONTH(X32)</f>
        <v>10</v>
      </c>
      <c r="AC32" s="961" t="n">
        <f aca="false">(1+Y32/2)^(-(DATE(AA33,AB33,20)-[2]TradeSum!$A$3)/182.625)</f>
        <v>0.912671058430691</v>
      </c>
      <c r="AD32" s="964"/>
    </row>
    <row r="33" customFormat="false" ht="12.75" hidden="false" customHeight="false" outlineLevel="0" collapsed="false">
      <c r="X33" s="947" t="n">
        <v>37926</v>
      </c>
      <c r="Y33" s="0" t="n">
        <v>0.0423412237261069</v>
      </c>
      <c r="Z33" s="959"/>
      <c r="AA33" s="959" t="n">
        <f aca="false">YEAR(X33)</f>
        <v>2003</v>
      </c>
      <c r="AB33" s="959" t="n">
        <f aca="false">MONTH(X33)</f>
        <v>11</v>
      </c>
      <c r="AC33" s="961" t="n">
        <f aca="false">(1+Y33/2)^(-(DATE(AA34,AB34,20)-[2]TradeSum!$A$3)/182.625)</f>
        <v>0.908658343334863</v>
      </c>
      <c r="AD33" s="964"/>
    </row>
    <row r="34" customFormat="false" ht="12.75" hidden="false" customHeight="false" outlineLevel="0" collapsed="false">
      <c r="X34" s="947" t="n">
        <v>37956</v>
      </c>
      <c r="Y34" s="0" t="n">
        <v>0.0427738458921891</v>
      </c>
      <c r="Z34" s="959"/>
      <c r="AA34" s="959" t="n">
        <f aca="false">YEAR(X34)</f>
        <v>2003</v>
      </c>
      <c r="AB34" s="959" t="n">
        <f aca="false">MONTH(X34)</f>
        <v>12</v>
      </c>
      <c r="AC34" s="961" t="n">
        <f aca="false">(1+Y34/2)^(-(DATE(AA35,AB35,20)-[2]TradeSum!$A$3)/182.625)</f>
        <v>0.904523844054776</v>
      </c>
      <c r="AD34" s="964"/>
    </row>
    <row r="35" customFormat="false" ht="12.75" hidden="false" customHeight="false" outlineLevel="0" collapsed="false">
      <c r="X35" s="947" t="n">
        <v>37987</v>
      </c>
      <c r="Y35" s="0" t="n">
        <v>0.0432141251895377</v>
      </c>
      <c r="Z35" s="959"/>
      <c r="AA35" s="959" t="n">
        <f aca="false">YEAR(X35)</f>
        <v>2004</v>
      </c>
      <c r="AB35" s="959" t="n">
        <f aca="false">MONTH(X35)</f>
        <v>1</v>
      </c>
      <c r="AC35" s="961" t="n">
        <f aca="false">(1+Y35/2)^(-(DATE(AA36,AB36,20)-[2]TradeSum!$A$3)/182.625)</f>
        <v>0.900327040464172</v>
      </c>
      <c r="AD35" s="964"/>
    </row>
    <row r="36" customFormat="false" ht="12.75" hidden="false" customHeight="false" outlineLevel="0" collapsed="false">
      <c r="X36" s="947" t="n">
        <v>38018</v>
      </c>
      <c r="Y36" s="0" t="n">
        <v>0.0436471899657245</v>
      </c>
      <c r="Z36" s="959"/>
      <c r="AA36" s="959" t="n">
        <f aca="false">YEAR(X36)</f>
        <v>2004</v>
      </c>
      <c r="AB36" s="959" t="n">
        <f aca="false">MONTH(X36)</f>
        <v>2</v>
      </c>
      <c r="AC36" s="961" t="n">
        <f aca="false">(1+Y36/2)^(-(DATE(AA37,AB37,20)-[2]TradeSum!$A$3)/182.625)</f>
        <v>0.89631232112195</v>
      </c>
      <c r="AD36" s="964"/>
    </row>
    <row r="37" customFormat="false" ht="12.75" hidden="false" customHeight="false" outlineLevel="0" collapsed="false">
      <c r="X37" s="947" t="n">
        <v>38047</v>
      </c>
      <c r="Y37" s="0" t="n">
        <v>0.0440523151357968</v>
      </c>
      <c r="Z37" s="959"/>
      <c r="AA37" s="959" t="n">
        <f aca="false">YEAR(X37)</f>
        <v>2004</v>
      </c>
      <c r="AB37" s="959" t="n">
        <f aca="false">MONTH(X37)</f>
        <v>3</v>
      </c>
      <c r="AC37" s="961" t="n">
        <f aca="false">(1+Y37/2)^(-(DATE(AA38,AB38,20)-[2]TradeSum!$A$3)/182.625)</f>
        <v>0.89210655360418</v>
      </c>
      <c r="AD37" s="964"/>
    </row>
    <row r="38" customFormat="false" ht="12.75" hidden="false" customHeight="false" outlineLevel="0" collapsed="false">
      <c r="X38" s="947" t="n">
        <v>38078</v>
      </c>
      <c r="Y38" s="0" t="n">
        <v>0.0444557316878593</v>
      </c>
      <c r="Z38" s="959"/>
      <c r="AA38" s="959" t="n">
        <f aca="false">YEAR(X38)</f>
        <v>2004</v>
      </c>
      <c r="AB38" s="959" t="n">
        <f aca="false">MONTH(X38)</f>
        <v>4</v>
      </c>
      <c r="AC38" s="961" t="n">
        <f aca="false">(1+Y38/2)^(-(DATE(AA39,AB39,20)-[2]TradeSum!$A$3)/182.625)</f>
        <v>0.887971862487145</v>
      </c>
      <c r="AD38" s="964"/>
    </row>
    <row r="39" customFormat="false" ht="12.75" hidden="false" customHeight="false" outlineLevel="0" collapsed="false">
      <c r="X39" s="947" t="n">
        <v>38108</v>
      </c>
      <c r="Y39" s="0" t="n">
        <v>0.0448155301070106</v>
      </c>
      <c r="Z39" s="959"/>
      <c r="AA39" s="959" t="n">
        <f aca="false">YEAR(X39)</f>
        <v>2004</v>
      </c>
      <c r="AB39" s="959" t="n">
        <f aca="false">MONTH(X39)</f>
        <v>5</v>
      </c>
      <c r="AC39" s="961" t="n">
        <f aca="false">(1+Y39/2)^(-(DATE(AA40,AB40,20)-[2]TradeSum!$A$3)/182.625)</f>
        <v>0.883796963637421</v>
      </c>
      <c r="AD39" s="964"/>
    </row>
    <row r="40" customFormat="false" ht="12.75" hidden="false" customHeight="false" outlineLevel="0" collapsed="false">
      <c r="X40" s="947" t="n">
        <v>38139</v>
      </c>
      <c r="Y40" s="0" t="n">
        <v>0.0451873218523233</v>
      </c>
      <c r="Z40" s="959"/>
      <c r="AA40" s="959" t="n">
        <f aca="false">YEAR(X40)</f>
        <v>2004</v>
      </c>
      <c r="AB40" s="959" t="n">
        <f aca="false">MONTH(X40)</f>
        <v>6</v>
      </c>
      <c r="AC40" s="961" t="n">
        <f aca="false">(1+Y40/2)^(-(DATE(AA41,AB41,20)-[2]TradeSum!$A$3)/182.625)</f>
        <v>0.879667284283552</v>
      </c>
      <c r="AD40" s="964"/>
    </row>
    <row r="41" customFormat="false" ht="12.75" hidden="false" customHeight="false" outlineLevel="0" collapsed="false">
      <c r="X41" s="947" t="n">
        <v>38169</v>
      </c>
      <c r="Y41" s="0" t="n">
        <v>0.0455336281134873</v>
      </c>
      <c r="Z41" s="959"/>
      <c r="AA41" s="959" t="n">
        <f aca="false">YEAR(X41)</f>
        <v>2004</v>
      </c>
      <c r="AB41" s="959" t="n">
        <f aca="false">MONTH(X41)</f>
        <v>7</v>
      </c>
      <c r="AC41" s="961" t="n">
        <f aca="false">(1+Y41/2)^(-(DATE(AA42,AB42,20)-[2]TradeSum!$A$3)/182.625)</f>
        <v>0.875461244436829</v>
      </c>
      <c r="AD41" s="964"/>
    </row>
    <row r="42" customFormat="false" ht="12.75" hidden="false" customHeight="false" outlineLevel="0" collapsed="false">
      <c r="X42" s="947" t="n">
        <v>38200</v>
      </c>
      <c r="Y42" s="0" t="n">
        <v>0.0458766700555802</v>
      </c>
      <c r="Z42" s="959"/>
      <c r="AA42" s="959" t="n">
        <f aca="false">YEAR(X42)</f>
        <v>2004</v>
      </c>
      <c r="AB42" s="959" t="n">
        <f aca="false">MONTH(X42)</f>
        <v>8</v>
      </c>
      <c r="AC42" s="961" t="n">
        <f aca="false">(1+Y42/2)^(-(DATE(AA43,AB43,20)-[2]TradeSum!$A$3)/182.625)</f>
        <v>0.871233836109965</v>
      </c>
      <c r="AD42" s="964"/>
    </row>
    <row r="43" customFormat="false" ht="12.75" hidden="false" customHeight="false" outlineLevel="0" collapsed="false">
      <c r="X43" s="947" t="n">
        <v>38231</v>
      </c>
      <c r="Y43" s="0" t="n">
        <v>0.0462197120370424</v>
      </c>
      <c r="Z43" s="959"/>
      <c r="AA43" s="959" t="n">
        <f aca="false">YEAR(X43)</f>
        <v>2004</v>
      </c>
      <c r="AB43" s="959" t="n">
        <f aca="false">MONTH(X43)</f>
        <v>9</v>
      </c>
      <c r="AC43" s="961" t="n">
        <f aca="false">(1+Y43/2)^(-(DATE(AA44,AB44,20)-[2]TradeSum!$A$3)/182.625)</f>
        <v>0.867086103347059</v>
      </c>
      <c r="AD43" s="964"/>
    </row>
    <row r="44" customFormat="false" ht="12.75" hidden="false" customHeight="false" outlineLevel="0" collapsed="false">
      <c r="X44" s="947" t="n">
        <v>38261</v>
      </c>
      <c r="Y44" s="0" t="n">
        <v>0.0465379420198713</v>
      </c>
      <c r="Z44" s="959"/>
      <c r="AA44" s="959" t="n">
        <f aca="false">YEAR(X44)</f>
        <v>2004</v>
      </c>
      <c r="AB44" s="959" t="n">
        <f aca="false">MONTH(X44)</f>
        <v>10</v>
      </c>
      <c r="AC44" s="961" t="n">
        <f aca="false">(1+Y44/2)^(-(DATE(AA45,AB45,20)-[2]TradeSum!$A$3)/182.625)</f>
        <v>0.862869076657444</v>
      </c>
      <c r="AD44" s="964"/>
    </row>
    <row r="45" customFormat="false" ht="12.75" hidden="false" customHeight="false" outlineLevel="0" collapsed="false">
      <c r="X45" s="947" t="n">
        <v>38292</v>
      </c>
      <c r="Y45" s="0" t="n">
        <v>0.0468535641465073</v>
      </c>
      <c r="Z45" s="959"/>
      <c r="AA45" s="959" t="n">
        <f aca="false">YEAR(X45)</f>
        <v>2004</v>
      </c>
      <c r="AB45" s="959" t="n">
        <f aca="false">MONTH(X45)</f>
        <v>11</v>
      </c>
      <c r="AC45" s="961" t="n">
        <f aca="false">(1+Y45/2)^(-(DATE(AA46,AB46,20)-[2]TradeSum!$A$3)/182.625)</f>
        <v>0.858743444902904</v>
      </c>
      <c r="AD45" s="964"/>
    </row>
    <row r="46" customFormat="false" ht="12.75" hidden="false" customHeight="false" outlineLevel="0" collapsed="false">
      <c r="X46" s="947" t="n">
        <v>38322</v>
      </c>
      <c r="Y46" s="0" t="n">
        <v>0.0471590049459376</v>
      </c>
      <c r="Z46" s="959"/>
      <c r="AA46" s="959" t="n">
        <f aca="false">YEAR(X46)</f>
        <v>2004</v>
      </c>
      <c r="AB46" s="959" t="n">
        <f aca="false">MONTH(X46)</f>
        <v>12</v>
      </c>
      <c r="AC46" s="961" t="n">
        <f aca="false">(1+Y46/2)^(-(DATE(AA47,AB47,20)-[2]TradeSum!$A$3)/182.625)</f>
        <v>0.854513970363169</v>
      </c>
      <c r="AD46" s="964"/>
    </row>
    <row r="47" customFormat="false" ht="12.75" hidden="false" customHeight="false" outlineLevel="0" collapsed="false">
      <c r="X47" s="947" t="n">
        <v>38353</v>
      </c>
      <c r="Y47" s="0" t="n">
        <v>0.0474690030503075</v>
      </c>
      <c r="Z47" s="959"/>
      <c r="AA47" s="959" t="n">
        <f aca="false">YEAR(X47)</f>
        <v>2005</v>
      </c>
      <c r="AB47" s="959" t="n">
        <f aca="false">MONTH(X47)</f>
        <v>1</v>
      </c>
      <c r="AC47" s="961" t="n">
        <f aca="false">(1+Y47/2)^(-(DATE(AA48,AB48,20)-[2]TradeSum!$A$3)/182.625)</f>
        <v>0.850249296555855</v>
      </c>
      <c r="AD47" s="964"/>
    </row>
    <row r="48" customFormat="false" ht="12.75" hidden="false" customHeight="false" outlineLevel="0" collapsed="false">
      <c r="X48" s="947" t="n">
        <v>38384</v>
      </c>
      <c r="Y48" s="0" t="n">
        <v>0.0477743695846042</v>
      </c>
      <c r="Z48" s="959"/>
      <c r="AA48" s="959" t="n">
        <f aca="false">YEAR(X48)</f>
        <v>2005</v>
      </c>
      <c r="AB48" s="959" t="n">
        <f aca="false">MONTH(X48)</f>
        <v>2</v>
      </c>
      <c r="AC48" s="961" t="n">
        <f aca="false">(1+Y48/2)^(-(DATE(AA49,AB49,20)-[2]TradeSum!$A$3)/182.625)</f>
        <v>0.8463042331632</v>
      </c>
      <c r="AD48" s="964"/>
    </row>
    <row r="49" customFormat="false" ht="12.75" hidden="false" customHeight="false" outlineLevel="0" collapsed="false">
      <c r="X49" s="947" t="n">
        <v>38412</v>
      </c>
      <c r="Y49" s="0" t="n">
        <v>0.0480501845455978</v>
      </c>
      <c r="Z49" s="959"/>
      <c r="AA49" s="959" t="n">
        <f aca="false">YEAR(X49)</f>
        <v>2005</v>
      </c>
      <c r="AB49" s="959" t="n">
        <f aca="false">MONTH(X49)</f>
        <v>3</v>
      </c>
      <c r="AC49" s="961" t="n">
        <f aca="false">(1+Y49/2)^(-(DATE(AA50,AB50,20)-[2]TradeSum!$A$3)/182.625)</f>
        <v>0.842098396604393</v>
      </c>
      <c r="AD49" s="964"/>
    </row>
    <row r="50" customFormat="false" ht="12.75" hidden="false" customHeight="false" outlineLevel="0" collapsed="false">
      <c r="X50" s="947" t="n">
        <v>38443</v>
      </c>
      <c r="Y50" s="0" t="n">
        <v>0.0483342871286672</v>
      </c>
      <c r="Z50" s="959"/>
      <c r="AA50" s="959" t="n">
        <f aca="false">YEAR(X50)</f>
        <v>2005</v>
      </c>
      <c r="AB50" s="959" t="n">
        <f aca="false">MONTH(X50)</f>
        <v>4</v>
      </c>
      <c r="AC50" s="961" t="n">
        <f aca="false">(1+Y50/2)^(-(DATE(AA51,AB51,20)-[2]TradeSum!$A$3)/182.625)</f>
        <v>0.837959710471074</v>
      </c>
      <c r="AD50" s="964"/>
    </row>
    <row r="51" customFormat="false" ht="12.75" hidden="false" customHeight="false" outlineLevel="0" collapsed="false">
      <c r="X51" s="947" t="n">
        <v>38473</v>
      </c>
      <c r="Y51" s="0" t="n">
        <v>0.0485905949254888</v>
      </c>
      <c r="Z51" s="959"/>
      <c r="AA51" s="959" t="n">
        <f aca="false">YEAR(X51)</f>
        <v>2005</v>
      </c>
      <c r="AB51" s="959" t="n">
        <f aca="false">MONTH(X51)</f>
        <v>5</v>
      </c>
      <c r="AC51" s="961" t="n">
        <f aca="false">(1+Y51/2)^(-(DATE(AA52,AB52,20)-[2]TradeSum!$A$3)/182.625)</f>
        <v>0.833779498322704</v>
      </c>
      <c r="AD51" s="964"/>
    </row>
    <row r="52" customFormat="false" ht="12.75" hidden="false" customHeight="false" outlineLevel="0" collapsed="false">
      <c r="X52" s="947" t="n">
        <v>38504</v>
      </c>
      <c r="Y52" s="0" t="n">
        <v>0.0488554463385964</v>
      </c>
      <c r="Z52" s="959"/>
      <c r="AA52" s="959" t="n">
        <f aca="false">YEAR(X52)</f>
        <v>2005</v>
      </c>
      <c r="AB52" s="959" t="n">
        <f aca="false">MONTH(X52)</f>
        <v>6</v>
      </c>
      <c r="AC52" s="961" t="n">
        <f aca="false">(1+Y52/2)^(-(DATE(AA53,AB53,20)-[2]TradeSum!$A$3)/182.625)</f>
        <v>0.829667850540082</v>
      </c>
      <c r="AD52" s="964"/>
    </row>
    <row r="53" customFormat="false" ht="12.75" hidden="false" customHeight="false" outlineLevel="0" collapsed="false">
      <c r="X53" s="947" t="n">
        <v>38534</v>
      </c>
      <c r="Y53" s="0" t="n">
        <v>0.0491029572989064</v>
      </c>
      <c r="Z53" s="959"/>
      <c r="AA53" s="959" t="n">
        <f aca="false">YEAR(X53)</f>
        <v>2005</v>
      </c>
      <c r="AB53" s="959" t="n">
        <f aca="false">MONTH(X53)</f>
        <v>7</v>
      </c>
      <c r="AC53" s="961" t="n">
        <f aca="false">(1+Y53/2)^(-(DATE(AA54,AB54,20)-[2]TradeSum!$A$3)/182.625)</f>
        <v>0.825487083367821</v>
      </c>
      <c r="AD53" s="964"/>
    </row>
    <row r="54" customFormat="false" ht="12.75" hidden="false" customHeight="false" outlineLevel="0" collapsed="false">
      <c r="X54" s="947" t="n">
        <v>38565</v>
      </c>
      <c r="Y54" s="0" t="n">
        <v>0.0493502525784222</v>
      </c>
      <c r="Z54" s="959"/>
      <c r="AA54" s="959" t="n">
        <f aca="false">YEAR(X54)</f>
        <v>2005</v>
      </c>
      <c r="AB54" s="959" t="n">
        <f aca="false">MONTH(X54)</f>
        <v>8</v>
      </c>
      <c r="AC54" s="961" t="n">
        <f aca="false">(1+Y54/2)^(-(DATE(AA55,AB55,20)-[2]TradeSum!$A$3)/182.625)</f>
        <v>0.821294496497933</v>
      </c>
      <c r="AD54" s="964"/>
    </row>
    <row r="55" customFormat="false" ht="12.75" hidden="false" customHeight="false" outlineLevel="0" collapsed="false">
      <c r="X55" s="947" t="n">
        <v>38596</v>
      </c>
      <c r="Y55" s="0" t="n">
        <v>0.0495975478783635</v>
      </c>
      <c r="Z55" s="959"/>
      <c r="AA55" s="959" t="n">
        <f aca="false">YEAR(X55)</f>
        <v>2005</v>
      </c>
      <c r="AB55" s="959" t="n">
        <f aca="false">MONTH(X55)</f>
        <v>9</v>
      </c>
      <c r="AC55" s="961" t="n">
        <f aca="false">(1+Y55/2)^(-(DATE(AA56,AB56,20)-[2]TradeSum!$A$3)/182.625)</f>
        <v>0.817199432441718</v>
      </c>
      <c r="AD55" s="964"/>
    </row>
    <row r="56" customFormat="false" ht="12.75" hidden="false" customHeight="false" outlineLevel="0" collapsed="false">
      <c r="X56" s="947" t="n">
        <v>38626</v>
      </c>
      <c r="Y56" s="0" t="n">
        <v>0.0498081279480389</v>
      </c>
      <c r="Z56" s="959"/>
      <c r="AA56" s="959" t="n">
        <f aca="false">YEAR(X56)</f>
        <v>2005</v>
      </c>
      <c r="AB56" s="959" t="n">
        <f aca="false">MONTH(X56)</f>
        <v>10</v>
      </c>
      <c r="AC56" s="961" t="n">
        <f aca="false">(1+Y56/2)^(-(DATE(AA57,AB57,20)-[2]TradeSum!$A$3)/182.625)</f>
        <v>0.813105541605151</v>
      </c>
      <c r="AD56" s="964"/>
    </row>
    <row r="57" customFormat="false" ht="12.75" hidden="false" customHeight="false" outlineLevel="0" collapsed="false">
      <c r="X57" s="947" t="n">
        <v>38657</v>
      </c>
      <c r="Y57" s="0" t="n">
        <v>0.0499997434419108</v>
      </c>
      <c r="Z57" s="959"/>
      <c r="AA57" s="959" t="n">
        <f aca="false">YEAR(X57)</f>
        <v>2005</v>
      </c>
      <c r="AB57" s="959" t="n">
        <f aca="false">MONTH(X57)</f>
        <v>11</v>
      </c>
      <c r="AC57" s="961" t="n">
        <f aca="false">(1+Y57/2)^(-(DATE(AA58,AB58,20)-[2]TradeSum!$A$3)/182.625)</f>
        <v>0.80917763521171</v>
      </c>
      <c r="AD57" s="964"/>
    </row>
    <row r="58" customFormat="false" ht="12.75" hidden="false" customHeight="false" outlineLevel="0" collapsed="false">
      <c r="X58" s="947" t="n">
        <v>38687</v>
      </c>
      <c r="Y58" s="0" t="n">
        <v>0.0501851778024918</v>
      </c>
      <c r="Z58" s="959"/>
      <c r="AA58" s="959" t="n">
        <f aca="false">YEAR(X58)</f>
        <v>2005</v>
      </c>
      <c r="AB58" s="959" t="n">
        <f aca="false">MONTH(X58)</f>
        <v>12</v>
      </c>
      <c r="AC58" s="961" t="n">
        <f aca="false">(1+Y58/2)^(-(DATE(AA59,AB59,20)-[2]TradeSum!$A$3)/182.625)</f>
        <v>0.805155981657677</v>
      </c>
      <c r="AD58" s="964"/>
    </row>
    <row r="59" customFormat="false" ht="12.75" hidden="false" customHeight="false" outlineLevel="0" collapsed="false">
      <c r="X59" s="947" t="n">
        <v>38718</v>
      </c>
      <c r="Y59" s="0" t="n">
        <v>0.0503767933204853</v>
      </c>
      <c r="Z59" s="959"/>
      <c r="AA59" s="959" t="n">
        <f aca="false">YEAR(X59)</f>
        <v>2006</v>
      </c>
      <c r="AB59" s="959" t="n">
        <f aca="false">MONTH(X59)</f>
        <v>1</v>
      </c>
      <c r="AC59" s="961" t="n">
        <f aca="false">(1+Y59/2)^(-(DATE(AA60,AB60,20)-[2]TradeSum!$A$3)/182.625)</f>
        <v>0.801108243861752</v>
      </c>
      <c r="AD59" s="964"/>
    </row>
    <row r="60" customFormat="false" ht="12.75" hidden="false" customHeight="false" outlineLevel="0" collapsed="false">
      <c r="X60" s="947" t="n">
        <v>38749</v>
      </c>
      <c r="Y60" s="0" t="n">
        <v>0.0505684088507357</v>
      </c>
      <c r="Z60" s="959"/>
      <c r="AA60" s="959" t="n">
        <f aca="false">YEAR(X60)</f>
        <v>2006</v>
      </c>
      <c r="AB60" s="959" t="n">
        <f aca="false">MONTH(X60)</f>
        <v>2</v>
      </c>
      <c r="AC60" s="961" t="n">
        <f aca="false">(1+Y60/2)^(-(DATE(AA61,AB61,20)-[2]TradeSum!$A$3)/182.625)</f>
        <v>0.797382633766014</v>
      </c>
      <c r="AD60" s="964"/>
    </row>
    <row r="61" customFormat="false" ht="12.75" hidden="false" customHeight="false" outlineLevel="0" collapsed="false">
      <c r="X61" s="947" t="n">
        <v>38777</v>
      </c>
      <c r="Y61" s="0" t="n">
        <v>0.0507414809531088</v>
      </c>
      <c r="Z61" s="959"/>
      <c r="AA61" s="959" t="n">
        <f aca="false">YEAR(X61)</f>
        <v>2006</v>
      </c>
      <c r="AB61" s="959" t="n">
        <f aca="false">MONTH(X61)</f>
        <v>3</v>
      </c>
      <c r="AC61" s="961" t="n">
        <f aca="false">(1+Y61/2)^(-(DATE(AA62,AB62,20)-[2]TradeSum!$A$3)/182.625)</f>
        <v>0.793391245934336</v>
      </c>
      <c r="AD61" s="964"/>
    </row>
    <row r="62" customFormat="false" ht="12.75" hidden="false" customHeight="false" outlineLevel="0" collapsed="false">
      <c r="X62" s="947" t="n">
        <v>38808</v>
      </c>
      <c r="Y62" s="0" t="n">
        <v>0.0509330965066832</v>
      </c>
      <c r="Z62" s="959"/>
      <c r="AA62" s="959" t="n">
        <f aca="false">YEAR(X62)</f>
        <v>2006</v>
      </c>
      <c r="AB62" s="959" t="n">
        <f aca="false">MONTH(X62)</f>
        <v>4</v>
      </c>
      <c r="AC62" s="961" t="n">
        <f aca="false">(1+Y62/2)^(-(DATE(AA63,AB63,20)-[2]TradeSum!$A$3)/182.625)</f>
        <v>0.78943883083495</v>
      </c>
      <c r="AD62" s="964"/>
    </row>
    <row r="63" customFormat="false" ht="12.75" hidden="false" customHeight="false" outlineLevel="0" collapsed="false">
      <c r="X63" s="947" t="n">
        <v>38838</v>
      </c>
      <c r="Y63" s="0" t="n">
        <v>0.0511185309250357</v>
      </c>
      <c r="Z63" s="959"/>
      <c r="AA63" s="959" t="n">
        <f aca="false">YEAR(X63)</f>
        <v>2006</v>
      </c>
      <c r="AB63" s="959" t="n">
        <f aca="false">MONTH(X63)</f>
        <v>5</v>
      </c>
      <c r="AC63" s="961" t="n">
        <f aca="false">(1+Y63/2)^(-(DATE(AA64,AB64,20)-[2]TradeSum!$A$3)/182.625)</f>
        <v>0.785396156592086</v>
      </c>
      <c r="AD63" s="964"/>
    </row>
    <row r="64" customFormat="false" ht="12.75" hidden="false" customHeight="false" outlineLevel="0" collapsed="false">
      <c r="X64" s="947" t="n">
        <v>38869</v>
      </c>
      <c r="Y64" s="0" t="n">
        <v>0.051310146502721</v>
      </c>
      <c r="Z64" s="959"/>
      <c r="AA64" s="959" t="n">
        <f aca="false">YEAR(X64)</f>
        <v>2006</v>
      </c>
      <c r="AB64" s="959" t="n">
        <f aca="false">MONTH(X64)</f>
        <v>6</v>
      </c>
      <c r="AC64" s="961" t="n">
        <f aca="false">(1+Y64/2)^(-(DATE(AA65,AB65,20)-[2]TradeSum!$A$3)/182.625)</f>
        <v>0.781435712812474</v>
      </c>
      <c r="AD64" s="964"/>
    </row>
    <row r="65" customFormat="false" ht="12.75" hidden="false" customHeight="false" outlineLevel="0" collapsed="false">
      <c r="X65" s="947" t="n">
        <v>38899</v>
      </c>
      <c r="Y65" s="0" t="n">
        <v>0.0514955809444042</v>
      </c>
      <c r="Z65" s="959"/>
      <c r="AA65" s="959" t="n">
        <f aca="false">YEAR(X65)</f>
        <v>2006</v>
      </c>
      <c r="AB65" s="959" t="n">
        <f aca="false">MONTH(X65)</f>
        <v>7</v>
      </c>
      <c r="AC65" s="961" t="n">
        <f aca="false">(1+Y65/2)^(-(DATE(AA66,AB66,20)-[2]TradeSum!$A$3)/182.625)</f>
        <v>0.777386414943433</v>
      </c>
      <c r="AD65" s="964"/>
    </row>
    <row r="66" customFormat="false" ht="12.75" hidden="false" customHeight="false" outlineLevel="0" collapsed="false">
      <c r="X66" s="947" t="n">
        <v>38930</v>
      </c>
      <c r="Y66" s="0" t="n">
        <v>0.0516871965461956</v>
      </c>
      <c r="Z66" s="959"/>
      <c r="AA66" s="959" t="n">
        <f aca="false">YEAR(X66)</f>
        <v>2006</v>
      </c>
      <c r="AB66" s="959" t="n">
        <f aca="false">MONTH(X66)</f>
        <v>8</v>
      </c>
      <c r="AC66" s="961" t="n">
        <f aca="false">(1+Y66/2)^(-(DATE(AA67,AB67,20)-[2]TradeSum!$A$3)/182.625)</f>
        <v>0.773310957591243</v>
      </c>
      <c r="AD66" s="964"/>
    </row>
    <row r="67" customFormat="false" ht="12.75" hidden="false" customHeight="false" outlineLevel="0" collapsed="false">
      <c r="X67" s="947" t="n">
        <v>38961</v>
      </c>
      <c r="Y67" s="0" t="n">
        <v>0.0518788121602358</v>
      </c>
      <c r="Z67" s="959"/>
      <c r="AA67" s="959" t="n">
        <f aca="false">YEAR(X67)</f>
        <v>2006</v>
      </c>
      <c r="AB67" s="959" t="n">
        <f aca="false">MONTH(X67)</f>
        <v>9</v>
      </c>
      <c r="AC67" s="961" t="n">
        <f aca="false">(1+Y67/2)^(-(DATE(AA68,AB68,20)-[2]TradeSum!$A$3)/182.625)</f>
        <v>0.76934041680903</v>
      </c>
      <c r="AD67" s="964"/>
    </row>
    <row r="68" customFormat="false" ht="12.75" hidden="false" customHeight="false" outlineLevel="0" collapsed="false">
      <c r="X68" s="947" t="n">
        <v>38991</v>
      </c>
      <c r="Y68" s="0" t="n">
        <v>0.0520269603977641</v>
      </c>
      <c r="Z68" s="959"/>
      <c r="AA68" s="959" t="n">
        <f aca="false">YEAR(X68)</f>
        <v>2006</v>
      </c>
      <c r="AB68" s="959" t="n">
        <f aca="false">MONTH(X68)</f>
        <v>10</v>
      </c>
      <c r="AC68" s="961" t="n">
        <f aca="false">(1+Y68/2)^(-(DATE(AA69,AB69,20)-[2]TradeSum!$A$3)/182.625)</f>
        <v>0.765427894625158</v>
      </c>
      <c r="AD68" s="964"/>
    </row>
    <row r="69" customFormat="false" ht="12.75" hidden="false" customHeight="false" outlineLevel="0" collapsed="false">
      <c r="X69" s="947" t="n">
        <v>39022</v>
      </c>
      <c r="Y69" s="0" t="n">
        <v>0.0521607823597763</v>
      </c>
      <c r="Z69" s="959"/>
      <c r="AA69" s="959" t="n">
        <f aca="false">YEAR(X69)</f>
        <v>2006</v>
      </c>
      <c r="AB69" s="959" t="n">
        <f aca="false">MONTH(X69)</f>
        <v>11</v>
      </c>
      <c r="AC69" s="961" t="n">
        <f aca="false">(1+Y69/2)^(-(DATE(AA70,AB70,20)-[2]TradeSum!$A$3)/182.625)</f>
        <v>0.761680260839059</v>
      </c>
      <c r="AD69" s="964"/>
    </row>
    <row r="70" customFormat="false" ht="12.75" hidden="false" customHeight="false" outlineLevel="0" collapsed="false">
      <c r="X70" s="947" t="n">
        <v>39052</v>
      </c>
      <c r="Y70" s="0" t="n">
        <v>0.0522902874899915</v>
      </c>
      <c r="Z70" s="959"/>
      <c r="AA70" s="959" t="n">
        <f aca="false">YEAR(X70)</f>
        <v>2006</v>
      </c>
      <c r="AB70" s="959" t="n">
        <f aca="false">MONTH(X70)</f>
        <v>12</v>
      </c>
      <c r="AC70" s="961" t="n">
        <f aca="false">(1+Y70/2)^(-(DATE(AA71,AB71,20)-[2]TradeSum!$A$3)/182.625)</f>
        <v>0.757844781845768</v>
      </c>
      <c r="AD70" s="964"/>
    </row>
    <row r="71" customFormat="false" ht="12.75" hidden="false" customHeight="false" outlineLevel="0" collapsed="false">
      <c r="X71" s="947" t="n">
        <v>39083</v>
      </c>
      <c r="Y71" s="0" t="n">
        <v>0.0524241094637565</v>
      </c>
      <c r="Z71" s="959"/>
      <c r="AA71" s="959" t="n">
        <f aca="false">YEAR(X71)</f>
        <v>2007</v>
      </c>
      <c r="AB71" s="959" t="n">
        <f aca="false">MONTH(X71)</f>
        <v>1</v>
      </c>
      <c r="AC71" s="961" t="n">
        <f aca="false">(1+Y71/2)^(-(DATE(AA72,AB72,20)-[2]TradeSum!$A$3)/182.625)</f>
        <v>0.753995188556688</v>
      </c>
      <c r="AD71" s="964"/>
    </row>
    <row r="72" customFormat="false" ht="12.75" hidden="false" customHeight="false" outlineLevel="0" collapsed="false">
      <c r="X72" s="947" t="n">
        <v>39114</v>
      </c>
      <c r="Y72" s="0" t="n">
        <v>0.0525579314434941</v>
      </c>
      <c r="Z72" s="959"/>
      <c r="AA72" s="959" t="n">
        <f aca="false">YEAR(X72)</f>
        <v>2007</v>
      </c>
      <c r="AB72" s="959" t="n">
        <f aca="false">MONTH(X72)</f>
        <v>2</v>
      </c>
      <c r="AC72" s="961" t="n">
        <f aca="false">(1+Y72/2)^(-(DATE(AA73,AB73,20)-[2]TradeSum!$A$3)/182.625)</f>
        <v>0.750468295373065</v>
      </c>
      <c r="AD72" s="964"/>
    </row>
    <row r="73" customFormat="false" ht="12.75" hidden="false" customHeight="false" outlineLevel="0" collapsed="false">
      <c r="X73" s="947" t="n">
        <v>39142</v>
      </c>
      <c r="Y73" s="0" t="n">
        <v>0.0526788029141967</v>
      </c>
      <c r="Z73" s="959"/>
      <c r="AA73" s="959" t="n">
        <f aca="false">YEAR(X73)</f>
        <v>2007</v>
      </c>
      <c r="AB73" s="959" t="n">
        <f aca="false">MONTH(X73)</f>
        <v>3</v>
      </c>
      <c r="AC73" s="961" t="n">
        <f aca="false">(1+Y73/2)^(-(DATE(AA74,AB74,20)-[2]TradeSum!$A$3)/182.625)</f>
        <v>0.746676917570887</v>
      </c>
      <c r="AD73" s="964"/>
    </row>
    <row r="74" customFormat="false" ht="12.75" hidden="false" customHeight="false" outlineLevel="0" collapsed="false">
      <c r="X74" s="947" t="n">
        <v>39173</v>
      </c>
      <c r="Y74" s="0" t="n">
        <v>0.0528126249052994</v>
      </c>
      <c r="Z74" s="959"/>
      <c r="AA74" s="959" t="n">
        <f aca="false">YEAR(X74)</f>
        <v>2007</v>
      </c>
      <c r="AB74" s="959" t="n">
        <f aca="false">MONTH(X74)</f>
        <v>4</v>
      </c>
      <c r="AC74" s="961" t="n">
        <f aca="false">(1+Y74/2)^(-(DATE(AA75,AB75,20)-[2]TradeSum!$A$3)/182.625)</f>
        <v>0.742942440859957</v>
      </c>
      <c r="AD74" s="964"/>
    </row>
    <row r="75" customFormat="false" ht="12.75" hidden="false" customHeight="false" outlineLevel="0" collapsed="false">
      <c r="X75" s="947" t="n">
        <v>39203</v>
      </c>
      <c r="Y75" s="0" t="n">
        <v>0.052942130063665</v>
      </c>
      <c r="Z75" s="959"/>
      <c r="AA75" s="959" t="n">
        <f aca="false">YEAR(X75)</f>
        <v>2007</v>
      </c>
      <c r="AB75" s="959" t="n">
        <f aca="false">MONTH(X75)</f>
        <v>5</v>
      </c>
      <c r="AC75" s="961" t="n">
        <f aca="false">(1+Y75/2)^(-(DATE(AA76,AB76,20)-[2]TradeSum!$A$3)/182.625)</f>
        <v>0.739123073392607</v>
      </c>
      <c r="AD75" s="964"/>
    </row>
    <row r="76" customFormat="false" ht="12.75" hidden="false" customHeight="false" outlineLevel="0" collapsed="false">
      <c r="X76" s="947" t="n">
        <v>39234</v>
      </c>
      <c r="Y76" s="0" t="n">
        <v>0.0530759520665169</v>
      </c>
      <c r="Z76" s="959"/>
      <c r="AA76" s="959" t="n">
        <f aca="false">YEAR(X76)</f>
        <v>2007</v>
      </c>
      <c r="AB76" s="959" t="n">
        <f aca="false">MONTH(X76)</f>
        <v>6</v>
      </c>
      <c r="AC76" s="961" t="n">
        <f aca="false">(1+Y76/2)^(-(DATE(AA77,AB77,20)-[2]TradeSum!$A$3)/182.625)</f>
        <v>0.735394938707574</v>
      </c>
      <c r="AD76" s="964"/>
    </row>
    <row r="77" customFormat="false" ht="12.75" hidden="false" customHeight="false" outlineLevel="0" collapsed="false">
      <c r="X77" s="947" t="n">
        <v>39264</v>
      </c>
      <c r="Y77" s="0" t="n">
        <v>0.0532054572362521</v>
      </c>
      <c r="Z77" s="959"/>
      <c r="AA77" s="959" t="n">
        <f aca="false">YEAR(X77)</f>
        <v>2007</v>
      </c>
      <c r="AB77" s="959" t="n">
        <f aca="false">MONTH(X77)</f>
        <v>7</v>
      </c>
      <c r="AC77" s="961" t="n">
        <f aca="false">(1+Y77/2)^(-(DATE(AA78,AB78,20)-[2]TradeSum!$A$3)/182.625)</f>
        <v>0.731583097373116</v>
      </c>
      <c r="AD77" s="964"/>
    </row>
    <row r="78" customFormat="false" ht="12.75" hidden="false" customHeight="false" outlineLevel="0" collapsed="false">
      <c r="X78" s="947" t="n">
        <v>39295</v>
      </c>
      <c r="Y78" s="0" t="n">
        <v>0.053339279250852</v>
      </c>
      <c r="Z78" s="959"/>
      <c r="AA78" s="959" t="n">
        <f aca="false">YEAR(X78)</f>
        <v>2007</v>
      </c>
      <c r="AB78" s="959" t="n">
        <f aca="false">MONTH(X78)</f>
        <v>8</v>
      </c>
      <c r="AC78" s="961" t="n">
        <f aca="false">(1+Y78/2)^(-(DATE(AA79,AB79,20)-[2]TradeSum!$A$3)/182.625)</f>
        <v>0.72775699106375</v>
      </c>
      <c r="AD78" s="964"/>
    </row>
    <row r="79" customFormat="false" ht="12.75" hidden="false" customHeight="false" outlineLevel="0" collapsed="false">
      <c r="X79" s="947" t="n">
        <v>39326</v>
      </c>
      <c r="Y79" s="0" t="n">
        <v>0.0534731012714214</v>
      </c>
      <c r="Z79" s="959"/>
      <c r="AA79" s="959" t="n">
        <f aca="false">YEAR(X79)</f>
        <v>2007</v>
      </c>
      <c r="AB79" s="959" t="n">
        <f aca="false">MONTH(X79)</f>
        <v>9</v>
      </c>
      <c r="AC79" s="961" t="n">
        <f aca="false">(1+Y79/2)^(-(DATE(AA80,AB80,20)-[2]TradeSum!$A$3)/182.625)</f>
        <v>0.724039514758855</v>
      </c>
      <c r="AD79" s="964"/>
    </row>
    <row r="80" customFormat="false" ht="12.75" hidden="false" customHeight="false" outlineLevel="0" collapsed="false">
      <c r="X80" s="947" t="n">
        <v>39356</v>
      </c>
      <c r="Y80" s="0" t="n">
        <v>0.0536026064583015</v>
      </c>
      <c r="Z80" s="959"/>
      <c r="AA80" s="959" t="n">
        <f aca="false">YEAR(X80)</f>
        <v>2007</v>
      </c>
      <c r="AB80" s="959" t="n">
        <f aca="false">MONTH(X80)</f>
        <v>10</v>
      </c>
      <c r="AC80" s="961" t="n">
        <f aca="false">(1+Y80/2)^(-(DATE(AA81,AB81,20)-[2]TradeSum!$A$3)/182.625)</f>
        <v>0.720240106810965</v>
      </c>
      <c r="AD80" s="964"/>
    </row>
    <row r="81" customFormat="false" ht="12.75" hidden="false" customHeight="false" outlineLevel="0" collapsed="false">
      <c r="X81" s="947" t="n">
        <v>39387</v>
      </c>
      <c r="Y81" s="0" t="n">
        <v>0.0537364284906166</v>
      </c>
      <c r="Z81" s="959"/>
      <c r="AA81" s="959" t="n">
        <f aca="false">YEAR(X81)</f>
        <v>2007</v>
      </c>
      <c r="AB81" s="959" t="n">
        <f aca="false">MONTH(X81)</f>
        <v>11</v>
      </c>
      <c r="AC81" s="961" t="n">
        <f aca="false">(1+Y81/2)^(-(DATE(AA82,AB82,20)-[2]TradeSum!$A$3)/182.625)</f>
        <v>0.716530410771871</v>
      </c>
      <c r="AD81" s="964"/>
    </row>
    <row r="82" customFormat="false" ht="12.75" hidden="false" customHeight="false" outlineLevel="0" collapsed="false">
      <c r="X82" s="947" t="n">
        <v>39417</v>
      </c>
      <c r="Y82" s="0" t="n">
        <v>0.0538659336888618</v>
      </c>
      <c r="Z82" s="959"/>
      <c r="AA82" s="959" t="n">
        <f aca="false">YEAR(X82)</f>
        <v>2007</v>
      </c>
      <c r="AB82" s="959" t="n">
        <f aca="false">MONTH(X82)</f>
        <v>12</v>
      </c>
      <c r="AC82" s="961" t="n">
        <f aca="false">(1+Y82/2)^(-(DATE(AA83,AB83,20)-[2]TradeSum!$A$3)/182.625)</f>
        <v>0.712739952518136</v>
      </c>
      <c r="AD82" s="964"/>
    </row>
    <row r="83" customFormat="false" ht="12.75" hidden="false" customHeight="false" outlineLevel="0" collapsed="false">
      <c r="X83" s="947" t="n">
        <v>39448</v>
      </c>
      <c r="Y83" s="0" t="n">
        <v>0.0539997557329208</v>
      </c>
      <c r="Z83" s="959"/>
      <c r="AA83" s="959" t="n">
        <f aca="false">YEAR(X83)</f>
        <v>2008</v>
      </c>
      <c r="AB83" s="959" t="n">
        <f aca="false">MONTH(X83)</f>
        <v>1</v>
      </c>
      <c r="AC83" s="961" t="n">
        <f aca="false">(1+Y83/2)^(-(DATE(AA84,AB84,20)-[2]TradeSum!$A$3)/182.625)</f>
        <v>0.708935167225717</v>
      </c>
      <c r="AD83" s="964"/>
    </row>
    <row r="84" customFormat="false" ht="12.75" hidden="false" customHeight="false" outlineLevel="0" collapsed="false">
      <c r="X84" s="947" t="n">
        <v>39479</v>
      </c>
      <c r="Y84" s="0" t="n">
        <v>0.0541335777829475</v>
      </c>
      <c r="Z84" s="959"/>
      <c r="AA84" s="959" t="n">
        <f aca="false">YEAR(X84)</f>
        <v>2008</v>
      </c>
      <c r="AB84" s="959" t="n">
        <f aca="false">MONTH(X84)</f>
        <v>2</v>
      </c>
      <c r="AC84" s="961" t="n">
        <f aca="false">(1+Y84/2)^(-(DATE(AA85,AB85,20)-[2]TradeSum!$A$3)/182.625)</f>
        <v>0.705341401816251</v>
      </c>
      <c r="AD84" s="964"/>
    </row>
    <row r="85" customFormat="false" ht="12.75" hidden="false" customHeight="false" outlineLevel="0" collapsed="false">
      <c r="X85" s="947" t="n">
        <v>39508</v>
      </c>
      <c r="Y85" s="0" t="n">
        <v>0.0542587661577296</v>
      </c>
      <c r="Z85" s="959"/>
      <c r="AA85" s="959" t="n">
        <f aca="false">YEAR(X85)</f>
        <v>2008</v>
      </c>
      <c r="AB85" s="959" t="n">
        <f aca="false">MONTH(X85)</f>
        <v>3</v>
      </c>
      <c r="AC85" s="961" t="n">
        <f aca="false">(1+Y85/2)^(-(DATE(AA86,AB86,20)-[2]TradeSum!$A$3)/182.625)</f>
        <v>0.701584695040251</v>
      </c>
      <c r="AD85" s="964"/>
    </row>
    <row r="86" customFormat="false" ht="12.75" hidden="false" customHeight="false" outlineLevel="0" collapsed="false">
      <c r="X86" s="947" t="n">
        <v>39539</v>
      </c>
      <c r="Y86" s="0" t="n">
        <v>0.0543925882193053</v>
      </c>
      <c r="Z86" s="959"/>
      <c r="AA86" s="959" t="n">
        <f aca="false">YEAR(X86)</f>
        <v>2008</v>
      </c>
      <c r="AB86" s="959" t="n">
        <f aca="false">MONTH(X86)</f>
        <v>4</v>
      </c>
      <c r="AC86" s="961" t="n">
        <f aca="false">(1+Y86/2)^(-(DATE(AA87,AB87,20)-[2]TradeSum!$A$3)/182.625)</f>
        <v>0.697896801529293</v>
      </c>
      <c r="AD86" s="964"/>
    </row>
    <row r="87" customFormat="false" ht="12.75" hidden="false" customHeight="false" outlineLevel="0" collapsed="false">
      <c r="X87" s="947" t="n">
        <v>39569</v>
      </c>
      <c r="Y87" s="0" t="n">
        <v>0.0545220934458661</v>
      </c>
      <c r="Z87" s="959"/>
      <c r="AA87" s="959" t="n">
        <f aca="false">YEAR(X87)</f>
        <v>2008</v>
      </c>
      <c r="AB87" s="959" t="n">
        <f aca="false">MONTH(X87)</f>
        <v>5</v>
      </c>
      <c r="AC87" s="961" t="n">
        <f aca="false">(1+Y87/2)^(-(DATE(AA88,AB88,20)-[2]TradeSum!$A$3)/182.625)</f>
        <v>0.694131032521794</v>
      </c>
      <c r="AD87" s="964"/>
    </row>
    <row r="88" customFormat="false" ht="12.75" hidden="false" customHeight="false" outlineLevel="0" collapsed="false">
      <c r="X88" s="947" t="n">
        <v>39600</v>
      </c>
      <c r="Y88" s="0" t="n">
        <v>0.0546559155191821</v>
      </c>
      <c r="Z88" s="959"/>
      <c r="AA88" s="959" t="n">
        <f aca="false">YEAR(X88)</f>
        <v>2008</v>
      </c>
      <c r="AB88" s="959" t="n">
        <f aca="false">MONTH(X88)</f>
        <v>6</v>
      </c>
      <c r="AC88" s="961" t="n">
        <f aca="false">(1+Y88/2)^(-(DATE(AA89,AB89,20)-[2]TradeSum!$A$3)/182.625)</f>
        <v>0.690452836549088</v>
      </c>
      <c r="AD88" s="964"/>
    </row>
    <row r="89" customFormat="false" ht="12.75" hidden="false" customHeight="false" outlineLevel="0" collapsed="false">
      <c r="X89" s="947" t="n">
        <v>39630</v>
      </c>
      <c r="Y89" s="0" t="n">
        <v>0.0547854207571037</v>
      </c>
      <c r="Z89" s="959"/>
      <c r="AA89" s="959" t="n">
        <f aca="false">YEAR(X89)</f>
        <v>2008</v>
      </c>
      <c r="AB89" s="959" t="n">
        <f aca="false">MONTH(X89)</f>
        <v>7</v>
      </c>
      <c r="AC89" s="961" t="n">
        <f aca="false">(1+Y89/2)^(-(DATE(AA90,AB90,20)-[2]TradeSum!$A$3)/182.625)</f>
        <v>0.686697912161349</v>
      </c>
      <c r="AD89" s="964"/>
    </row>
    <row r="90" customFormat="false" ht="12.75" hidden="false" customHeight="false" outlineLevel="0" collapsed="false">
      <c r="X90" s="947" t="n">
        <v>39661</v>
      </c>
      <c r="Y90" s="0" t="n">
        <v>0.0549192428421583</v>
      </c>
      <c r="Z90" s="959"/>
      <c r="AA90" s="959" t="n">
        <f aca="false">YEAR(X90)</f>
        <v>2008</v>
      </c>
      <c r="AB90" s="959" t="n">
        <f aca="false">MONTH(X90)</f>
        <v>8</v>
      </c>
      <c r="AC90" s="961" t="n">
        <f aca="false">(1+Y90/2)^(-(DATE(AA91,AB91,20)-[2]TradeSum!$A$3)/182.625)</f>
        <v>0.682928635483631</v>
      </c>
      <c r="AD90" s="964"/>
    </row>
    <row r="91" customFormat="false" ht="12.75" hidden="false" customHeight="false" outlineLevel="0" collapsed="false">
      <c r="X91" s="947" t="n">
        <v>39692</v>
      </c>
      <c r="Y91" s="0" t="n">
        <v>0.055053064933178</v>
      </c>
      <c r="Z91" s="959"/>
      <c r="AA91" s="959" t="n">
        <f aca="false">YEAR(X91)</f>
        <v>2008</v>
      </c>
      <c r="AB91" s="959" t="n">
        <f aca="false">MONTH(X91)</f>
        <v>9</v>
      </c>
      <c r="AC91" s="961" t="n">
        <f aca="false">(1+Y91/2)^(-(DATE(AA92,AB92,20)-[2]TradeSum!$A$3)/182.625)</f>
        <v>0.679266065657119</v>
      </c>
      <c r="AD91" s="964"/>
    </row>
    <row r="92" customFormat="false" ht="12.75" hidden="false" customHeight="false" outlineLevel="0" collapsed="false">
      <c r="X92" s="947" t="n">
        <v>39722</v>
      </c>
      <c r="Y92" s="0" t="n">
        <v>0.0551431792687964</v>
      </c>
      <c r="Z92" s="959"/>
      <c r="AA92" s="959" t="n">
        <f aca="false">YEAR(X92)</f>
        <v>2008</v>
      </c>
      <c r="AB92" s="959" t="n">
        <f aca="false">MONTH(X92)</f>
        <v>10</v>
      </c>
      <c r="AC92" s="961" t="n">
        <f aca="false">(1+Y92/2)^(-(DATE(AA93,AB93,20)-[2]TradeSum!$A$3)/182.625)</f>
        <v>0.675715113571096</v>
      </c>
      <c r="AD92" s="964"/>
    </row>
    <row r="93" customFormat="false" ht="12.75" hidden="false" customHeight="false" outlineLevel="0" collapsed="false">
      <c r="X93" s="947" t="n">
        <v>39753</v>
      </c>
      <c r="Y93" s="0" t="n">
        <v>0.0552188528680326</v>
      </c>
      <c r="Z93" s="959"/>
      <c r="AA93" s="959" t="n">
        <f aca="false">YEAR(X93)</f>
        <v>2008</v>
      </c>
      <c r="AB93" s="959" t="n">
        <f aca="false">MONTH(X93)</f>
        <v>11</v>
      </c>
      <c r="AC93" s="961" t="n">
        <f aca="false">(1+Y93/2)^(-(DATE(AA94,AB94,20)-[2]TradeSum!$A$3)/182.625)</f>
        <v>0.672341869142578</v>
      </c>
      <c r="AD93" s="964"/>
    </row>
    <row r="94" customFormat="false" ht="12.75" hidden="false" customHeight="false" outlineLevel="0" collapsed="false">
      <c r="X94" s="947" t="n">
        <v>39783</v>
      </c>
      <c r="Y94" s="0" t="n">
        <v>0.0552920853852381</v>
      </c>
      <c r="Z94" s="959"/>
      <c r="AA94" s="959" t="n">
        <f aca="false">YEAR(X94)</f>
        <v>2008</v>
      </c>
      <c r="AB94" s="959" t="n">
        <f aca="false">MONTH(X94)</f>
        <v>12</v>
      </c>
      <c r="AC94" s="961" t="n">
        <f aca="false">(1+Y94/2)^(-(DATE(AA95,AB95,20)-[2]TradeSum!$A$3)/182.625)</f>
        <v>0.668889206599058</v>
      </c>
      <c r="AD94" s="964"/>
    </row>
    <row r="95" customFormat="false" ht="12.75" hidden="false" customHeight="false" outlineLevel="0" collapsed="false">
      <c r="X95" s="947" t="n">
        <v>39814</v>
      </c>
      <c r="Y95" s="0" t="n">
        <v>0.0553677589882264</v>
      </c>
      <c r="Z95" s="959"/>
      <c r="AA95" s="959" t="n">
        <f aca="false">YEAR(X95)</f>
        <v>2009</v>
      </c>
      <c r="AB95" s="959" t="n">
        <f aca="false">MONTH(X95)</f>
        <v>1</v>
      </c>
      <c r="AC95" s="961" t="n">
        <f aca="false">(1+Y95/2)^(-(DATE(AA96,AB96,20)-[2]TradeSum!$A$3)/182.625)</f>
        <v>0.66543444897612</v>
      </c>
      <c r="AD95" s="964"/>
    </row>
    <row r="96" customFormat="false" ht="12.75" hidden="false" customHeight="false" outlineLevel="0" collapsed="false">
      <c r="X96" s="947" t="n">
        <v>39845</v>
      </c>
      <c r="Y96" s="0" t="n">
        <v>0.0554434325931221</v>
      </c>
      <c r="Z96" s="959"/>
      <c r="AA96" s="959" t="n">
        <f aca="false">YEAR(X96)</f>
        <v>2009</v>
      </c>
      <c r="AB96" s="959" t="n">
        <f aca="false">MONTH(X96)</f>
        <v>2</v>
      </c>
      <c r="AC96" s="961" t="n">
        <f aca="false">(1+Y96/2)^(-(DATE(AA97,AB97,20)-[2]TradeSum!$A$3)/182.625)</f>
        <v>0.662286699396286</v>
      </c>
      <c r="AD96" s="964"/>
    </row>
    <row r="97" customFormat="false" ht="12.75" hidden="false" customHeight="false" outlineLevel="0" collapsed="false">
      <c r="X97" s="947" t="n">
        <v>39873</v>
      </c>
      <c r="Y97" s="0" t="n">
        <v>0.0555117829475704</v>
      </c>
      <c r="Z97" s="959"/>
      <c r="AA97" s="959" t="n">
        <f aca="false">YEAR(X97)</f>
        <v>2009</v>
      </c>
      <c r="AB97" s="959" t="n">
        <f aca="false">MONTH(X97)</f>
        <v>3</v>
      </c>
      <c r="AC97" s="961" t="n">
        <f aca="false">(1+Y97/2)^(-(DATE(AA98,AB98,20)-[2]TradeSum!$A$3)/182.625)</f>
        <v>0.658885769450797</v>
      </c>
      <c r="AD97" s="964"/>
    </row>
    <row r="98" customFormat="false" ht="12.75" hidden="false" customHeight="false" outlineLevel="0" collapsed="false">
      <c r="X98" s="947" t="n">
        <v>39904</v>
      </c>
      <c r="Y98" s="0" t="n">
        <v>0.0555874565560952</v>
      </c>
      <c r="Z98" s="959"/>
      <c r="AA98" s="959" t="n">
        <f aca="false">YEAR(X98)</f>
        <v>2009</v>
      </c>
      <c r="AB98" s="959" t="n">
        <f aca="false">MONTH(X98)</f>
        <v>4</v>
      </c>
      <c r="AC98" s="961" t="n">
        <f aca="false">(1+Y98/2)^(-(DATE(AA99,AB99,20)-[2]TradeSum!$A$3)/182.625)</f>
        <v>0.655557333177765</v>
      </c>
      <c r="AD98" s="964"/>
    </row>
    <row r="99" customFormat="false" ht="12.75" hidden="false" customHeight="false" outlineLevel="0" collapsed="false">
      <c r="X99" s="947" t="n">
        <v>39934</v>
      </c>
      <c r="Y99" s="0" t="n">
        <v>0.0556606890822899</v>
      </c>
      <c r="Z99" s="959"/>
      <c r="AA99" s="959" t="n">
        <f aca="false">YEAR(X99)</f>
        <v>2009</v>
      </c>
      <c r="AB99" s="959" t="n">
        <f aca="false">MONTH(X99)</f>
        <v>5</v>
      </c>
      <c r="AC99" s="961" t="n">
        <f aca="false">(1+Y99/2)^(-(DATE(AA100,AB100,20)-[2]TradeSum!$A$3)/182.625)</f>
        <v>0.652151861808843</v>
      </c>
      <c r="AD99" s="964"/>
    </row>
    <row r="100" customFormat="false" ht="12.75" hidden="false" customHeight="false" outlineLevel="0" collapsed="false">
      <c r="X100" s="947" t="n">
        <v>39965</v>
      </c>
      <c r="Y100" s="0" t="n">
        <v>0.0557363626945668</v>
      </c>
      <c r="Z100" s="959"/>
      <c r="AA100" s="959" t="n">
        <f aca="false">YEAR(X100)</f>
        <v>2009</v>
      </c>
      <c r="AB100" s="959" t="n">
        <f aca="false">MONTH(X100)</f>
        <v>6</v>
      </c>
      <c r="AC100" s="961" t="n">
        <f aca="false">(1+Y100/2)^(-(DATE(AA101,AB101,20)-[2]TradeSum!$A$3)/182.625)</f>
        <v>0.648841770033069</v>
      </c>
      <c r="AD100" s="964"/>
    </row>
    <row r="101" customFormat="false" ht="12.75" hidden="false" customHeight="false" outlineLevel="0" collapsed="false">
      <c r="X101" s="947" t="n">
        <v>39995</v>
      </c>
      <c r="Y101" s="0" t="n">
        <v>0.055809595224392</v>
      </c>
      <c r="Z101" s="959"/>
      <c r="AA101" s="959" t="n">
        <f aca="false">YEAR(X101)</f>
        <v>2009</v>
      </c>
      <c r="AB101" s="959" t="n">
        <f aca="false">MONTH(X101)</f>
        <v>7</v>
      </c>
      <c r="AC101" s="961" t="n">
        <f aca="false">(1+Y101/2)^(-(DATE(AA102,AB102,20)-[2]TradeSum!$A$3)/182.625)</f>
        <v>0.645455593660995</v>
      </c>
      <c r="AD101" s="964"/>
    </row>
    <row r="102" customFormat="false" ht="12.75" hidden="false" customHeight="false" outlineLevel="0" collapsed="false">
      <c r="X102" s="947" t="n">
        <v>40026</v>
      </c>
      <c r="Y102" s="0" t="n">
        <v>0.0558852688404206</v>
      </c>
      <c r="Z102" s="959"/>
      <c r="AA102" s="959" t="n">
        <f aca="false">YEAR(X102)</f>
        <v>2009</v>
      </c>
      <c r="AB102" s="959" t="n">
        <f aca="false">MONTH(X102)</f>
        <v>8</v>
      </c>
      <c r="AC102" s="961" t="n">
        <f aca="false">(1+Y102/2)^(-(DATE(AA103,AB103,20)-[2]TradeSum!$A$3)/182.625)</f>
        <v>0.642067080532584</v>
      </c>
      <c r="AD102" s="964"/>
    </row>
    <row r="103" customFormat="false" ht="12.75" hidden="false" customHeight="false" outlineLevel="0" collapsed="false">
      <c r="X103" s="947" t="n">
        <v>40057</v>
      </c>
      <c r="Y103" s="0" t="n">
        <v>0.0559609424583556</v>
      </c>
      <c r="Z103" s="959"/>
      <c r="AA103" s="959" t="n">
        <f aca="false">YEAR(X103)</f>
        <v>2009</v>
      </c>
      <c r="AB103" s="959" t="n">
        <f aca="false">MONTH(X103)</f>
        <v>9</v>
      </c>
      <c r="AC103" s="961" t="n">
        <f aca="false">(1+Y103/2)^(-(DATE(AA104,AB104,20)-[2]TradeSum!$A$3)/182.625)</f>
        <v>0.638784907580413</v>
      </c>
      <c r="AD103" s="964"/>
    </row>
    <row r="104" customFormat="false" ht="12.75" hidden="false" customHeight="false" outlineLevel="0" collapsed="false">
      <c r="X104" s="947" t="n">
        <v>40087</v>
      </c>
      <c r="Y104" s="0" t="n">
        <v>0.0560341749936564</v>
      </c>
      <c r="Z104" s="959"/>
      <c r="AA104" s="959" t="n">
        <f aca="false">YEAR(X104)</f>
        <v>2009</v>
      </c>
      <c r="AB104" s="959" t="n">
        <f aca="false">MONTH(X104)</f>
        <v>10</v>
      </c>
      <c r="AC104" s="961" t="n">
        <f aca="false">(1+Y104/2)^(-(DATE(AA105,AB105,20)-[2]TradeSum!$A$3)/182.625)</f>
        <v>0.635428070236472</v>
      </c>
      <c r="AD104" s="964"/>
    </row>
    <row r="105" customFormat="false" ht="12.75" hidden="false" customHeight="false" outlineLevel="0" collapsed="false">
      <c r="X105" s="947" t="n">
        <v>40118</v>
      </c>
      <c r="Y105" s="0" t="n">
        <v>0.0561098486153431</v>
      </c>
      <c r="Z105" s="959"/>
      <c r="AA105" s="959" t="n">
        <f aca="false">YEAR(X105)</f>
        <v>2009</v>
      </c>
      <c r="AB105" s="959" t="n">
        <f aca="false">MONTH(X105)</f>
        <v>11</v>
      </c>
      <c r="AC105" s="961" t="n">
        <f aca="false">(1+Y105/2)^(-(DATE(AA106,AB106,20)-[2]TradeSum!$A$3)/182.625)</f>
        <v>0.632164569549897</v>
      </c>
      <c r="AD105" s="964"/>
    </row>
    <row r="106" customFormat="false" ht="12.75" hidden="false" customHeight="false" outlineLevel="0" collapsed="false">
      <c r="X106" s="947" t="n">
        <v>40148</v>
      </c>
      <c r="Y106" s="0" t="n">
        <v>0.0561830811542738</v>
      </c>
      <c r="Z106" s="959"/>
      <c r="AA106" s="959" t="n">
        <f aca="false">YEAR(X106)</f>
        <v>2009</v>
      </c>
      <c r="AB106" s="959" t="n">
        <f aca="false">MONTH(X106)</f>
        <v>12</v>
      </c>
      <c r="AC106" s="961" t="n">
        <f aca="false">(1+Y106/2)^(-(DATE(AA107,AB107,20)-[2]TradeSum!$A$3)/182.625)</f>
        <v>0.62882733725185</v>
      </c>
      <c r="AD106" s="964"/>
    </row>
    <row r="107" customFormat="false" ht="12.75" hidden="false" customHeight="false" outlineLevel="0" collapsed="false">
      <c r="X107" s="947" t="n">
        <v>40179</v>
      </c>
      <c r="Y107" s="0" t="n">
        <v>0.0562587547797113</v>
      </c>
      <c r="Z107" s="959"/>
      <c r="AA107" s="959" t="n">
        <f aca="false">YEAR(X107)</f>
        <v>2010</v>
      </c>
      <c r="AB107" s="959" t="n">
        <f aca="false">MONTH(X107)</f>
        <v>1</v>
      </c>
      <c r="AC107" s="961" t="n">
        <f aca="false">(1+Y107/2)^(-(DATE(AA108,AB108,20)-[2]TradeSum!$A$3)/182.625)</f>
        <v>0.62548761260048</v>
      </c>
      <c r="AD107" s="964"/>
    </row>
    <row r="108" customFormat="false" ht="12.75" hidden="false" customHeight="false" outlineLevel="0" collapsed="false">
      <c r="X108" s="947" t="n">
        <v>40210</v>
      </c>
      <c r="Y108" s="0" t="n">
        <v>0.0563344284070553</v>
      </c>
      <c r="Z108" s="959"/>
      <c r="AA108" s="959" t="n">
        <f aca="false">YEAR(X108)</f>
        <v>2010</v>
      </c>
      <c r="AB108" s="959" t="n">
        <f aca="false">MONTH(X108)</f>
        <v>2</v>
      </c>
      <c r="AC108" s="961" t="n">
        <f aca="false">(1+Y108/2)^(-(DATE(AA109,AB109,20)-[2]TradeSum!$A$3)/182.625)</f>
        <v>0.622441827407652</v>
      </c>
      <c r="AD108" s="964"/>
    </row>
    <row r="109" customFormat="false" ht="12.75" hidden="false" customHeight="false" outlineLevel="0" collapsed="false">
      <c r="X109" s="947" t="n">
        <v>40238</v>
      </c>
      <c r="Y109" s="0" t="n">
        <v>0.056402778781778</v>
      </c>
      <c r="Z109" s="959"/>
      <c r="AA109" s="959" t="n">
        <f aca="false">YEAR(X109)</f>
        <v>2010</v>
      </c>
      <c r="AB109" s="959" t="n">
        <f aca="false">MONTH(X109)</f>
        <v>3</v>
      </c>
      <c r="AC109" s="961" t="n">
        <f aca="false">(1+Y109/2)^(-(DATE(AA110,AB110,20)-[2]TradeSum!$A$3)/182.625)</f>
        <v>0.619158955359163</v>
      </c>
      <c r="AD109" s="964"/>
    </row>
    <row r="110" customFormat="false" ht="12.75" hidden="false" customHeight="false" outlineLevel="0" collapsed="false">
      <c r="X110" s="947" t="n">
        <v>40269</v>
      </c>
      <c r="Y110" s="0" t="n">
        <v>0.0564784524127493</v>
      </c>
      <c r="Z110" s="959"/>
      <c r="AA110" s="959" t="n">
        <f aca="false">YEAR(X110)</f>
        <v>2010</v>
      </c>
      <c r="AB110" s="959" t="n">
        <f aca="false">MONTH(X110)</f>
        <v>4</v>
      </c>
      <c r="AC110" s="961" t="n">
        <f aca="false">(1+Y110/2)^(-(DATE(AA111,AB111,20)-[2]TradeSum!$A$3)/182.625)</f>
        <v>0.615942198811964</v>
      </c>
      <c r="AD110" s="964"/>
    </row>
    <row r="111" customFormat="false" ht="12.75" hidden="false" customHeight="false" outlineLevel="0" collapsed="false">
      <c r="X111" s="947" t="n">
        <v>40299</v>
      </c>
      <c r="Y111" s="0" t="n">
        <v>0.0565516849606653</v>
      </c>
      <c r="Z111" s="959"/>
      <c r="AA111" s="959" t="n">
        <f aca="false">YEAR(X111)</f>
        <v>2010</v>
      </c>
      <c r="AB111" s="959" t="n">
        <f aca="false">MONTH(X111)</f>
        <v>5</v>
      </c>
      <c r="AC111" s="961" t="n">
        <f aca="false">(1+Y111/2)^(-(DATE(AA112,AB112,20)-[2]TradeSum!$A$3)/182.625)</f>
        <v>0.612653989064758</v>
      </c>
      <c r="AD111" s="964"/>
    </row>
    <row r="112" customFormat="false" ht="12.75" hidden="false" customHeight="false" outlineLevel="0" collapsed="false">
      <c r="X112" s="947" t="n">
        <v>40330</v>
      </c>
      <c r="Y112" s="0" t="n">
        <v>0.0566273585953869</v>
      </c>
      <c r="Z112" s="959"/>
      <c r="AA112" s="959" t="n">
        <f aca="false">YEAR(X112)</f>
        <v>2010</v>
      </c>
      <c r="AB112" s="959" t="n">
        <f aca="false">MONTH(X112)</f>
        <v>6</v>
      </c>
      <c r="AC112" s="961" t="n">
        <f aca="false">(1+Y112/2)^(-(DATE(AA113,AB113,20)-[2]TradeSum!$A$3)/182.625)</f>
        <v>0.609456316539105</v>
      </c>
      <c r="AD112" s="964"/>
    </row>
    <row r="113" customFormat="false" ht="12.75" hidden="false" customHeight="false" outlineLevel="0" collapsed="false">
      <c r="X113" s="947" t="n">
        <v>40360</v>
      </c>
      <c r="Y113" s="0" t="n">
        <v>0.0567005911469325</v>
      </c>
      <c r="Z113" s="959"/>
      <c r="AA113" s="959" t="n">
        <f aca="false">YEAR(X113)</f>
        <v>2010</v>
      </c>
      <c r="AB113" s="959" t="n">
        <f aca="false">MONTH(X113)</f>
        <v>7</v>
      </c>
      <c r="AC113" s="961" t="n">
        <f aca="false">(1+Y113/2)^(-(DATE(AA114,AB114,20)-[2]TradeSum!$A$3)/182.625)</f>
        <v>0.606188098818701</v>
      </c>
      <c r="AD113" s="964"/>
    </row>
    <row r="114" customFormat="false" ht="12.75" hidden="false" customHeight="false" outlineLevel="0" collapsed="false">
      <c r="X114" s="947" t="n">
        <v>40391</v>
      </c>
      <c r="Y114" s="0" t="n">
        <v>0.056776264785404</v>
      </c>
      <c r="Z114" s="959"/>
      <c r="AA114" s="959" t="n">
        <f aca="false">YEAR(X114)</f>
        <v>2010</v>
      </c>
      <c r="AB114" s="959" t="n">
        <f aca="false">MONTH(X114)</f>
        <v>8</v>
      </c>
      <c r="AC114" s="961" t="n">
        <f aca="false">(1+Y114/2)^(-(DATE(AA115,AB115,20)-[2]TradeSum!$A$3)/182.625)</f>
        <v>0.6029171978803</v>
      </c>
      <c r="AD114" s="964"/>
    </row>
    <row r="115" customFormat="false" ht="12.75" hidden="false" customHeight="false" outlineLevel="0" collapsed="false">
      <c r="X115" s="947" t="n">
        <v>40422</v>
      </c>
      <c r="Y115" s="0" t="n">
        <v>0.0568519384257815</v>
      </c>
      <c r="Z115" s="959"/>
      <c r="AA115" s="959" t="n">
        <f aca="false">YEAR(X115)</f>
        <v>2010</v>
      </c>
      <c r="AB115" s="959" t="n">
        <f aca="false">MONTH(X115)</f>
        <v>9</v>
      </c>
      <c r="AC115" s="961" t="n">
        <f aca="false">(1+Y115/2)^(-(DATE(AA116,AB116,20)-[2]TradeSum!$A$3)/182.625)</f>
        <v>0.599748513559444</v>
      </c>
      <c r="AD115" s="964"/>
    </row>
    <row r="116" customFormat="false" ht="12.75" hidden="false" customHeight="false" outlineLevel="0" collapsed="false">
      <c r="X116" s="947" t="n">
        <v>40452</v>
      </c>
      <c r="Y116" s="0" t="n">
        <v>0.0569251709828</v>
      </c>
      <c r="Z116" s="959"/>
      <c r="AA116" s="959" t="n">
        <f aca="false">YEAR(X116)</f>
        <v>2010</v>
      </c>
      <c r="AB116" s="959" t="n">
        <f aca="false">MONTH(X116)</f>
        <v>10</v>
      </c>
      <c r="AC116" s="961" t="n">
        <f aca="false">(1+Y116/2)^(-(DATE(AA117,AB117,20)-[2]TradeSum!$A$3)/182.625)</f>
        <v>0.596510639929616</v>
      </c>
      <c r="AD116" s="964"/>
    </row>
    <row r="117" customFormat="false" ht="12.75" hidden="false" customHeight="false" outlineLevel="0" collapsed="false">
      <c r="X117" s="947" t="n">
        <v>40483</v>
      </c>
      <c r="Y117" s="0" t="n">
        <v>0.0570008446269274</v>
      </c>
      <c r="Z117" s="959"/>
      <c r="AA117" s="959" t="n">
        <f aca="false">YEAR(X117)</f>
        <v>2010</v>
      </c>
      <c r="AB117" s="959" t="n">
        <f aca="false">MONTH(X117)</f>
        <v>11</v>
      </c>
      <c r="AC117" s="961" t="n">
        <f aca="false">(1+Y117/2)^(-(DATE(AA118,AB118,20)-[2]TradeSum!$A$3)/182.625)</f>
        <v>0.593361306620902</v>
      </c>
      <c r="AD117" s="964"/>
    </row>
    <row r="118" customFormat="false" ht="12.75" hidden="false" customHeight="false" outlineLevel="0" collapsed="false">
      <c r="X118" s="947" t="n">
        <v>40513</v>
      </c>
      <c r="Y118" s="0" t="n">
        <v>0.0570740771875746</v>
      </c>
      <c r="Z118" s="959"/>
      <c r="AA118" s="959" t="n">
        <f aca="false">YEAR(X118)</f>
        <v>2010</v>
      </c>
      <c r="AB118" s="959" t="n">
        <f aca="false">MONTH(X118)</f>
        <v>12</v>
      </c>
      <c r="AC118" s="961" t="n">
        <f aca="false">(1+Y118/2)^(-(DATE(AA119,AB119,20)-[2]TradeSum!$A$3)/182.625)</f>
        <v>0.590143673998259</v>
      </c>
      <c r="AD118" s="964"/>
    </row>
    <row r="119" customFormat="false" ht="12.75" hidden="false" customHeight="false" outlineLevel="0" collapsed="false">
      <c r="X119" s="947" t="n">
        <v>40544</v>
      </c>
      <c r="Y119" s="0" t="n">
        <v>0.057149750835451</v>
      </c>
      <c r="Z119" s="959"/>
      <c r="AA119" s="959" t="n">
        <f aca="false">YEAR(X119)</f>
        <v>2011</v>
      </c>
      <c r="AB119" s="959" t="n">
        <f aca="false">MONTH(X119)</f>
        <v>1</v>
      </c>
      <c r="AC119" s="961" t="n">
        <f aca="false">(1+Y119/2)^(-(DATE(AA120,AB120,20)-[2]TradeSum!$A$3)/182.625)</f>
        <v>0.586923237402515</v>
      </c>
      <c r="AD119" s="964"/>
    </row>
    <row r="120" customFormat="false" ht="12.75" hidden="false" customHeight="false" outlineLevel="0" collapsed="false">
      <c r="X120" s="947" t="n">
        <v>40575</v>
      </c>
      <c r="Y120" s="0" t="n">
        <v>0.057225424485233</v>
      </c>
      <c r="Z120" s="959"/>
      <c r="AA120" s="959" t="n">
        <f aca="false">YEAR(X120)</f>
        <v>2011</v>
      </c>
      <c r="AB120" s="959" t="n">
        <f aca="false">MONTH(X120)</f>
        <v>2</v>
      </c>
      <c r="AC120" s="961" t="n">
        <f aca="false">(1+Y120/2)^(-(DATE(AA121,AB121,20)-[2]TradeSum!$A$3)/182.625)</f>
        <v>0.583983670123841</v>
      </c>
      <c r="AD120" s="964"/>
    </row>
    <row r="121" customFormat="false" ht="12.75" hidden="false" customHeight="false" outlineLevel="0" collapsed="false">
      <c r="X121" s="947" t="n">
        <v>40603</v>
      </c>
      <c r="Y121" s="0" t="n">
        <v>0.0572937748802218</v>
      </c>
      <c r="Z121" s="959"/>
      <c r="AA121" s="959" t="n">
        <f aca="false">YEAR(X121)</f>
        <v>2011</v>
      </c>
      <c r="AB121" s="959" t="n">
        <f aca="false">MONTH(X121)</f>
        <v>3</v>
      </c>
      <c r="AC121" s="961" t="n">
        <f aca="false">(1+Y121/2)^(-(DATE(AA122,AB122,20)-[2]TradeSum!$A$3)/182.625)</f>
        <v>0.580822493390608</v>
      </c>
      <c r="AD121" s="964"/>
    </row>
    <row r="122" customFormat="false" ht="12.75" hidden="false" customHeight="false" outlineLevel="0" collapsed="false">
      <c r="X122" s="947" t="n">
        <v>40634</v>
      </c>
      <c r="Y122" s="0" t="n">
        <v>0.0573694485336298</v>
      </c>
      <c r="Z122" s="959"/>
      <c r="AA122" s="959" t="n">
        <f aca="false">YEAR(X122)</f>
        <v>2011</v>
      </c>
      <c r="AB122" s="959" t="n">
        <f aca="false">MONTH(X122)</f>
        <v>4</v>
      </c>
      <c r="AC122" s="961" t="n">
        <f aca="false">(1+Y122/2)^(-(DATE(AA123,AB123,20)-[2]TradeSum!$A$3)/182.625)</f>
        <v>0.577721481387547</v>
      </c>
      <c r="AD122" s="964"/>
    </row>
    <row r="123" customFormat="false" ht="12.75" hidden="false" customHeight="false" outlineLevel="0" collapsed="false">
      <c r="X123" s="947" t="n">
        <v>40664</v>
      </c>
      <c r="Y123" s="0" t="n">
        <v>0.0574426811032582</v>
      </c>
      <c r="Z123" s="959"/>
      <c r="AA123" s="959" t="n">
        <f aca="false">YEAR(X123)</f>
        <v>2011</v>
      </c>
      <c r="AB123" s="959" t="n">
        <f aca="false">MONTH(X123)</f>
        <v>5</v>
      </c>
      <c r="AC123" s="961" t="n">
        <f aca="false">(1+Y123/2)^(-(DATE(AA124,AB124,20)-[2]TradeSum!$A$3)/182.625)</f>
        <v>0.574554342154726</v>
      </c>
      <c r="AD123" s="964"/>
    </row>
    <row r="124" customFormat="false" ht="12.75" hidden="false" customHeight="false" outlineLevel="0" collapsed="false">
      <c r="X124" s="947" t="n">
        <v>40695</v>
      </c>
      <c r="Y124" s="0" t="n">
        <v>0.0575183547604152</v>
      </c>
      <c r="Z124" s="959"/>
      <c r="AA124" s="959" t="n">
        <f aca="false">YEAR(X124)</f>
        <v>2011</v>
      </c>
      <c r="AB124" s="959" t="n">
        <f aca="false">MONTH(X124)</f>
        <v>6</v>
      </c>
      <c r="AC124" s="961" t="n">
        <f aca="false">(1+Y124/2)^(-(DATE(AA125,AB125,20)-[2]TradeSum!$A$3)/182.625)</f>
        <v>0.57147301004352</v>
      </c>
      <c r="AD124" s="964"/>
    </row>
    <row r="125" customFormat="false" ht="12.75" hidden="false" customHeight="false" outlineLevel="0" collapsed="false">
      <c r="X125" s="947" t="n">
        <v>40725</v>
      </c>
      <c r="Y125" s="0" t="n">
        <v>0.057591587333671</v>
      </c>
      <c r="Z125" s="959"/>
      <c r="AA125" s="959" t="n">
        <f aca="false">YEAR(X125)</f>
        <v>2011</v>
      </c>
      <c r="AB125" s="959" t="n">
        <f aca="false">MONTH(X125)</f>
        <v>7</v>
      </c>
      <c r="AC125" s="961" t="n">
        <f aca="false">(1+Y125/2)^(-(DATE(AA126,AB126,20)-[2]TradeSum!$A$3)/182.625)</f>
        <v>0.568326415608042</v>
      </c>
      <c r="AD125" s="964"/>
    </row>
    <row r="126" customFormat="false" ht="12.75" hidden="false" customHeight="false" outlineLevel="0" collapsed="false">
      <c r="X126" s="947" t="n">
        <v>40756</v>
      </c>
      <c r="Y126" s="0" t="n">
        <v>0.0576672609945765</v>
      </c>
      <c r="Z126" s="959"/>
      <c r="AA126" s="959" t="n">
        <f aca="false">YEAR(X126)</f>
        <v>2011</v>
      </c>
      <c r="AB126" s="959" t="n">
        <f aca="false">MONTH(X126)</f>
        <v>8</v>
      </c>
      <c r="AC126" s="961" t="n">
        <f aca="false">(1+Y126/2)^(-(DATE(AA127,AB127,20)-[2]TradeSum!$A$3)/182.625)</f>
        <v>0.565176872118816</v>
      </c>
      <c r="AD126" s="964"/>
    </row>
    <row r="127" customFormat="false" ht="12.75" hidden="false" customHeight="false" outlineLevel="0" collapsed="false">
      <c r="X127" s="947" t="n">
        <v>40787</v>
      </c>
      <c r="Y127" s="0" t="n">
        <v>0.0577429346573868</v>
      </c>
      <c r="Z127" s="959"/>
      <c r="AA127" s="959" t="n">
        <f aca="false">YEAR(X127)</f>
        <v>2011</v>
      </c>
      <c r="AB127" s="959" t="n">
        <f aca="false">MONTH(X127)</f>
        <v>9</v>
      </c>
      <c r="AC127" s="961" t="n">
        <f aca="false">(1+Y127/2)^(-(DATE(AA128,AB128,20)-[2]TradeSum!$A$3)/182.625)</f>
        <v>0.562125382433178</v>
      </c>
      <c r="AD127" s="964"/>
    </row>
    <row r="128" customFormat="false" ht="12.75" hidden="false" customHeight="false" outlineLevel="0" collapsed="false">
      <c r="X128" s="947" t="n">
        <v>40817</v>
      </c>
      <c r="Y128" s="0" t="n">
        <v>0.0577939113529671</v>
      </c>
      <c r="Z128" s="959"/>
      <c r="AA128" s="959" t="n">
        <f aca="false">YEAR(X128)</f>
        <v>2011</v>
      </c>
      <c r="AB128" s="959" t="n">
        <f aca="false">MONTH(X128)</f>
        <v>10</v>
      </c>
      <c r="AC128" s="961" t="n">
        <f aca="false">(1+Y128/2)^(-(DATE(AA129,AB129,20)-[2]TradeSum!$A$3)/182.625)</f>
        <v>0.559133318915431</v>
      </c>
      <c r="AD128" s="964"/>
    </row>
    <row r="129" customFormat="false" ht="12.75" hidden="false" customHeight="false" outlineLevel="0" collapsed="false">
      <c r="X129" s="947" t="n">
        <v>40848</v>
      </c>
      <c r="Y129" s="0" t="n">
        <v>0.0578332727880091</v>
      </c>
      <c r="Z129" s="959"/>
      <c r="AA129" s="959" t="n">
        <f aca="false">YEAR(X129)</f>
        <v>2011</v>
      </c>
      <c r="AB129" s="959" t="n">
        <f aca="false">MONTH(X129)</f>
        <v>11</v>
      </c>
      <c r="AC129" s="961" t="n">
        <f aca="false">(1+Y129/2)^(-(DATE(AA130,AB130,20)-[2]TradeSum!$A$3)/182.625)</f>
        <v>0.556303939448159</v>
      </c>
      <c r="AD129" s="964"/>
    </row>
    <row r="130" customFormat="false" ht="12.75" hidden="false" customHeight="false" outlineLevel="0" collapsed="false">
      <c r="X130" s="947" t="n">
        <v>40878</v>
      </c>
      <c r="Y130" s="0" t="n">
        <v>0.0578713644998303</v>
      </c>
      <c r="Z130" s="959"/>
      <c r="AA130" s="959" t="n">
        <f aca="false">YEAR(X130)</f>
        <v>2011</v>
      </c>
      <c r="AB130" s="959" t="n">
        <f aca="false">MONTH(X130)</f>
        <v>12</v>
      </c>
      <c r="AC130" s="961" t="n">
        <f aca="false">(1+Y130/2)^(-(DATE(AA131,AB131,20)-[2]TradeSum!$A$3)/182.625)</f>
        <v>0.553406039541485</v>
      </c>
      <c r="AD130" s="964"/>
    </row>
    <row r="131" customFormat="false" ht="12.75" hidden="false" customHeight="false" outlineLevel="0" collapsed="false">
      <c r="X131" s="947" t="n">
        <v>40909</v>
      </c>
      <c r="Y131" s="0" t="n">
        <v>0.0579107259358858</v>
      </c>
      <c r="Z131" s="959"/>
      <c r="AA131" s="959" t="n">
        <f aca="false">YEAR(X131)</f>
        <v>2012</v>
      </c>
      <c r="AB131" s="959" t="n">
        <f aca="false">MONTH(X131)</f>
        <v>1</v>
      </c>
      <c r="AC131" s="961" t="n">
        <f aca="false">(1+Y131/2)^(-(DATE(AA132,AB132,20)-[2]TradeSum!$A$3)/182.625)</f>
        <v>0.550512676745274</v>
      </c>
      <c r="AD131" s="964"/>
    </row>
    <row r="132" customFormat="false" ht="12.75" hidden="false" customHeight="false" outlineLevel="0" collapsed="false">
      <c r="X132" s="947" t="n">
        <v>40940</v>
      </c>
      <c r="Y132" s="0" t="n">
        <v>0.0579500873724568</v>
      </c>
      <c r="Z132" s="959"/>
      <c r="AA132" s="959" t="n">
        <f aca="false">YEAR(X132)</f>
        <v>2012</v>
      </c>
      <c r="AB132" s="959" t="n">
        <f aca="false">MONTH(X132)</f>
        <v>2</v>
      </c>
      <c r="AC132" s="961" t="n">
        <f aca="false">(1+Y132/2)^(-(DATE(AA133,AB133,20)-[2]TradeSum!$A$3)/182.625)</f>
        <v>0.547802219080956</v>
      </c>
      <c r="AD132" s="964"/>
    </row>
    <row r="133" customFormat="false" ht="12.75" hidden="false" customHeight="false" outlineLevel="0" collapsed="false">
      <c r="X133" s="947" t="n">
        <v>40969</v>
      </c>
      <c r="Y133" s="0" t="n">
        <v>0.0579869093619734</v>
      </c>
      <c r="Z133" s="959"/>
      <c r="AA133" s="959" t="n">
        <f aca="false">YEAR(X133)</f>
        <v>2012</v>
      </c>
      <c r="AB133" s="959" t="n">
        <f aca="false">MONTH(X133)</f>
        <v>3</v>
      </c>
      <c r="AC133" s="961" t="n">
        <f aca="false">(1+Y133/2)^(-(DATE(AA134,AB134,20)-[2]TradeSum!$A$3)/182.625)</f>
        <v>0.544945482664472</v>
      </c>
      <c r="AD133" s="964"/>
    </row>
    <row r="134" customFormat="false" ht="12.75" hidden="false" customHeight="false" outlineLevel="0" collapsed="false">
      <c r="X134" s="947" t="n">
        <v>41000</v>
      </c>
      <c r="Y134" s="0" t="n">
        <v>0.0580262707995418</v>
      </c>
      <c r="Z134" s="959"/>
      <c r="AA134" s="959" t="n">
        <f aca="false">YEAR(X134)</f>
        <v>2012</v>
      </c>
      <c r="AB134" s="959" t="n">
        <f aca="false">MONTH(X134)</f>
        <v>4</v>
      </c>
      <c r="AC134" s="961" t="n">
        <f aca="false">(1+Y134/2)^(-(DATE(AA135,AB135,20)-[2]TradeSum!$A$3)/182.625)</f>
        <v>0.542170934186529</v>
      </c>
      <c r="AD134" s="964"/>
    </row>
    <row r="135" customFormat="false" ht="12.75" hidden="false" customHeight="false" outlineLevel="0" collapsed="false">
      <c r="X135" s="947" t="n">
        <v>41030</v>
      </c>
      <c r="Y135" s="0" t="n">
        <v>0.0580643625138078</v>
      </c>
      <c r="Z135" s="959"/>
      <c r="AA135" s="959" t="n">
        <f aca="false">YEAR(X135)</f>
        <v>2012</v>
      </c>
      <c r="AB135" s="959" t="n">
        <f aca="false">MONTH(X135)</f>
        <v>5</v>
      </c>
      <c r="AC135" s="961" t="n">
        <f aca="false">(1+Y135/2)^(-(DATE(AA136,AB136,20)-[2]TradeSum!$A$3)/182.625)</f>
        <v>0.539329781037635</v>
      </c>
      <c r="AD135" s="964"/>
    </row>
    <row r="136" customFormat="false" ht="12.75" hidden="false" customHeight="false" outlineLevel="0" collapsed="false">
      <c r="X136" s="947" t="n">
        <v>41061</v>
      </c>
      <c r="Y136" s="0" t="n">
        <v>0.0581037239523905</v>
      </c>
      <c r="Z136" s="959"/>
      <c r="AA136" s="959" t="n">
        <f aca="false">YEAR(X136)</f>
        <v>2012</v>
      </c>
      <c r="AB136" s="959" t="n">
        <f aca="false">MONTH(X136)</f>
        <v>6</v>
      </c>
      <c r="AC136" s="961" t="n">
        <f aca="false">(1+Y136/2)^(-(DATE(AA137,AB137,20)-[2]TradeSum!$A$3)/182.625)</f>
        <v>0.536577087667815</v>
      </c>
      <c r="AD136" s="964"/>
    </row>
    <row r="137" customFormat="false" ht="12.75" hidden="false" customHeight="false" outlineLevel="0" collapsed="false">
      <c r="X137" s="947" t="n">
        <v>41091</v>
      </c>
      <c r="Y137" s="0" t="n">
        <v>0.0581418156676379</v>
      </c>
      <c r="Z137" s="959"/>
      <c r="AA137" s="959" t="n">
        <f aca="false">YEAR(X137)</f>
        <v>2012</v>
      </c>
      <c r="AB137" s="959" t="n">
        <f aca="false">MONTH(X137)</f>
        <v>7</v>
      </c>
      <c r="AC137" s="961" t="n">
        <f aca="false">(1+Y137/2)^(-(DATE(AA138,AB138,20)-[2]TradeSum!$A$3)/182.625)</f>
        <v>0.533758546604964</v>
      </c>
      <c r="AD137" s="964"/>
    </row>
    <row r="138" customFormat="false" ht="12.75" hidden="false" customHeight="false" outlineLevel="0" collapsed="false">
      <c r="X138" s="947" t="n">
        <v>41122</v>
      </c>
      <c r="Y138" s="0" t="n">
        <v>0.058181177107234</v>
      </c>
      <c r="Z138" s="959"/>
      <c r="AA138" s="959" t="n">
        <f aca="false">YEAR(X138)</f>
        <v>2012</v>
      </c>
      <c r="AB138" s="959" t="n">
        <f aca="false">MONTH(X138)</f>
        <v>8</v>
      </c>
      <c r="AC138" s="961" t="n">
        <f aca="false">(1+Y138/2)^(-(DATE(AA139,AB139,20)-[2]TradeSum!$A$3)/182.625)</f>
        <v>0.530944247014107</v>
      </c>
      <c r="AD138" s="964"/>
    </row>
    <row r="139" customFormat="false" ht="12.75" hidden="false" customHeight="false" outlineLevel="0" collapsed="false">
      <c r="X139" s="947" t="n">
        <v>41153</v>
      </c>
      <c r="Y139" s="0" t="n">
        <v>0.0582205385473453</v>
      </c>
      <c r="Z139" s="959"/>
      <c r="AA139" s="959" t="n">
        <f aca="false">YEAR(X139)</f>
        <v>2012</v>
      </c>
      <c r="AB139" s="959" t="n">
        <f aca="false">MONTH(X139)</f>
        <v>9</v>
      </c>
      <c r="AC139" s="961" t="n">
        <f aca="false">(1+Y139/2)^(-(DATE(AA140,AB140,20)-[2]TradeSum!$A$3)/182.625)</f>
        <v>0.528224351106931</v>
      </c>
      <c r="AD139" s="964"/>
    </row>
    <row r="140" customFormat="false" ht="12.75" hidden="false" customHeight="false" outlineLevel="0" collapsed="false">
      <c r="X140" s="947" t="n">
        <v>41183</v>
      </c>
      <c r="Y140" s="0" t="n">
        <v>0.0582586302640724</v>
      </c>
      <c r="Z140" s="959"/>
      <c r="AA140" s="959" t="n">
        <f aca="false">YEAR(X140)</f>
        <v>2012</v>
      </c>
      <c r="AB140" s="959" t="n">
        <f aca="false">MONTH(X140)</f>
        <v>10</v>
      </c>
      <c r="AC140" s="961" t="n">
        <f aca="false">(1+Y140/2)^(-(DATE(AA141,AB141,20)-[2]TradeSum!$A$3)/182.625)</f>
        <v>0.525439736448455</v>
      </c>
      <c r="AD140" s="964"/>
    </row>
    <row r="141" customFormat="false" ht="12.75" hidden="false" customHeight="false" outlineLevel="0" collapsed="false">
      <c r="X141" s="947" t="n">
        <v>41214</v>
      </c>
      <c r="Y141" s="0" t="n">
        <v>0.0582979917051976</v>
      </c>
      <c r="Z141" s="959"/>
      <c r="AA141" s="959" t="n">
        <f aca="false">YEAR(X141)</f>
        <v>2012</v>
      </c>
      <c r="AB141" s="959" t="n">
        <f aca="false">MONTH(X141)</f>
        <v>11</v>
      </c>
      <c r="AC141" s="961" t="n">
        <f aca="false">(1+Y141/2)^(-(DATE(AA142,AB142,20)-[2]TradeSum!$A$3)/182.625)</f>
        <v>0.522741476617809</v>
      </c>
      <c r="AD141" s="964"/>
    </row>
    <row r="142" customFormat="false" ht="12.75" hidden="false" customHeight="false" outlineLevel="0" collapsed="false">
      <c r="X142" s="947" t="n">
        <v>41244</v>
      </c>
      <c r="Y142" s="0" t="n">
        <v>0.0583360834229061</v>
      </c>
      <c r="Z142" s="959"/>
      <c r="AA142" s="959" t="n">
        <f aca="false">YEAR(X142)</f>
        <v>2012</v>
      </c>
      <c r="AB142" s="959" t="n">
        <f aca="false">MONTH(X142)</f>
        <v>12</v>
      </c>
      <c r="AC142" s="961" t="n">
        <f aca="false">(1+Y142/2)^(-(DATE(AA143,AB143,20)-[2]TradeSum!$A$3)/182.625)</f>
        <v>0.519979238183503</v>
      </c>
      <c r="AD142" s="964"/>
    </row>
    <row r="143" customFormat="false" ht="12.75" hidden="false" customHeight="false" outlineLevel="0" collapsed="false">
      <c r="X143" s="947" t="n">
        <v>41275</v>
      </c>
      <c r="Y143" s="0" t="n">
        <v>0.0583754448650451</v>
      </c>
      <c r="Z143" s="959"/>
      <c r="AA143" s="959" t="n">
        <f aca="false">YEAR(X143)</f>
        <v>2013</v>
      </c>
      <c r="AB143" s="959" t="n">
        <f aca="false">MONTH(X143)</f>
        <v>1</v>
      </c>
      <c r="AC143" s="961" t="n">
        <f aca="false">(1+Y143/2)^(-(DATE(AA144,AB144,20)-[2]TradeSum!$A$3)/182.625)</f>
        <v>0.517221038850451</v>
      </c>
      <c r="AD143" s="964"/>
    </row>
    <row r="144" customFormat="false" ht="12.75" hidden="false" customHeight="false" outlineLevel="0" collapsed="false">
      <c r="X144" s="947" t="n">
        <v>41306</v>
      </c>
      <c r="Y144" s="0" t="n">
        <v>0.0584148063076992</v>
      </c>
      <c r="Z144" s="959"/>
      <c r="AA144" s="959" t="n">
        <f aca="false">YEAR(X144)</f>
        <v>2013</v>
      </c>
      <c r="AB144" s="959" t="n">
        <f aca="false">MONTH(X144)</f>
        <v>2</v>
      </c>
      <c r="AC144" s="961" t="n">
        <f aca="false">(1+Y144/2)^(-(DATE(AA145,AB145,20)-[2]TradeSum!$A$3)/182.625)</f>
        <v>0.514717497120035</v>
      </c>
      <c r="AD144" s="964"/>
    </row>
    <row r="145" customFormat="false" ht="12.75" hidden="false" customHeight="false" outlineLevel="0" collapsed="false">
      <c r="X145" s="947" t="n">
        <v>41334</v>
      </c>
      <c r="Y145" s="0" t="n">
        <v>0.0584503585789262</v>
      </c>
      <c r="Z145" s="959"/>
      <c r="AA145" s="959" t="n">
        <f aca="false">YEAR(X145)</f>
        <v>2013</v>
      </c>
      <c r="AB145" s="959" t="n">
        <f aca="false">MONTH(X145)</f>
        <v>3</v>
      </c>
      <c r="AC145" s="961" t="n">
        <f aca="false">(1+Y145/2)^(-(DATE(AA146,AB146,20)-[2]TradeSum!$A$3)/182.625)</f>
        <v>0.512002747780821</v>
      </c>
      <c r="AD145" s="964"/>
    </row>
    <row r="146" customFormat="false" ht="12.75" hidden="false" customHeight="false" outlineLevel="0" collapsed="false">
      <c r="X146" s="947" t="n">
        <v>41365</v>
      </c>
      <c r="Y146" s="0" t="n">
        <v>0.0584897200225609</v>
      </c>
      <c r="Z146" s="959"/>
      <c r="AA146" s="959" t="n">
        <f aca="false">YEAR(X146)</f>
        <v>2013</v>
      </c>
      <c r="AB146" s="959" t="n">
        <f aca="false">MONTH(X146)</f>
        <v>4</v>
      </c>
      <c r="AC146" s="961" t="n">
        <f aca="false">(1+Y146/2)^(-(DATE(AA147,AB147,20)-[2]TradeSum!$A$3)/182.625)</f>
        <v>0.509357663384883</v>
      </c>
      <c r="AD146" s="964"/>
    </row>
    <row r="147" customFormat="false" ht="12.75" hidden="false" customHeight="false" outlineLevel="0" collapsed="false">
      <c r="X147" s="947" t="n">
        <v>41395</v>
      </c>
      <c r="Y147" s="0" t="n">
        <v>0.0585278117426977</v>
      </c>
      <c r="Z147" s="959"/>
      <c r="AA147" s="959" t="n">
        <f aca="false">YEAR(X147)</f>
        <v>2013</v>
      </c>
      <c r="AB147" s="959" t="n">
        <f aca="false">MONTH(X147)</f>
        <v>5</v>
      </c>
      <c r="AC147" s="961" t="n">
        <f aca="false">(1+Y147/2)^(-(DATE(AA148,AB148,20)-[2]TradeSum!$A$3)/182.625)</f>
        <v>0.506650404025698</v>
      </c>
      <c r="AD147" s="964"/>
    </row>
    <row r="148" customFormat="false" ht="12.75" hidden="false" customHeight="false" outlineLevel="0" collapsed="false">
      <c r="X148" s="947" t="n">
        <v>41426</v>
      </c>
      <c r="Y148" s="0" t="n">
        <v>0.0585671731873458</v>
      </c>
      <c r="Z148" s="959"/>
      <c r="AA148" s="959" t="n">
        <f aca="false">YEAR(X148)</f>
        <v>2013</v>
      </c>
      <c r="AB148" s="959" t="n">
        <f aca="false">MONTH(X148)</f>
        <v>6</v>
      </c>
      <c r="AC148" s="961" t="n">
        <f aca="false">(1+Y148/2)^(-(DATE(AA149,AB149,20)-[2]TradeSum!$A$3)/182.625)</f>
        <v>0.504026644667677</v>
      </c>
      <c r="AD148" s="964"/>
    </row>
    <row r="149" customFormat="false" ht="12.75" hidden="false" customHeight="false" outlineLevel="0" collapsed="false">
      <c r="X149" s="947" t="n">
        <v>41456</v>
      </c>
      <c r="Y149" s="0" t="n">
        <v>0.0586052649084641</v>
      </c>
      <c r="Z149" s="959"/>
      <c r="AA149" s="959" t="n">
        <f aca="false">YEAR(X149)</f>
        <v>2013</v>
      </c>
      <c r="AB149" s="959" t="n">
        <f aca="false">MONTH(X149)</f>
        <v>7</v>
      </c>
      <c r="AC149" s="961" t="n">
        <f aca="false">(1+Y149/2)^(-(DATE(AA150,AB150,20)-[2]TradeSum!$A$3)/182.625)</f>
        <v>0.501341427535418</v>
      </c>
      <c r="AD149" s="964"/>
    </row>
    <row r="150" customFormat="false" ht="12.75" hidden="false" customHeight="false" outlineLevel="0" collapsed="false">
      <c r="X150" s="947" t="n">
        <v>41487</v>
      </c>
      <c r="Y150" s="0" t="n">
        <v>0.058644626354126</v>
      </c>
      <c r="Z150" s="959"/>
      <c r="AA150" s="959" t="n">
        <f aca="false">YEAR(X150)</f>
        <v>2013</v>
      </c>
      <c r="AB150" s="959" t="n">
        <f aca="false">MONTH(X150)</f>
        <v>8</v>
      </c>
      <c r="AC150" s="961" t="n">
        <f aca="false">(1+Y150/2)^(-(DATE(AA151,AB151,20)-[2]TradeSum!$A$3)/182.625)</f>
        <v>0.498659982363899</v>
      </c>
      <c r="AD150" s="964"/>
    </row>
    <row r="151" customFormat="false" ht="12.75" hidden="false" customHeight="false" outlineLevel="0" collapsed="false">
      <c r="X151" s="947" t="n">
        <v>41518</v>
      </c>
      <c r="Y151" s="0" t="n">
        <v>0.0586839878003032</v>
      </c>
      <c r="Z151" s="959"/>
      <c r="AA151" s="959" t="n">
        <f aca="false">YEAR(X151)</f>
        <v>2013</v>
      </c>
      <c r="AB151" s="959" t="n">
        <f aca="false">MONTH(X151)</f>
        <v>9</v>
      </c>
      <c r="AC151" s="961" t="n">
        <f aca="false">(1+Y151/2)^(-(DATE(AA152,AB152,20)-[2]TradeSum!$A$3)/182.625)</f>
        <v>0.496068212963219</v>
      </c>
      <c r="AD151" s="964"/>
    </row>
    <row r="152" customFormat="false" ht="12.75" hidden="false" customHeight="false" outlineLevel="0" collapsed="false">
      <c r="X152" s="947" t="n">
        <v>41548</v>
      </c>
      <c r="Y152" s="0" t="n">
        <v>0.0587220795229006</v>
      </c>
      <c r="Z152" s="959"/>
      <c r="AA152" s="959" t="n">
        <f aca="false">YEAR(X152)</f>
        <v>2013</v>
      </c>
      <c r="AB152" s="959" t="n">
        <f aca="false">MONTH(X152)</f>
        <v>10</v>
      </c>
      <c r="AC152" s="961" t="n">
        <f aca="false">(1+Y152/2)^(-(DATE(AA153,AB153,20)-[2]TradeSum!$A$3)/182.625)</f>
        <v>0.493416055115704</v>
      </c>
      <c r="AD152" s="964"/>
    </row>
    <row r="153" customFormat="false" ht="12.75" hidden="false" customHeight="false" outlineLevel="0" collapsed="false">
      <c r="X153" s="947" t="n">
        <v>41579</v>
      </c>
      <c r="Y153" s="0" t="n">
        <v>0.0587614409700912</v>
      </c>
      <c r="Z153" s="959"/>
      <c r="AA153" s="959" t="n">
        <f aca="false">YEAR(X153)</f>
        <v>2013</v>
      </c>
      <c r="AB153" s="959" t="n">
        <f aca="false">MONTH(X153)</f>
        <v>11</v>
      </c>
      <c r="AC153" s="961" t="n">
        <f aca="false">(1+Y153/2)^(-(DATE(AA154,AB154,20)-[2]TradeSum!$A$3)/182.625)</f>
        <v>0.490845381185188</v>
      </c>
      <c r="AD153" s="964"/>
    </row>
    <row r="154" customFormat="false" ht="12.75" hidden="false" customHeight="false" outlineLevel="0" collapsed="false">
      <c r="X154" s="947" t="n">
        <v>41609</v>
      </c>
      <c r="Y154" s="0" t="n">
        <v>0.0587995326936697</v>
      </c>
      <c r="Z154" s="959"/>
      <c r="AA154" s="959" t="n">
        <f aca="false">YEAR(X154)</f>
        <v>2013</v>
      </c>
      <c r="AB154" s="959" t="n">
        <f aca="false">MONTH(X154)</f>
        <v>12</v>
      </c>
      <c r="AC154" s="961" t="n">
        <f aca="false">(1+Y154/2)^(-(DATE(AA155,AB155,20)-[2]TradeSum!$A$3)/182.625)</f>
        <v>0.488215019691905</v>
      </c>
      <c r="AD154" s="964"/>
    </row>
    <row r="155" customFormat="false" ht="12.75" hidden="false" customHeight="false" outlineLevel="0" collapsed="false">
      <c r="X155" s="947" t="n">
        <v>41640</v>
      </c>
      <c r="Y155" s="0" t="n">
        <v>0.0588388941418736</v>
      </c>
      <c r="Z155" s="959"/>
      <c r="AA155" s="959" t="n">
        <f aca="false">YEAR(X155)</f>
        <v>2014</v>
      </c>
      <c r="AB155" s="959" t="n">
        <f aca="false">MONTH(X155)</f>
        <v>1</v>
      </c>
      <c r="AC155" s="961" t="n">
        <f aca="false">(1+Y155/2)^(-(DATE(AA156,AB156,20)-[2]TradeSum!$A$3)/182.625)</f>
        <v>0.485588246602717</v>
      </c>
      <c r="AD155" s="964"/>
    </row>
    <row r="156" customFormat="false" ht="12.75" hidden="false" customHeight="false" outlineLevel="0" collapsed="false">
      <c r="X156" s="947" t="n">
        <v>41671</v>
      </c>
      <c r="Y156" s="0" t="n">
        <v>0.0588782555905927</v>
      </c>
      <c r="Z156" s="959"/>
      <c r="AA156" s="959" t="n">
        <f aca="false">YEAR(X156)</f>
        <v>2014</v>
      </c>
      <c r="AB156" s="959" t="n">
        <f aca="false">MONTH(X156)</f>
        <v>2</v>
      </c>
      <c r="AC156" s="961" t="n">
        <f aca="false">(1+Y156/2)^(-(DATE(AA157,AB157,20)-[2]TradeSum!$A$3)/182.625)</f>
        <v>0.483202724356967</v>
      </c>
      <c r="AD156" s="964"/>
    </row>
    <row r="157" customFormat="false" ht="12.75" hidden="false" customHeight="false" outlineLevel="0" collapsed="false">
      <c r="X157" s="947" t="n">
        <v>41699</v>
      </c>
      <c r="Y157" s="0" t="n">
        <v>0.0589138078672984</v>
      </c>
      <c r="Z157" s="959"/>
      <c r="AA157" s="959" t="n">
        <f aca="false">YEAR(X157)</f>
        <v>2014</v>
      </c>
      <c r="AB157" s="959" t="n">
        <f aca="false">MONTH(X157)</f>
        <v>3</v>
      </c>
      <c r="AC157" s="961" t="n">
        <f aca="false">(1+Y157/2)^(-(DATE(AA158,AB158,20)-[2]TradeSum!$A$3)/182.625)</f>
        <v>0.480619280647643</v>
      </c>
      <c r="AD157" s="964"/>
    </row>
    <row r="158" customFormat="false" ht="12.75" hidden="false" customHeight="false" outlineLevel="0" collapsed="false">
      <c r="X158" s="947" t="n">
        <v>41730</v>
      </c>
      <c r="Y158" s="0" t="n">
        <v>0.0589531693169976</v>
      </c>
      <c r="Z158" s="959"/>
      <c r="AA158" s="959" t="n">
        <f aca="false">YEAR(X158)</f>
        <v>2014</v>
      </c>
      <c r="AB158" s="959" t="n">
        <f aca="false">MONTH(X158)</f>
        <v>4</v>
      </c>
      <c r="AC158" s="961" t="n">
        <f aca="false">(1+Y158/2)^(-(DATE(AA159,AB159,20)-[2]TradeSum!$A$3)/182.625)</f>
        <v>0.478100426814018</v>
      </c>
      <c r="AD158" s="964"/>
    </row>
    <row r="159" customFormat="false" ht="12.75" hidden="false" customHeight="false" outlineLevel="0" collapsed="false">
      <c r="X159" s="947" t="n">
        <v>41760</v>
      </c>
      <c r="Y159" s="0" t="n">
        <v>0.0589912610430039</v>
      </c>
      <c r="Z159" s="959"/>
      <c r="AA159" s="959" t="n">
        <f aca="false">YEAR(X159)</f>
        <v>2014</v>
      </c>
      <c r="AB159" s="959" t="n">
        <f aca="false">MONTH(X159)</f>
        <v>5</v>
      </c>
      <c r="AC159" s="961" t="n">
        <f aca="false">(1+Y159/2)^(-(DATE(AA160,AB160,20)-[2]TradeSum!$A$3)/182.625)</f>
        <v>0.475523592773844</v>
      </c>
      <c r="AD159" s="964"/>
    </row>
    <row r="160" customFormat="false" ht="12.75" hidden="false" customHeight="false" outlineLevel="0" collapsed="false">
      <c r="X160" s="947" t="n">
        <v>41791</v>
      </c>
      <c r="Y160" s="0" t="n">
        <v>0.0590306224937169</v>
      </c>
      <c r="Z160" s="959"/>
      <c r="AA160" s="959" t="n">
        <f aca="false">YEAR(X160)</f>
        <v>2014</v>
      </c>
      <c r="AB160" s="959" t="n">
        <f aca="false">MONTH(X160)</f>
        <v>6</v>
      </c>
      <c r="AC160" s="961" t="n">
        <f aca="false">(1+Y160/2)^(-(DATE(AA161,AB161,20)-[2]TradeSum!$A$3)/182.625)</f>
        <v>0.473025509796668</v>
      </c>
      <c r="AD160" s="964"/>
    </row>
    <row r="161" customFormat="false" ht="12.75" hidden="false" customHeight="false" outlineLevel="0" collapsed="false">
      <c r="X161" s="947" t="n">
        <v>41821</v>
      </c>
      <c r="Y161" s="0" t="n">
        <v>0.0590687142207038</v>
      </c>
      <c r="Z161" s="959"/>
      <c r="AA161" s="959" t="n">
        <f aca="false">YEAR(X161)</f>
        <v>2014</v>
      </c>
      <c r="AB161" s="959" t="n">
        <f aca="false">MONTH(X161)</f>
        <v>7</v>
      </c>
      <c r="AC161" s="961" t="n">
        <f aca="false">(1+Y161/2)^(-(DATE(AA162,AB162,20)-[2]TradeSum!$A$3)/182.625)</f>
        <v>0.470470125275071</v>
      </c>
      <c r="AD161" s="964"/>
    </row>
    <row r="162" customFormat="false" ht="12.75" hidden="false" customHeight="false" outlineLevel="0" collapsed="false">
      <c r="X162" s="947" t="n">
        <v>41852</v>
      </c>
      <c r="Y162" s="0" t="n">
        <v>0.0591080756724303</v>
      </c>
      <c r="Z162" s="959"/>
      <c r="AA162" s="959" t="n">
        <f aca="false">YEAR(X162)</f>
        <v>2014</v>
      </c>
      <c r="AB162" s="959" t="n">
        <f aca="false">MONTH(X162)</f>
        <v>8</v>
      </c>
      <c r="AC162" s="961" t="n">
        <f aca="false">(1+Y162/2)^(-(DATE(AA163,AB163,20)-[2]TradeSum!$A$3)/182.625)</f>
        <v>0.467918087109562</v>
      </c>
      <c r="AD162" s="964"/>
    </row>
    <row r="163" customFormat="false" ht="12.75" hidden="false" customHeight="false" outlineLevel="0" collapsed="false">
      <c r="X163" s="947" t="n">
        <v>41883</v>
      </c>
      <c r="Y163" s="0" t="n">
        <v>0.0591474371246718</v>
      </c>
      <c r="Z163" s="959"/>
      <c r="AA163" s="959" t="n">
        <f aca="false">YEAR(X163)</f>
        <v>2014</v>
      </c>
      <c r="AB163" s="959" t="n">
        <f aca="false">MONTH(X163)</f>
        <v>9</v>
      </c>
      <c r="AC163" s="961" t="n">
        <f aca="false">(1+Y163/2)^(-(DATE(AA164,AB164,20)-[2]TradeSum!$A$3)/182.625)</f>
        <v>0.465451151329354</v>
      </c>
      <c r="AD163" s="964"/>
    </row>
    <row r="164" customFormat="false" ht="12.75" hidden="false" customHeight="false" outlineLevel="0" collapsed="false">
      <c r="X164" s="947" t="n">
        <v>41913</v>
      </c>
      <c r="Y164" s="0" t="n">
        <v>0.0591855288531376</v>
      </c>
      <c r="Z164" s="959"/>
      <c r="AA164" s="959" t="n">
        <f aca="false">YEAR(X164)</f>
        <v>2014</v>
      </c>
      <c r="AB164" s="959" t="n">
        <f aca="false">MONTH(X164)</f>
        <v>10</v>
      </c>
      <c r="AC164" s="961" t="n">
        <f aca="false">(1+Y164/2)^(-(DATE(AA165,AB165,20)-[2]TradeSum!$A$3)/182.625)</f>
        <v>0.4629279256304</v>
      </c>
      <c r="AD164" s="964"/>
    </row>
    <row r="165" customFormat="false" ht="12.75" hidden="false" customHeight="false" outlineLevel="0" collapsed="false">
      <c r="X165" s="947" t="n">
        <v>41944</v>
      </c>
      <c r="Y165" s="0" t="n">
        <v>0.059224890306393</v>
      </c>
      <c r="Z165" s="959"/>
      <c r="AA165" s="959" t="n">
        <f aca="false">YEAR(X165)</f>
        <v>2014</v>
      </c>
      <c r="AB165" s="959" t="n">
        <f aca="false">MONTH(X165)</f>
        <v>11</v>
      </c>
      <c r="AC165" s="961" t="n">
        <f aca="false">(1+Y165/2)^(-(DATE(AA166,AB166,20)-[2]TradeSum!$A$3)/182.625)</f>
        <v>0.460481522069114</v>
      </c>
      <c r="AD165" s="964"/>
    </row>
    <row r="166" customFormat="false" ht="12.75" hidden="false" customHeight="false" outlineLevel="0" collapsed="false">
      <c r="X166" s="947" t="n">
        <v>41974</v>
      </c>
      <c r="Y166" s="0" t="n">
        <v>0.0592629820358392</v>
      </c>
      <c r="Z166" s="959"/>
      <c r="AA166" s="959" t="n">
        <f aca="false">YEAR(X166)</f>
        <v>2014</v>
      </c>
      <c r="AB166" s="959" t="n">
        <f aca="false">MONTH(X166)</f>
        <v>12</v>
      </c>
      <c r="AC166" s="961" t="n">
        <f aca="false">(1+Y166/2)^(-(DATE(AA167,AB167,20)-[2]TradeSum!$A$3)/182.625)</f>
        <v>0.457979491483567</v>
      </c>
      <c r="AD166" s="964"/>
    </row>
    <row r="167" customFormat="false" ht="12.75" hidden="false" customHeight="false" outlineLevel="0" collapsed="false">
      <c r="X167" s="947" t="n">
        <v>42005</v>
      </c>
      <c r="Y167" s="0" t="n">
        <v>0.0593023434901077</v>
      </c>
      <c r="Z167" s="959"/>
      <c r="AA167" s="959" t="n">
        <f aca="false">YEAR(X167)</f>
        <v>2015</v>
      </c>
      <c r="AB167" s="959" t="n">
        <f aca="false">MONTH(X167)</f>
        <v>1</v>
      </c>
      <c r="AC167" s="961" t="n">
        <f aca="false">(1+Y167/2)^(-(DATE(AA168,AB168,20)-[2]TradeSum!$A$3)/182.625)</f>
        <v>0.455480641118232</v>
      </c>
      <c r="AD167" s="964"/>
    </row>
    <row r="168" customFormat="false" ht="12.75" hidden="false" customHeight="false" outlineLevel="0" collapsed="false">
      <c r="X168" s="947" t="n">
        <v>42036</v>
      </c>
      <c r="Y168" s="0" t="n">
        <v>0.0593417049448908</v>
      </c>
      <c r="Z168" s="959"/>
      <c r="AA168" s="959" t="n">
        <f aca="false">YEAR(X168)</f>
        <v>2015</v>
      </c>
      <c r="AB168" s="959" t="n">
        <f aca="false">MONTH(X168)</f>
        <v>2</v>
      </c>
      <c r="AC168" s="961" t="n">
        <f aca="false">(1+Y168/2)^(-(DATE(AA169,AB169,20)-[2]TradeSum!$A$3)/182.625)</f>
        <v>0.453210121505226</v>
      </c>
      <c r="AD168" s="964"/>
    </row>
    <row r="169" customFormat="false" ht="12.75" hidden="false" customHeight="false" outlineLevel="0" collapsed="false">
      <c r="X169" s="947" t="n">
        <v>42064</v>
      </c>
      <c r="Y169" s="0" t="n">
        <v>0.0593772572270734</v>
      </c>
      <c r="Z169" s="959"/>
      <c r="AA169" s="959" t="n">
        <f aca="false">YEAR(X169)</f>
        <v>2015</v>
      </c>
      <c r="AB169" s="959" t="n">
        <f aca="false">MONTH(X169)</f>
        <v>3</v>
      </c>
      <c r="AC169" s="961" t="n">
        <f aca="false">(1+Y169/2)^(-(DATE(AA170,AB170,20)-[2]TradeSum!$A$3)/182.625)</f>
        <v>0.450754302256775</v>
      </c>
      <c r="AD169" s="964"/>
    </row>
    <row r="170" customFormat="false" ht="12.75" hidden="false" customHeight="false" outlineLevel="0" collapsed="false">
      <c r="X170" s="947" t="n">
        <v>42095</v>
      </c>
      <c r="Y170" s="0" t="n">
        <v>0.0594166186828362</v>
      </c>
      <c r="Z170" s="959"/>
      <c r="AA170" s="959" t="n">
        <f aca="false">YEAR(X170)</f>
        <v>2015</v>
      </c>
      <c r="AB170" s="959" t="n">
        <f aca="false">MONTH(X170)</f>
        <v>4</v>
      </c>
      <c r="AC170" s="961" t="n">
        <f aca="false">(1+Y170/2)^(-(DATE(AA171,AB171,20)-[2]TradeSum!$A$3)/182.625)</f>
        <v>0.448358309881698</v>
      </c>
      <c r="AD170" s="964"/>
    </row>
    <row r="171" customFormat="false" ht="12.75" hidden="false" customHeight="false" outlineLevel="0" collapsed="false">
      <c r="X171" s="947" t="n">
        <v>42125</v>
      </c>
      <c r="Y171" s="0" t="n">
        <v>0.0594547104147103</v>
      </c>
      <c r="Z171" s="959"/>
      <c r="AA171" s="959" t="n">
        <f aca="false">YEAR(X171)</f>
        <v>2015</v>
      </c>
      <c r="AB171" s="959" t="n">
        <f aca="false">MONTH(X171)</f>
        <v>5</v>
      </c>
      <c r="AC171" s="961" t="n">
        <f aca="false">(1+Y171/2)^(-(DATE(AA172,AB172,20)-[2]TradeSum!$A$3)/182.625)</f>
        <v>0.445908304726665</v>
      </c>
      <c r="AD171" s="964"/>
    </row>
    <row r="172" customFormat="false" ht="12.75" hidden="false" customHeight="false" outlineLevel="0" collapsed="false">
      <c r="X172" s="947" t="n">
        <v>42156</v>
      </c>
      <c r="Y172" s="0" t="n">
        <v>0.0594940718714869</v>
      </c>
      <c r="Z172" s="959"/>
      <c r="AA172" s="959" t="n">
        <f aca="false">YEAR(X172)</f>
        <v>2015</v>
      </c>
      <c r="AB172" s="959" t="n">
        <f aca="false">MONTH(X172)</f>
        <v>6</v>
      </c>
      <c r="AC172" s="961" t="n">
        <f aca="false">(1+Y172/2)^(-(DATE(AA173,AB173,20)-[2]TradeSum!$A$3)/182.625)</f>
        <v>0.443532508378463</v>
      </c>
      <c r="AD172" s="964"/>
    </row>
    <row r="173" customFormat="false" ht="12.75" hidden="false" customHeight="false" outlineLevel="0" collapsed="false">
      <c r="X173" s="947" t="n">
        <v>42186</v>
      </c>
      <c r="Y173" s="0" t="n">
        <v>0.0595321636043416</v>
      </c>
      <c r="Z173" s="959"/>
      <c r="AA173" s="959" t="n">
        <f aca="false">YEAR(X173)</f>
        <v>2015</v>
      </c>
      <c r="AB173" s="959" t="n">
        <f aca="false">MONTH(X173)</f>
        <v>7</v>
      </c>
      <c r="AC173" s="961" t="n">
        <f aca="false">(1+Y173/2)^(-(DATE(AA174,AB174,20)-[2]TradeSum!$A$3)/182.625)</f>
        <v>0.441103340674114</v>
      </c>
      <c r="AD173" s="964"/>
    </row>
    <row r="174" customFormat="false" ht="12.75" hidden="false" customHeight="false" outlineLevel="0" collapsed="false">
      <c r="X174" s="947" t="n">
        <v>42217</v>
      </c>
      <c r="Y174" s="0" t="n">
        <v>0.0595715250621312</v>
      </c>
      <c r="Z174" s="959"/>
      <c r="AA174" s="959" t="n">
        <f aca="false">YEAR(X174)</f>
        <v>2015</v>
      </c>
      <c r="AB174" s="959" t="n">
        <f aca="false">MONTH(X174)</f>
        <v>8</v>
      </c>
      <c r="AC174" s="961" t="n">
        <f aca="false">(1+Y174/2)^(-(DATE(AA175,AB175,20)-[2]TradeSum!$A$3)/182.625)</f>
        <v>0.438677134351992</v>
      </c>
      <c r="AD174" s="964"/>
    </row>
    <row r="175" customFormat="false" ht="12.75" hidden="false" customHeight="false" outlineLevel="0" collapsed="false">
      <c r="X175" s="947" t="n">
        <v>42248</v>
      </c>
      <c r="Y175" s="0" t="n">
        <v>0.0596108865204354</v>
      </c>
      <c r="Z175" s="959"/>
      <c r="AA175" s="959" t="n">
        <f aca="false">YEAR(X175)</f>
        <v>2015</v>
      </c>
      <c r="AB175" s="959" t="n">
        <f aca="false">MONTH(X175)</f>
        <v>9</v>
      </c>
      <c r="AC175" s="961" t="n">
        <f aca="false">(1+Y175/2)^(-(DATE(AA176,AB176,20)-[2]TradeSum!$A$3)/182.625)</f>
        <v>0.436331612369748</v>
      </c>
      <c r="AD175" s="964"/>
    </row>
    <row r="176" customFormat="false" ht="12.75" hidden="false" customHeight="false" outlineLevel="0" collapsed="false">
      <c r="X176" s="947" t="n">
        <v>42278</v>
      </c>
      <c r="Y176" s="0" t="n">
        <v>0.0596489782547689</v>
      </c>
      <c r="Z176" s="959"/>
      <c r="AA176" s="959" t="n">
        <f aca="false">YEAR(X176)</f>
        <v>2015</v>
      </c>
      <c r="AB176" s="959" t="n">
        <f aca="false">MONTH(X176)</f>
        <v>10</v>
      </c>
      <c r="AC176" s="961" t="n">
        <f aca="false">(1+Y176/2)^(-(DATE(AA177,AB177,20)-[2]TradeSum!$A$3)/182.625)</f>
        <v>0.4339336749058</v>
      </c>
      <c r="AD176" s="964"/>
    </row>
    <row r="177" customFormat="false" ht="12.75" hidden="false" customHeight="false" outlineLevel="0" collapsed="false">
      <c r="X177" s="947" t="n">
        <v>42309</v>
      </c>
      <c r="Y177" s="0" t="n">
        <v>0.0596883397140862</v>
      </c>
      <c r="Z177" s="959"/>
      <c r="AA177" s="959" t="n">
        <f aca="false">YEAR(X177)</f>
        <v>2015</v>
      </c>
      <c r="AB177" s="959" t="n">
        <f aca="false">MONTH(X177)</f>
        <v>11</v>
      </c>
      <c r="AC177" s="961" t="n">
        <f aca="false">(1+Y177/2)^(-(DATE(AA178,AB178,20)-[2]TradeSum!$A$3)/182.625)</f>
        <v>0.4316081026578</v>
      </c>
      <c r="AD177" s="964"/>
    </row>
    <row r="178" customFormat="false" ht="12.75" hidden="false" customHeight="false" outlineLevel="0" collapsed="false">
      <c r="X178" s="947" t="n">
        <v>42339</v>
      </c>
      <c r="Y178" s="0" t="n">
        <v>0.0597264314494002</v>
      </c>
      <c r="Z178" s="959"/>
      <c r="AA178" s="959" t="n">
        <f aca="false">YEAR(X178)</f>
        <v>2015</v>
      </c>
      <c r="AB178" s="959" t="n">
        <f aca="false">MONTH(X178)</f>
        <v>12</v>
      </c>
      <c r="AC178" s="961" t="n">
        <f aca="false">(1+Y178/2)^(-(DATE(AA179,AB179,20)-[2]TradeSum!$A$3)/182.625)</f>
        <v>0.429230741130679</v>
      </c>
      <c r="AD178" s="964"/>
    </row>
    <row r="179" customFormat="false" ht="12.75" hidden="false" customHeight="false" outlineLevel="0" collapsed="false">
      <c r="X179" s="947" t="n">
        <v>42370</v>
      </c>
      <c r="Y179" s="0" t="n">
        <v>0.0597657929097313</v>
      </c>
      <c r="Z179" s="959"/>
      <c r="AA179" s="959" t="n">
        <f aca="false">YEAR(X179)</f>
        <v>2016</v>
      </c>
      <c r="AB179" s="959" t="n">
        <f aca="false">MONTH(X179)</f>
        <v>1</v>
      </c>
      <c r="AC179" s="961" t="n">
        <f aca="false">(1+Y179/2)^(-(DATE(AA180,AB180,20)-[2]TradeSum!$A$3)/182.625)</f>
        <v>0.426856190946777</v>
      </c>
      <c r="AD179" s="964"/>
    </row>
    <row r="180" customFormat="false" ht="12.75" hidden="false" customHeight="false" outlineLevel="0" collapsed="false">
      <c r="X180" s="947" t="n">
        <v>42401</v>
      </c>
      <c r="Y180" s="0" t="n">
        <v>0.0598051543705766</v>
      </c>
      <c r="Z180" s="959"/>
      <c r="AA180" s="959" t="n">
        <f aca="false">YEAR(X180)</f>
        <v>2016</v>
      </c>
      <c r="AB180" s="959" t="n">
        <f aca="false">MONTH(X180)</f>
        <v>2</v>
      </c>
      <c r="AC180" s="961" t="n">
        <f aca="false">(1+Y180/2)^(-(DATE(AA181,AB181,20)-[2]TradeSum!$A$3)/182.625)</f>
        <v>0.424629022399003</v>
      </c>
      <c r="AD180" s="964"/>
    </row>
    <row r="181" customFormat="false" ht="12.75" hidden="false" customHeight="false" outlineLevel="0" collapsed="false">
      <c r="X181" s="947" t="n">
        <v>42430</v>
      </c>
      <c r="Y181" s="0" t="n">
        <v>0.0598419763828018</v>
      </c>
      <c r="Z181" s="959"/>
      <c r="AA181" s="959" t="n">
        <f aca="false">YEAR(X181)</f>
        <v>2016</v>
      </c>
      <c r="AB181" s="959" t="n">
        <f aca="false">MONTH(X181)</f>
        <v>3</v>
      </c>
      <c r="AC181" s="961" t="n">
        <f aca="false">(1+Y181/2)^(-(DATE(AA182,AB182,20)-[2]TradeSum!$A$3)/182.625)</f>
        <v>0.422289770241354</v>
      </c>
      <c r="AD181" s="964"/>
    </row>
    <row r="182" customFormat="false" ht="12.75" hidden="false" customHeight="false" outlineLevel="0" collapsed="false">
      <c r="X182" s="947" t="n">
        <v>42461</v>
      </c>
      <c r="Y182" s="0" t="n">
        <v>0.0598813378446437</v>
      </c>
      <c r="Z182" s="959"/>
      <c r="AA182" s="959" t="n">
        <f aca="false">YEAR(X182)</f>
        <v>2016</v>
      </c>
      <c r="AB182" s="959" t="n">
        <f aca="false">MONTH(X182)</f>
        <v>4</v>
      </c>
      <c r="AC182" s="961" t="n">
        <f aca="false">(1+Y182/2)^(-(DATE(AA183,AB183,20)-[2]TradeSum!$A$3)/182.625)</f>
        <v>0.420013477231866</v>
      </c>
      <c r="AD182" s="964"/>
    </row>
    <row r="183" customFormat="false" ht="12.75" hidden="false" customHeight="false" outlineLevel="0" collapsed="false">
      <c r="X183" s="947" t="n">
        <v>42491</v>
      </c>
      <c r="Y183" s="0" t="n">
        <v>0.0599194295824006</v>
      </c>
      <c r="Z183" s="959"/>
      <c r="AA183" s="959" t="n">
        <f aca="false">YEAR(X183)</f>
        <v>2016</v>
      </c>
      <c r="AB183" s="959" t="n">
        <f aca="false">MONTH(X183)</f>
        <v>5</v>
      </c>
      <c r="AC183" s="961" t="n">
        <f aca="false">(1+Y183/2)^(-(DATE(AA184,AB184,20)-[2]TradeSum!$A$3)/182.625)</f>
        <v>0.417686929275569</v>
      </c>
      <c r="AD183" s="964"/>
    </row>
    <row r="184" customFormat="false" ht="12.75" hidden="false" customHeight="false" outlineLevel="0" collapsed="false">
      <c r="X184" s="947" t="n">
        <v>42522</v>
      </c>
      <c r="Y184" s="0" t="n">
        <v>0.0599587910452555</v>
      </c>
      <c r="Z184" s="959"/>
      <c r="AA184" s="959" t="n">
        <f aca="false">YEAR(X184)</f>
        <v>2016</v>
      </c>
      <c r="AB184" s="959" t="n">
        <f aca="false">MONTH(X184)</f>
        <v>6</v>
      </c>
      <c r="AC184" s="961" t="n">
        <f aca="false">(1+Y184/2)^(-(DATE(AA185,AB185,20)-[2]TradeSum!$A$3)/182.625)</f>
        <v>0.415430238508904</v>
      </c>
      <c r="AD184" s="964"/>
    </row>
    <row r="185" customFormat="false" ht="12.75" hidden="false" customHeight="false" outlineLevel="0" collapsed="false">
      <c r="X185" s="947" t="n">
        <v>42552</v>
      </c>
      <c r="Y185" s="0" t="n">
        <v>0.0599968827839925</v>
      </c>
      <c r="Z185" s="959"/>
      <c r="AA185" s="959" t="n">
        <f aca="false">YEAR(X185)</f>
        <v>2016</v>
      </c>
      <c r="AB185" s="959" t="n">
        <f aca="false">MONTH(X185)</f>
        <v>7</v>
      </c>
      <c r="AC185" s="961" t="n">
        <f aca="false">(1+Y185/2)^(-(DATE(AA186,AB186,20)-[2]TradeSum!$A$3)/182.625)</f>
        <v>0.413123898192726</v>
      </c>
      <c r="AD185" s="964"/>
    </row>
    <row r="186" customFormat="false" ht="12.75" hidden="false" customHeight="false" outlineLevel="0" collapsed="false">
      <c r="X186" s="947" t="n">
        <v>42583</v>
      </c>
      <c r="Y186" s="0" t="n">
        <v>0.0600362442478604</v>
      </c>
      <c r="Z186" s="959"/>
      <c r="AA186" s="959" t="n">
        <f aca="false">YEAR(X186)</f>
        <v>2016</v>
      </c>
      <c r="AB186" s="959" t="n">
        <f aca="false">MONTH(X186)</f>
        <v>8</v>
      </c>
      <c r="AC186" s="961" t="n">
        <f aca="false">(1+Y186/2)^(-(DATE(AA187,AB187,20)-[2]TradeSum!$A$3)/182.625)</f>
        <v>0.410820170902188</v>
      </c>
      <c r="AD186" s="964"/>
    </row>
    <row r="187" customFormat="false" ht="12.75" hidden="false" customHeight="false" outlineLevel="0" collapsed="false">
      <c r="X187" s="947" t="n">
        <v>42614</v>
      </c>
      <c r="Y187" s="0" t="n">
        <v>0.0600756057122438</v>
      </c>
      <c r="Z187" s="959"/>
      <c r="AA187" s="959" t="n">
        <f aca="false">YEAR(X187)</f>
        <v>2016</v>
      </c>
      <c r="AB187" s="959" t="n">
        <f aca="false">MONTH(X187)</f>
        <v>9</v>
      </c>
      <c r="AC187" s="961" t="n">
        <f aca="false">(1+Y187/2)^(-(DATE(AA188,AB188,20)-[2]TradeSum!$A$3)/182.625)</f>
        <v>0.408592854100337</v>
      </c>
      <c r="AD187" s="964"/>
    </row>
    <row r="188" customFormat="false" ht="12.75" hidden="false" customHeight="false" outlineLevel="0" collapsed="false">
      <c r="X188" s="947" t="n">
        <v>42644</v>
      </c>
      <c r="Y188" s="0" t="n">
        <v>0.0601136974524588</v>
      </c>
      <c r="Z188" s="959"/>
      <c r="AA188" s="959" t="n">
        <f aca="false">YEAR(X188)</f>
        <v>2016</v>
      </c>
      <c r="AB188" s="959" t="n">
        <f aca="false">MONTH(X188)</f>
        <v>10</v>
      </c>
      <c r="AC188" s="961" t="n">
        <f aca="false">(1+Y188/2)^(-(DATE(AA189,AB189,20)-[2]TradeSum!$A$3)/182.625)</f>
        <v>0.406316789706035</v>
      </c>
      <c r="AD188" s="964"/>
    </row>
    <row r="189" customFormat="false" ht="12.75" hidden="false" customHeight="false" outlineLevel="0" collapsed="false">
      <c r="X189" s="947" t="n">
        <v>42675</v>
      </c>
      <c r="Y189" s="0" t="n">
        <v>0.0601530589178547</v>
      </c>
      <c r="Z189" s="959"/>
      <c r="AA189" s="959" t="n">
        <f aca="false">YEAR(X189)</f>
        <v>2016</v>
      </c>
      <c r="AB189" s="959" t="n">
        <f aca="false">MONTH(X189)</f>
        <v>11</v>
      </c>
      <c r="AC189" s="961" t="n">
        <f aca="false">(1+Y189/2)^(-(DATE(AA190,AB190,20)-[2]TradeSum!$A$3)/182.625)</f>
        <v>0.40410882254255</v>
      </c>
      <c r="AD189" s="964"/>
    </row>
    <row r="190" customFormat="false" ht="12.75" hidden="false" customHeight="false" outlineLevel="0" collapsed="false">
      <c r="X190" s="947" t="n">
        <v>42705</v>
      </c>
      <c r="Y190" s="0" t="n">
        <v>0.0601911506590507</v>
      </c>
      <c r="Z190" s="959"/>
      <c r="AA190" s="959" t="n">
        <f aca="false">YEAR(X190)</f>
        <v>2016</v>
      </c>
      <c r="AB190" s="959" t="n">
        <f aca="false">MONTH(X190)</f>
        <v>12</v>
      </c>
      <c r="AC190" s="961" t="n">
        <f aca="false">(1+Y190/2)^(-(DATE(AA191,AB191,20)-[2]TradeSum!$A$3)/182.625)</f>
        <v>0.401852698517052</v>
      </c>
      <c r="AD190" s="964"/>
    </row>
    <row r="191" customFormat="false" ht="12.75" hidden="false" customHeight="false" outlineLevel="0" collapsed="false">
      <c r="X191" s="947" t="n">
        <v>42736</v>
      </c>
      <c r="Y191" s="0" t="n">
        <v>0.0602305121254592</v>
      </c>
      <c r="Z191" s="959"/>
      <c r="AA191" s="959" t="n">
        <f aca="false">YEAR(X191)</f>
        <v>2017</v>
      </c>
      <c r="AB191" s="959" t="n">
        <f aca="false">MONTH(X191)</f>
        <v>1</v>
      </c>
      <c r="AC191" s="961" t="n">
        <f aca="false">(1+Y191/2)^(-(DATE(AA192,AB192,20)-[2]TradeSum!$A$3)/182.625)</f>
        <v>0.399599052359258</v>
      </c>
      <c r="AD191" s="964"/>
    </row>
    <row r="192" customFormat="false" ht="12.75" hidden="false" customHeight="false" outlineLevel="0" collapsed="false">
      <c r="X192" s="947" t="n">
        <v>42767</v>
      </c>
      <c r="Y192" s="0" t="n">
        <v>0.0602698735923823</v>
      </c>
      <c r="Z192" s="959"/>
      <c r="AA192" s="959" t="n">
        <f aca="false">YEAR(X192)</f>
        <v>2017</v>
      </c>
      <c r="AB192" s="959" t="n">
        <f aca="false">MONTH(X192)</f>
        <v>2</v>
      </c>
      <c r="AC192" s="961" t="n">
        <f aca="false">(1+Y192/2)^(-(DATE(AA193,AB193,20)-[2]TradeSum!$A$3)/182.625)</f>
        <v>0.39754931659794</v>
      </c>
      <c r="AD192" s="964"/>
    </row>
    <row r="193" customFormat="false" ht="12.75" hidden="false" customHeight="false" outlineLevel="0" collapsed="false">
      <c r="X193" s="947" t="n">
        <v>42795</v>
      </c>
      <c r="Y193" s="0" t="n">
        <v>0.06030542588553</v>
      </c>
      <c r="Z193" s="959"/>
      <c r="AA193" s="959" t="n">
        <f aca="false">YEAR(X193)</f>
        <v>2017</v>
      </c>
      <c r="AB193" s="959" t="n">
        <f aca="false">MONTH(X193)</f>
        <v>3</v>
      </c>
      <c r="AC193" s="961" t="n">
        <f aca="false">(1+Y193/2)^(-(DATE(AA194,AB194,20)-[2]TradeSum!$A$3)/182.625)</f>
        <v>0.395337641600172</v>
      </c>
      <c r="AD193" s="964"/>
    </row>
    <row r="194" customFormat="false" ht="12.75" hidden="false" customHeight="false" outlineLevel="0" collapsed="false">
      <c r="X194" s="947" t="n">
        <v>42826</v>
      </c>
      <c r="Y194" s="0" t="n">
        <v>0.0603447873534328</v>
      </c>
      <c r="Z194" s="959"/>
      <c r="AA194" s="959" t="n">
        <f aca="false">YEAR(X194)</f>
        <v>2017</v>
      </c>
      <c r="AB194" s="959" t="n">
        <f aca="false">MONTH(X194)</f>
        <v>4</v>
      </c>
      <c r="AC194" s="961" t="n">
        <f aca="false">(1+Y194/2)^(-(DATE(AA195,AB195,20)-[2]TradeSum!$A$3)/182.625)</f>
        <v>0.393177136035462</v>
      </c>
      <c r="AD194" s="964"/>
    </row>
    <row r="195" customFormat="false" ht="12.75" hidden="false" customHeight="false" outlineLevel="0" collapsed="false">
      <c r="X195" s="947" t="n">
        <v>42856</v>
      </c>
      <c r="Y195" s="0" t="n">
        <v>0.0603828790970549</v>
      </c>
      <c r="Z195" s="959"/>
      <c r="AA195" s="959" t="n">
        <f aca="false">YEAR(X195)</f>
        <v>2017</v>
      </c>
      <c r="AB195" s="959" t="n">
        <f aca="false">MONTH(X195)</f>
        <v>5</v>
      </c>
      <c r="AC195" s="961" t="n">
        <f aca="false">(1+Y195/2)^(-(DATE(AA196,AB196,20)-[2]TradeSum!$A$3)/182.625)</f>
        <v>0.39096991111301</v>
      </c>
      <c r="AD195" s="964"/>
    </row>
    <row r="196" customFormat="false" ht="12.75" hidden="false" customHeight="false" outlineLevel="0" collapsed="false">
      <c r="X196" s="947" t="n">
        <v>42887</v>
      </c>
      <c r="Y196" s="0" t="n">
        <v>0.0604222405659707</v>
      </c>
      <c r="Z196" s="959"/>
      <c r="AA196" s="959" t="n">
        <f aca="false">YEAR(X196)</f>
        <v>2017</v>
      </c>
      <c r="AB196" s="959" t="n">
        <f aca="false">MONTH(X196)</f>
        <v>6</v>
      </c>
      <c r="AC196" s="961" t="n">
        <f aca="false">(1+Y196/2)^(-(DATE(AA197,AB197,20)-[2]TradeSum!$A$3)/182.625)</f>
        <v>0.38882840150511</v>
      </c>
      <c r="AD196" s="964"/>
    </row>
    <row r="197" customFormat="false" ht="12.75" hidden="false" customHeight="false" outlineLevel="0" collapsed="false">
      <c r="X197" s="947" t="n">
        <v>42917</v>
      </c>
      <c r="Y197" s="0" t="n">
        <v>0.0604603323105728</v>
      </c>
      <c r="Z197" s="959"/>
      <c r="AA197" s="959" t="n">
        <f aca="false">YEAR(X197)</f>
        <v>2017</v>
      </c>
      <c r="AB197" s="959" t="n">
        <f aca="false">MONTH(X197)</f>
        <v>7</v>
      </c>
      <c r="AC197" s="961" t="n">
        <f aca="false">(1+Y197/2)^(-(DATE(AA198,AB198,20)-[2]TradeSum!$A$3)/182.625)</f>
        <v>0.386640743332498</v>
      </c>
      <c r="AD197" s="964"/>
    </row>
    <row r="198" customFormat="false" ht="12.75" hidden="false" customHeight="false" outlineLevel="0" collapsed="false">
      <c r="X198" s="947" t="n">
        <v>42948</v>
      </c>
      <c r="Y198" s="0" t="n">
        <v>0.0604996937805011</v>
      </c>
      <c r="Z198" s="959"/>
      <c r="AA198" s="959" t="n">
        <f aca="false">YEAR(X198)</f>
        <v>2017</v>
      </c>
      <c r="AB198" s="959" t="n">
        <f aca="false">MONTH(X198)</f>
        <v>8</v>
      </c>
      <c r="AC198" s="961" t="n">
        <f aca="false">(1+Y198/2)^(-(DATE(AA199,AB199,20)-[2]TradeSum!$A$3)/182.625)</f>
        <v>0.384455385397365</v>
      </c>
      <c r="AD198" s="964"/>
    </row>
    <row r="199" customFormat="false" ht="12.75" hidden="false" customHeight="false" outlineLevel="0" collapsed="false">
      <c r="X199" s="947" t="n">
        <v>42979</v>
      </c>
      <c r="Y199" s="0" t="n">
        <v>0.0605390552509442</v>
      </c>
      <c r="Z199" s="959"/>
      <c r="AA199" s="959" t="n">
        <f aca="false">YEAR(X199)</f>
        <v>2017</v>
      </c>
      <c r="AB199" s="959" t="n">
        <f aca="false">MONTH(X199)</f>
        <v>9</v>
      </c>
      <c r="AC199" s="961" t="n">
        <f aca="false">(1+Y199/2)^(-(DATE(AA200,AB200,20)-[2]TradeSum!$A$3)/182.625)</f>
        <v>0.3823423314965</v>
      </c>
      <c r="AD199" s="964"/>
    </row>
    <row r="200" customFormat="false" ht="12.75" hidden="false" customHeight="false" outlineLevel="0" collapsed="false">
      <c r="X200" s="947" t="n">
        <v>43009</v>
      </c>
      <c r="Y200" s="0" t="n">
        <v>0.0605771469970242</v>
      </c>
      <c r="Z200" s="959"/>
      <c r="AA200" s="959" t="n">
        <f aca="false">YEAR(X200)</f>
        <v>2017</v>
      </c>
      <c r="AB200" s="959" t="n">
        <f aca="false">MONTH(X200)</f>
        <v>10</v>
      </c>
      <c r="AC200" s="961" t="n">
        <f aca="false">(1+Y200/2)^(-(DATE(AA201,AB201,20)-[2]TradeSum!$A$3)/182.625)</f>
        <v>0.380183979217574</v>
      </c>
      <c r="AD200" s="964"/>
    </row>
    <row r="201" customFormat="false" ht="12.75" hidden="false" customHeight="false" outlineLevel="0" collapsed="false">
      <c r="X201" s="947" t="n">
        <v>43040</v>
      </c>
      <c r="Y201" s="0" t="n">
        <v>0.0606165084684807</v>
      </c>
      <c r="Z201" s="959"/>
      <c r="AA201" s="959" t="n">
        <f aca="false">YEAR(X201)</f>
        <v>2017</v>
      </c>
      <c r="AB201" s="959" t="n">
        <f aca="false">MONTH(X201)</f>
        <v>11</v>
      </c>
      <c r="AC201" s="961" t="n">
        <f aca="false">(1+Y201/2)^(-(DATE(AA202,AB202,20)-[2]TradeSum!$A$3)/182.625)</f>
        <v>0.378089663675333</v>
      </c>
      <c r="AD201" s="964"/>
    </row>
    <row r="202" customFormat="false" ht="12.75" hidden="false" customHeight="false" outlineLevel="0" collapsed="false">
      <c r="X202" s="947" t="n">
        <v>43070</v>
      </c>
      <c r="Y202" s="0" t="n">
        <v>0.0606546002155404</v>
      </c>
      <c r="Z202" s="959"/>
      <c r="AA202" s="959" t="n">
        <f aca="false">YEAR(X202)</f>
        <v>2017</v>
      </c>
      <c r="AB202" s="959" t="n">
        <f aca="false">MONTH(X202)</f>
        <v>12</v>
      </c>
      <c r="AC202" s="961" t="n">
        <f aca="false">(1+Y202/2)^(-(DATE(AA203,AB203,20)-[2]TradeSum!$A$3)/182.625)</f>
        <v>0.375950606437951</v>
      </c>
      <c r="AD202" s="964"/>
    </row>
    <row r="203" customFormat="false" ht="12.75" hidden="false" customHeight="false" outlineLevel="0" collapsed="false">
      <c r="X203" s="947" t="n">
        <v>43101</v>
      </c>
      <c r="Y203" s="0" t="n">
        <v>0.0606939616880089</v>
      </c>
      <c r="Z203" s="959"/>
      <c r="AA203" s="959" t="n">
        <f aca="false">YEAR(X203)</f>
        <v>2018</v>
      </c>
      <c r="AB203" s="959" t="n">
        <f aca="false">MONTH(X203)</f>
        <v>1</v>
      </c>
      <c r="AC203" s="961" t="n">
        <f aca="false">(1+Y203/2)^(-(DATE(AA204,AB204,20)-[2]TradeSum!$A$3)/182.625)</f>
        <v>0.373813727932654</v>
      </c>
      <c r="AD203" s="964"/>
    </row>
    <row r="204" customFormat="false" ht="12.75" hidden="false" customHeight="false" outlineLevel="0" collapsed="false">
      <c r="X204" s="947" t="n">
        <v>43132</v>
      </c>
      <c r="Y204" s="0" t="n">
        <v>0.0607333231609921</v>
      </c>
      <c r="Z204" s="959"/>
      <c r="AA204" s="959" t="n">
        <f aca="false">YEAR(X204)</f>
        <v>2018</v>
      </c>
      <c r="AB204" s="959" t="n">
        <f aca="false">MONTH(X204)</f>
        <v>2</v>
      </c>
      <c r="AC204" s="961" t="n">
        <f aca="false">(1+Y204/2)^(-(DATE(AA205,AB205,20)-[2]TradeSum!$A$3)/182.625)</f>
        <v>0.371869285715011</v>
      </c>
      <c r="AD204" s="964"/>
    </row>
    <row r="205" customFormat="false" ht="12.75" hidden="false" customHeight="false" outlineLevel="0" collapsed="false">
      <c r="X205" s="947" t="n">
        <v>43160</v>
      </c>
      <c r="Y205" s="0" t="n">
        <v>0.0607688754596123</v>
      </c>
      <c r="Z205" s="959"/>
      <c r="AA205" s="959" t="n">
        <f aca="false">YEAR(X205)</f>
        <v>2018</v>
      </c>
      <c r="AB205" s="959" t="n">
        <f aca="false">MONTH(X205)</f>
        <v>3</v>
      </c>
      <c r="AC205" s="961" t="n">
        <f aca="false">(1+Y205/2)^(-(DATE(AA206,AB206,20)-[2]TradeSum!$A$3)/182.625)</f>
        <v>0.369773651725255</v>
      </c>
      <c r="AD205" s="964"/>
    </row>
    <row r="206" customFormat="false" ht="12.75" hidden="false" customHeight="false" outlineLevel="0" collapsed="false">
      <c r="X206" s="947" t="n">
        <v>43191</v>
      </c>
      <c r="Y206" s="0" t="n">
        <v>0.0608082369335752</v>
      </c>
      <c r="Z206" s="959"/>
      <c r="AA206" s="959" t="n">
        <f aca="false">YEAR(X206)</f>
        <v>2018</v>
      </c>
      <c r="AB206" s="959" t="n">
        <f aca="false">MONTH(X206)</f>
        <v>4</v>
      </c>
      <c r="AC206" s="961" t="n">
        <f aca="false">(1+Y206/2)^(-(DATE(AA207,AB207,20)-[2]TradeSum!$A$3)/182.625)</f>
        <v>0.367725276858586</v>
      </c>
      <c r="AD206" s="964"/>
    </row>
    <row r="207" customFormat="false" ht="12.75" hidden="false" customHeight="false" outlineLevel="0" collapsed="false">
      <c r="X207" s="947" t="n">
        <v>43221</v>
      </c>
      <c r="Y207" s="0" t="n">
        <v>0.0608463286830609</v>
      </c>
      <c r="Z207" s="959"/>
      <c r="AA207" s="959" t="n">
        <f aca="false">YEAR(X207)</f>
        <v>2018</v>
      </c>
      <c r="AB207" s="959" t="n">
        <f aca="false">MONTH(X207)</f>
        <v>5</v>
      </c>
      <c r="AC207" s="961" t="n">
        <f aca="false">(1+Y207/2)^(-(DATE(AA208,AB208,20)-[2]TradeSum!$A$3)/182.625)</f>
        <v>0.365633514475676</v>
      </c>
      <c r="AD207" s="964"/>
    </row>
    <row r="208" customFormat="false" ht="12.75" hidden="false" customHeight="false" outlineLevel="0" collapsed="false">
      <c r="X208" s="947" t="n">
        <v>43252</v>
      </c>
      <c r="Y208" s="0" t="n">
        <v>0.0608856901580364</v>
      </c>
      <c r="Z208" s="959"/>
      <c r="AA208" s="959" t="n">
        <f aca="false">YEAR(X208)</f>
        <v>2018</v>
      </c>
      <c r="AB208" s="959" t="n">
        <f aca="false">MONTH(X208)</f>
        <v>6</v>
      </c>
      <c r="AC208" s="961" t="n">
        <f aca="false">(1+Y208/2)^(-(DATE(AA209,AB209,20)-[2]TradeSum!$A$3)/182.625)</f>
        <v>0.363603518233775</v>
      </c>
      <c r="AD208" s="964"/>
    </row>
    <row r="209" customFormat="false" ht="12.75" hidden="false" customHeight="false" outlineLevel="0" collapsed="false">
      <c r="X209" s="947" t="n">
        <v>43282</v>
      </c>
      <c r="Y209" s="0" t="n">
        <v>0.0609237819085018</v>
      </c>
      <c r="Z209" s="959"/>
      <c r="AA209" s="959" t="n">
        <f aca="false">YEAR(X209)</f>
        <v>2018</v>
      </c>
      <c r="AB209" s="959" t="n">
        <f aca="false">MONTH(X209)</f>
        <v>7</v>
      </c>
      <c r="AC209" s="961" t="n">
        <f aca="false">(1+Y209/2)^(-(DATE(AA210,AB210,20)-[2]TradeSum!$A$3)/182.625)</f>
        <v>0.361530671993963</v>
      </c>
      <c r="AD209" s="964"/>
    </row>
    <row r="210" customFormat="false" ht="12.75" hidden="false" customHeight="false" outlineLevel="0" collapsed="false">
      <c r="X210" s="947" t="n">
        <v>43313</v>
      </c>
      <c r="Y210" s="0" t="n">
        <v>0.0609631433844897</v>
      </c>
      <c r="Z210" s="959"/>
      <c r="AA210" s="959" t="n">
        <f aca="false">YEAR(X210)</f>
        <v>2018</v>
      </c>
      <c r="AB210" s="959" t="n">
        <f aca="false">MONTH(X210)</f>
        <v>8</v>
      </c>
      <c r="AC210" s="961" t="n">
        <f aca="false">(1+Y210/2)^(-(DATE(AA211,AB211,20)-[2]TradeSum!$A$3)/182.625)</f>
        <v>0.359459844987258</v>
      </c>
      <c r="AD210" s="964"/>
    </row>
    <row r="211" customFormat="false" ht="12.75" hidden="false" customHeight="false" outlineLevel="0" collapsed="false">
      <c r="X211" s="947" t="n">
        <v>43344</v>
      </c>
      <c r="Y211" s="0" t="n">
        <v>0.0610025048609915</v>
      </c>
      <c r="Z211" s="959"/>
      <c r="AA211" s="959" t="n">
        <f aca="false">YEAR(X211)</f>
        <v>2018</v>
      </c>
      <c r="AB211" s="959" t="n">
        <f aca="false">MONTH(X211)</f>
        <v>9</v>
      </c>
      <c r="AC211" s="961" t="n">
        <f aca="false">(1+Y211/2)^(-(DATE(AA212,AB212,20)-[2]TradeSum!$A$3)/182.625)</f>
        <v>0.357457370472143</v>
      </c>
      <c r="AD211" s="964"/>
    </row>
    <row r="212" customFormat="false" ht="12.75" hidden="false" customHeight="false" outlineLevel="0" collapsed="false">
      <c r="X212" s="947" t="n">
        <v>43374</v>
      </c>
      <c r="Y212" s="0" t="n">
        <v>0.0610405966129353</v>
      </c>
      <c r="Z212" s="959"/>
      <c r="AA212" s="959" t="n">
        <f aca="false">YEAR(X212)</f>
        <v>2018</v>
      </c>
      <c r="AB212" s="959" t="n">
        <f aca="false">MONTH(X212)</f>
        <v>10</v>
      </c>
      <c r="AC212" s="961" t="n">
        <f aca="false">(1+Y212/2)^(-(DATE(AA213,AB213,20)-[2]TradeSum!$A$3)/182.625)</f>
        <v>0.355412846381898</v>
      </c>
      <c r="AD212" s="964"/>
    </row>
    <row r="213" customFormat="false" ht="12.75" hidden="false" customHeight="false" outlineLevel="0" collapsed="false">
      <c r="X213" s="947" t="n">
        <v>43405</v>
      </c>
      <c r="Y213" s="0" t="n">
        <v>0.0610799580904495</v>
      </c>
      <c r="Z213" s="959"/>
      <c r="AA213" s="959" t="n">
        <f aca="false">YEAR(X213)</f>
        <v>2018</v>
      </c>
      <c r="AB213" s="959" t="n">
        <f aca="false">MONTH(X213)</f>
        <v>11</v>
      </c>
      <c r="AC213" s="961" t="n">
        <f aca="false">(1+Y213/2)^(-(DATE(AA214,AB214,20)-[2]TradeSum!$A$3)/182.625)</f>
        <v>0.353428489136107</v>
      </c>
      <c r="AD213" s="964"/>
    </row>
    <row r="214" customFormat="false" ht="12.75" hidden="false" customHeight="false" outlineLevel="0" collapsed="false">
      <c r="X214" s="947" t="n">
        <v>43435</v>
      </c>
      <c r="Y214" s="0" t="n">
        <v>0.061118049843373</v>
      </c>
      <c r="Z214" s="959"/>
      <c r="AA214" s="959" t="n">
        <f aca="false">YEAR(X214)</f>
        <v>2018</v>
      </c>
      <c r="AB214" s="959" t="n">
        <f aca="false">MONTH(X214)</f>
        <v>12</v>
      </c>
      <c r="AC214" s="961" t="n">
        <f aca="false">(1+Y214/2)^(-(DATE(AA215,AB215,20)-[2]TradeSum!$A$3)/182.625)</f>
        <v>0.351402606281624</v>
      </c>
      <c r="AD214" s="964"/>
    </row>
    <row r="215" customFormat="false" ht="12.75" hidden="false" customHeight="false" outlineLevel="0" collapsed="false">
      <c r="X215" s="947" t="n">
        <v>43466</v>
      </c>
      <c r="Y215" s="0" t="n">
        <v>0.0611574113219002</v>
      </c>
      <c r="Z215" s="959"/>
      <c r="AA215" s="959" t="n">
        <f aca="false">YEAR(X215)</f>
        <v>2019</v>
      </c>
      <c r="AB215" s="959" t="n">
        <f aca="false">MONTH(X215)</f>
        <v>1</v>
      </c>
      <c r="AC215" s="961" t="n">
        <f aca="false">(1+Y215/2)^(-(DATE(AA216,AB216,20)-[2]TradeSum!$A$3)/182.625)</f>
        <v>0.349378633688703</v>
      </c>
      <c r="AD215" s="964"/>
    </row>
    <row r="216" customFormat="false" ht="12.75" hidden="false" customHeight="false" outlineLevel="0" collapsed="false">
      <c r="X216" s="947" t="n">
        <v>43497</v>
      </c>
      <c r="Y216" s="0" t="n">
        <v>0.0611967728009417</v>
      </c>
      <c r="Z216" s="959"/>
      <c r="AA216" s="959" t="n">
        <f aca="false">YEAR(X216)</f>
        <v>2019</v>
      </c>
      <c r="AB216" s="959" t="n">
        <f aca="false">MONTH(X216)</f>
        <v>2</v>
      </c>
      <c r="AC216" s="961" t="n">
        <f aca="false">(1+Y216/2)^(-(DATE(AA217,AB217,20)-[2]TradeSum!$A$3)/182.625)</f>
        <v>0.347536095629141</v>
      </c>
      <c r="AD216" s="964"/>
    </row>
    <row r="217" customFormat="false" ht="12.75" hidden="false" customHeight="false" outlineLevel="0" collapsed="false">
      <c r="X217" s="947" t="n">
        <v>43525</v>
      </c>
      <c r="Y217" s="0" t="n">
        <v>0.0612323251050344</v>
      </c>
      <c r="Z217" s="959"/>
      <c r="AA217" s="959" t="n">
        <f aca="false">YEAR(X217)</f>
        <v>2019</v>
      </c>
      <c r="AB217" s="959" t="n">
        <f aca="false">MONTH(X217)</f>
        <v>3</v>
      </c>
      <c r="AC217" s="961" t="n">
        <f aca="false">(1+Y217/2)^(-(DATE(AA218,AB218,20)-[2]TradeSum!$A$3)/182.625)</f>
        <v>0.345552530368686</v>
      </c>
      <c r="AD217" s="964"/>
    </row>
    <row r="218" customFormat="false" ht="12.75" hidden="false" customHeight="false" outlineLevel="0" collapsed="false">
      <c r="X218" s="947" t="n">
        <v>43556</v>
      </c>
      <c r="Y218" s="0" t="n">
        <v>0.0612716865850547</v>
      </c>
      <c r="Z218" s="959"/>
      <c r="AA218" s="959" t="n">
        <f aca="false">YEAR(X218)</f>
        <v>2019</v>
      </c>
      <c r="AB218" s="959" t="n">
        <f aca="false">MONTH(X218)</f>
        <v>4</v>
      </c>
      <c r="AC218" s="961" t="n">
        <f aca="false">(1+Y218/2)^(-(DATE(AA219,AB219,20)-[2]TradeSum!$A$3)/182.625)</f>
        <v>0.343612570671702</v>
      </c>
      <c r="AD218" s="964"/>
    </row>
    <row r="219" customFormat="false" ht="12.75" hidden="false" customHeight="false" outlineLevel="0" collapsed="false">
      <c r="X219" s="947" t="n">
        <v>43586</v>
      </c>
      <c r="Y219" s="0" t="n">
        <v>0.0613097783404033</v>
      </c>
      <c r="Z219" s="959"/>
      <c r="AA219" s="959" t="n">
        <f aca="false">YEAR(X219)</f>
        <v>2019</v>
      </c>
      <c r="AB219" s="959" t="n">
        <f aca="false">MONTH(X219)</f>
        <v>5</v>
      </c>
      <c r="AC219" s="961" t="n">
        <f aca="false">(1+Y219/2)^(-(DATE(AA220,AB220,20)-[2]TradeSum!$A$3)/182.625)</f>
        <v>0.341632359515542</v>
      </c>
      <c r="AD219" s="964"/>
    </row>
    <row r="220" customFormat="false" ht="12.75" hidden="false" customHeight="false" outlineLevel="0" collapsed="false">
      <c r="X220" s="947" t="n">
        <v>43617</v>
      </c>
      <c r="Y220" s="0" t="n">
        <v>0.0613491398214365</v>
      </c>
      <c r="Z220" s="959"/>
      <c r="AA220" s="959" t="n">
        <f aca="false">YEAR(X220)</f>
        <v>2019</v>
      </c>
      <c r="AB220" s="959" t="n">
        <f aca="false">MONTH(X220)</f>
        <v>6</v>
      </c>
      <c r="AC220" s="961" t="n">
        <f aca="false">(1+Y220/2)^(-(DATE(AA221,AB221,20)-[2]TradeSum!$A$3)/182.625)</f>
        <v>0.339710152970317</v>
      </c>
      <c r="AD220" s="964"/>
    </row>
    <row r="221" customFormat="false" ht="12.75" hidden="false" customHeight="false" outlineLevel="0" collapsed="false">
      <c r="X221" s="947" t="n">
        <v>43647</v>
      </c>
      <c r="Y221" s="0" t="n">
        <v>0.0613872315777648</v>
      </c>
      <c r="Z221" s="959"/>
      <c r="AA221" s="959" t="n">
        <f aca="false">YEAR(X221)</f>
        <v>2019</v>
      </c>
      <c r="AB221" s="959" t="n">
        <f aca="false">MONTH(X221)</f>
        <v>7</v>
      </c>
      <c r="AC221" s="961" t="n">
        <f aca="false">(1+Y221/2)^(-(DATE(AA222,AB222,20)-[2]TradeSum!$A$3)/182.625)</f>
        <v>0.337748200541092</v>
      </c>
      <c r="AD221" s="964"/>
    </row>
    <row r="222" customFormat="false" ht="12.75" hidden="false" customHeight="false" outlineLevel="0" collapsed="false">
      <c r="X222" s="947" t="n">
        <v>43678</v>
      </c>
      <c r="Y222" s="0" t="n">
        <v>0.0614265930598101</v>
      </c>
      <c r="Z222" s="959"/>
      <c r="AA222" s="959" t="n">
        <f aca="false">YEAR(X222)</f>
        <v>2019</v>
      </c>
      <c r="AB222" s="959" t="n">
        <f aca="false">MONTH(X222)</f>
        <v>8</v>
      </c>
      <c r="AC222" s="961" t="n">
        <f aca="false">(1+Y222/2)^(-(DATE(AA223,AB223,20)-[2]TradeSum!$A$3)/182.625)</f>
        <v>0.335788015501692</v>
      </c>
      <c r="AD222" s="964"/>
    </row>
    <row r="223" customFormat="false" ht="12.75" hidden="false" customHeight="false" outlineLevel="0" collapsed="false">
      <c r="X223" s="947" t="n">
        <v>43709</v>
      </c>
      <c r="Y223" s="0" t="n">
        <v>0.0614659545423697</v>
      </c>
      <c r="Z223" s="959"/>
      <c r="AA223" s="959" t="n">
        <f aca="false">YEAR(X223)</f>
        <v>2019</v>
      </c>
      <c r="AB223" s="959" t="n">
        <f aca="false">MONTH(X223)</f>
        <v>9</v>
      </c>
      <c r="AC223" s="961" t="n">
        <f aca="false">(1+Y223/2)^(-(DATE(AA224,AB224,20)-[2]TradeSum!$A$3)/182.625)</f>
        <v>0.333892385313106</v>
      </c>
      <c r="AD223" s="964"/>
    </row>
    <row r="224" customFormat="false" ht="12.75" hidden="false" customHeight="false" outlineLevel="0" collapsed="false">
      <c r="X224" s="947" t="n">
        <v>43739</v>
      </c>
      <c r="Y224" s="0" t="n">
        <v>0.0615040463001755</v>
      </c>
      <c r="Z224" s="959"/>
      <c r="AA224" s="959" t="n">
        <f aca="false">YEAR(X224)</f>
        <v>2019</v>
      </c>
      <c r="AB224" s="959" t="n">
        <f aca="false">MONTH(X224)</f>
        <v>10</v>
      </c>
      <c r="AC224" s="961" t="n">
        <f aca="false">(1+Y224/2)^(-(DATE(AA225,AB225,20)-[2]TradeSum!$A$3)/182.625)</f>
        <v>0.33195776190727</v>
      </c>
      <c r="AD224" s="964"/>
    </row>
    <row r="225" customFormat="false" ht="12.75" hidden="false" customHeight="false" outlineLevel="0" collapsed="false">
      <c r="X225" s="947" t="n">
        <v>43770</v>
      </c>
      <c r="Y225" s="0" t="n">
        <v>0.0615434077837476</v>
      </c>
      <c r="Z225" s="959"/>
      <c r="AA225" s="959" t="n">
        <f aca="false">YEAR(X225)</f>
        <v>2019</v>
      </c>
      <c r="AB225" s="959" t="n">
        <f aca="false">MONTH(X225)</f>
        <v>11</v>
      </c>
      <c r="AC225" s="961" t="n">
        <f aca="false">(1+Y225/2)^(-(DATE(AA226,AB226,20)-[2]TradeSum!$A$3)/182.625)</f>
        <v>0.33007962092923</v>
      </c>
      <c r="AD225" s="964"/>
    </row>
    <row r="226" customFormat="false" ht="12.75" hidden="false" customHeight="false" outlineLevel="0" collapsed="false">
      <c r="X226" s="947" t="n">
        <v>43800</v>
      </c>
      <c r="Y226" s="0" t="n">
        <v>0.0615814995425326</v>
      </c>
      <c r="Z226" s="959"/>
      <c r="AA226" s="959" t="n">
        <f aca="false">YEAR(X226)</f>
        <v>2019</v>
      </c>
      <c r="AB226" s="959" t="n">
        <f aca="false">MONTH(X226)</f>
        <v>12</v>
      </c>
      <c r="AC226" s="961" t="n">
        <f aca="false">(1+Y226/2)^(-(DATE(AA227,AB227,20)-[2]TradeSum!$A$3)/182.625)</f>
        <v>0.328162979314702</v>
      </c>
      <c r="AD226" s="964"/>
    </row>
    <row r="227" customFormat="false" ht="12.75" hidden="false" customHeight="false" outlineLevel="0" collapsed="false">
      <c r="X227" s="947" t="n">
        <v>43831</v>
      </c>
      <c r="Y227" s="0" t="n">
        <v>0.0616208610271167</v>
      </c>
      <c r="Z227" s="959"/>
      <c r="AA227" s="959" t="n">
        <f aca="false">YEAR(X227)</f>
        <v>2020</v>
      </c>
      <c r="AB227" s="959" t="n">
        <f aca="false">MONTH(X227)</f>
        <v>1</v>
      </c>
      <c r="AC227" s="961" t="n">
        <f aca="false">(1+Y227/2)^(-(DATE(AA228,AB228,20)-[2]TradeSum!$A$3)/182.625)</f>
        <v>0.326248007599791</v>
      </c>
      <c r="AD227" s="964"/>
    </row>
    <row r="228" customFormat="false" ht="12.75" hidden="false" customHeight="false" outlineLevel="0" collapsed="false">
      <c r="X228" s="947" t="n">
        <v>43862</v>
      </c>
      <c r="Y228" s="0" t="n">
        <v>0.0616602225122151</v>
      </c>
      <c r="Z228" s="959"/>
      <c r="AA228" s="959" t="n">
        <f aca="false">YEAR(X228)</f>
        <v>2020</v>
      </c>
      <c r="AB228" s="959" t="n">
        <f aca="false">MONTH(X228)</f>
        <v>2</v>
      </c>
      <c r="AC228" s="961" t="n">
        <f aca="false">(1+Y228/2)^(-(DATE(AA229,AB229,20)-[2]TradeSum!$A$3)/182.625)</f>
        <v>0.32444998496645</v>
      </c>
      <c r="AD228" s="964"/>
    </row>
    <row r="229" customFormat="false" ht="12.75" hidden="false" customHeight="false" outlineLevel="0" collapsed="false">
      <c r="X229" s="947" t="n">
        <v>43891</v>
      </c>
      <c r="Y229" s="0" t="n">
        <v>0.0616970445471283</v>
      </c>
      <c r="Z229" s="959"/>
      <c r="AA229" s="959" t="n">
        <f aca="false">YEAR(X229)</f>
        <v>2020</v>
      </c>
      <c r="AB229" s="959" t="n">
        <f aca="false">MONTH(X229)</f>
        <v>3</v>
      </c>
      <c r="AC229" s="961" t="n">
        <f aca="false">(1+Y229/2)^(-(DATE(AA230,AB230,20)-[2]TradeSum!$A$3)/182.625)</f>
        <v>0.32256737065976</v>
      </c>
      <c r="AD229" s="964"/>
    </row>
    <row r="230" customFormat="false" ht="12.75" hidden="false" customHeight="false" outlineLevel="0" collapsed="false">
      <c r="X230" s="947" t="n">
        <v>43922</v>
      </c>
      <c r="Y230" s="0" t="n">
        <v>0.061736406033222</v>
      </c>
      <c r="Z230" s="959"/>
      <c r="AA230" s="959" t="n">
        <f aca="false">YEAR(X230)</f>
        <v>2020</v>
      </c>
      <c r="AB230" s="959" t="n">
        <f aca="false">MONTH(X230)</f>
        <v>4</v>
      </c>
      <c r="AC230" s="961" t="n">
        <f aca="false">(1+Y230/2)^(-(DATE(AA231,AB231,20)-[2]TradeSum!$A$3)/182.625)</f>
        <v>0.320732350363463</v>
      </c>
      <c r="AD230" s="964"/>
    </row>
    <row r="231" customFormat="false" ht="12.75" hidden="false" customHeight="false" outlineLevel="0" collapsed="false">
      <c r="X231" s="947" t="n">
        <v>43952</v>
      </c>
      <c r="Y231" s="0" t="n">
        <v>0.0617744977944481</v>
      </c>
      <c r="Z231" s="959"/>
      <c r="AA231" s="959" t="n">
        <f aca="false">YEAR(X231)</f>
        <v>2020</v>
      </c>
      <c r="AB231" s="959" t="n">
        <f aca="false">MONTH(X231)</f>
        <v>5</v>
      </c>
      <c r="AC231" s="961" t="n">
        <f aca="false">(1+Y231/2)^(-(DATE(AA232,AB232,20)-[2]TradeSum!$A$3)/182.625)</f>
        <v>0.318860034669074</v>
      </c>
      <c r="AD231" s="964"/>
    </row>
    <row r="232" customFormat="false" ht="12.75" hidden="false" customHeight="false" outlineLevel="0" collapsed="false">
      <c r="X232" s="947" t="n">
        <v>43983</v>
      </c>
      <c r="Y232" s="0" t="n">
        <v>0.0618138592815542</v>
      </c>
      <c r="Z232" s="959"/>
      <c r="AA232" s="959" t="n">
        <f aca="false">YEAR(X232)</f>
        <v>2020</v>
      </c>
      <c r="AB232" s="959" t="n">
        <f aca="false">MONTH(X232)</f>
        <v>6</v>
      </c>
      <c r="AC232" s="961" t="n">
        <f aca="false">(1+Y232/2)^(-(DATE(AA233,AB233,20)-[2]TradeSum!$A$3)/182.625)</f>
        <v>0.317042134925859</v>
      </c>
      <c r="AD232" s="964"/>
    </row>
    <row r="233" customFormat="false" ht="12.75" hidden="false" customHeight="false" outlineLevel="0" collapsed="false">
      <c r="X233" s="947" t="n">
        <v>44013</v>
      </c>
      <c r="Y233" s="0" t="n">
        <v>0.0618519510437596</v>
      </c>
      <c r="Z233" s="959"/>
      <c r="AA233" s="959" t="n">
        <f aca="false">YEAR(X233)</f>
        <v>2020</v>
      </c>
      <c r="AB233" s="959" t="n">
        <f aca="false">MONTH(X233)</f>
        <v>7</v>
      </c>
      <c r="AC233" s="961" t="n">
        <f aca="false">(1+Y233/2)^(-(DATE(AA234,AB234,20)-[2]TradeSum!$A$3)/182.625)</f>
        <v>0.315187414662823</v>
      </c>
      <c r="AD233" s="964"/>
    </row>
    <row r="234" customFormat="false" ht="12.75" hidden="false" customHeight="false" outlineLevel="0" collapsed="false">
      <c r="X234" s="947" t="n">
        <v>44044</v>
      </c>
      <c r="Y234" s="0" t="n">
        <v>0.0618913125318778</v>
      </c>
      <c r="Z234" s="959"/>
      <c r="AA234" s="959" t="n">
        <f aca="false">YEAR(X234)</f>
        <v>2020</v>
      </c>
      <c r="AB234" s="959" t="n">
        <f aca="false">MONTH(X234)</f>
        <v>8</v>
      </c>
      <c r="AC234" s="961" t="n">
        <f aca="false">(1+Y234/2)^(-(DATE(AA235,AB235,20)-[2]TradeSum!$A$3)/182.625)</f>
        <v>0.313334236059303</v>
      </c>
      <c r="AD234" s="964"/>
    </row>
    <row r="235" customFormat="false" ht="12.75" hidden="false" customHeight="false" outlineLevel="0" collapsed="false">
      <c r="X235" s="947" t="n">
        <v>44075</v>
      </c>
      <c r="Y235" s="0" t="n">
        <v>0.0619306740205103</v>
      </c>
      <c r="Z235" s="959"/>
      <c r="AA235" s="959" t="n">
        <f aca="false">YEAR(X235)</f>
        <v>2020</v>
      </c>
      <c r="AB235" s="959" t="n">
        <f aca="false">MONTH(X235)</f>
        <v>9</v>
      </c>
      <c r="AC235" s="961" t="n">
        <f aca="false">(1+Y235/2)^(-(DATE(AA236,AB236,20)-[2]TradeSum!$A$3)/182.625)</f>
        <v>0.311541957391492</v>
      </c>
      <c r="AD235" s="964"/>
    </row>
    <row r="236" customFormat="false" ht="12.75" hidden="false" customHeight="false" outlineLevel="0" collapsed="false">
      <c r="X236" s="947" t="n">
        <v>44105</v>
      </c>
      <c r="Y236" s="0" t="n">
        <v>0.0619687657841928</v>
      </c>
      <c r="Z236" s="959"/>
      <c r="AA236" s="959" t="n">
        <f aca="false">YEAR(X236)</f>
        <v>2020</v>
      </c>
      <c r="AB236" s="959" t="n">
        <f aca="false">MONTH(X236)</f>
        <v>10</v>
      </c>
      <c r="AC236" s="961" t="n">
        <f aca="false">(1+Y236/2)^(-(DATE(AA237,AB237,20)-[2]TradeSum!$A$3)/182.625)</f>
        <v>0.30971356499333</v>
      </c>
      <c r="AD236" s="964"/>
    </row>
    <row r="237" customFormat="false" ht="12.75" hidden="false" customHeight="false" outlineLevel="0" collapsed="false">
      <c r="X237" s="947" t="n">
        <v>44136</v>
      </c>
      <c r="Y237" s="0" t="n">
        <v>0.0620081272738373</v>
      </c>
      <c r="Z237" s="959"/>
      <c r="AA237" s="959" t="n">
        <f aca="false">YEAR(X237)</f>
        <v>2020</v>
      </c>
      <c r="AB237" s="959" t="n">
        <f aca="false">MONTH(X237)</f>
        <v>11</v>
      </c>
      <c r="AC237" s="961" t="n">
        <f aca="false">(1+Y237/2)^(-(DATE(AA238,AB238,20)-[2]TradeSum!$A$3)/182.625)</f>
        <v>0.307938141453668</v>
      </c>
      <c r="AD237" s="964"/>
    </row>
    <row r="238" customFormat="false" ht="12.75" hidden="false" customHeight="false" outlineLevel="0" collapsed="false">
      <c r="X238" s="947" t="n">
        <v>44166</v>
      </c>
      <c r="Y238" s="0" t="n">
        <v>0.0620462190384989</v>
      </c>
      <c r="Z238" s="959"/>
      <c r="AA238" s="959" t="n">
        <f aca="false">YEAR(X238)</f>
        <v>2020</v>
      </c>
      <c r="AB238" s="959" t="n">
        <f aca="false">MONTH(X238)</f>
        <v>12</v>
      </c>
      <c r="AC238" s="961" t="n">
        <f aca="false">(1+Y238/2)^(-(DATE(AA239,AB239,20)-[2]TradeSum!$A$3)/182.625)</f>
        <v>0.306127066623687</v>
      </c>
      <c r="AD238" s="964"/>
    </row>
    <row r="239" customFormat="false" ht="12.75" hidden="false" customHeight="false" outlineLevel="0" collapsed="false">
      <c r="X239" s="947" t="n">
        <v>44197</v>
      </c>
      <c r="Y239" s="0" t="n">
        <v>0.0620855805291556</v>
      </c>
      <c r="Z239" s="959"/>
      <c r="AA239" s="959" t="n">
        <f aca="false">YEAR(X239)</f>
        <v>2021</v>
      </c>
      <c r="AB239" s="959" t="n">
        <f aca="false">MONTH(X239)</f>
        <v>1</v>
      </c>
      <c r="AC239" s="961" t="n">
        <f aca="false">(1+Y239/2)^(-(DATE(AA240,AB240,20)-[2]TradeSum!$A$3)/182.625)</f>
        <v>0.304317446484015</v>
      </c>
      <c r="AD239" s="964"/>
    </row>
    <row r="240" customFormat="false" ht="12.75" hidden="false" customHeight="false" outlineLevel="0" collapsed="false">
      <c r="X240" s="947" t="n">
        <v>44228</v>
      </c>
      <c r="Y240" s="0" t="n">
        <v>0.0621249420203265</v>
      </c>
      <c r="Z240" s="959"/>
      <c r="AA240" s="959" t="n">
        <f aca="false">YEAR(X240)</f>
        <v>2021</v>
      </c>
      <c r="AB240" s="959" t="n">
        <f aca="false">MONTH(X240)</f>
        <v>2</v>
      </c>
      <c r="AC240" s="961" t="n">
        <f aca="false">(1+Y240/2)^(-(DATE(AA241,AB241,20)-[2]TradeSum!$A$3)/182.625)</f>
        <v>0.3026686208087</v>
      </c>
      <c r="AD240" s="964"/>
    </row>
    <row r="241" customFormat="false" ht="12.75" hidden="false" customHeight="false" outlineLevel="0" collapsed="false">
      <c r="X241" s="947" t="n">
        <v>44256</v>
      </c>
      <c r="Y241" s="0" t="n">
        <v>0.0621604943353744</v>
      </c>
      <c r="Z241" s="959"/>
      <c r="AA241" s="959" t="n">
        <f aca="false">YEAR(X241)</f>
        <v>2021</v>
      </c>
      <c r="AB241" s="959" t="n">
        <f aca="false">MONTH(X241)</f>
        <v>3</v>
      </c>
      <c r="AC241" s="961" t="n">
        <f aca="false">(1+Y241/2)^(-(DATE(AA242,AB242,20)-[2]TradeSum!$A$3)/182.625)</f>
        <v>0.300897456656622</v>
      </c>
      <c r="AD241" s="964"/>
    </row>
    <row r="242" customFormat="false" ht="12.75" hidden="false" customHeight="false" outlineLevel="0" collapsed="false">
      <c r="X242" s="947" t="n">
        <v>44287</v>
      </c>
      <c r="Y242" s="0" t="n">
        <v>0.0621998558275241</v>
      </c>
      <c r="Z242" s="959"/>
      <c r="AA242" s="959" t="n">
        <f aca="false">YEAR(X242)</f>
        <v>2021</v>
      </c>
      <c r="AB242" s="959" t="n">
        <f aca="false">MONTH(X242)</f>
        <v>4</v>
      </c>
      <c r="AC242" s="961" t="n">
        <f aca="false">(1+Y242/2)^(-(DATE(AA243,AB243,20)-[2]TradeSum!$A$3)/182.625)</f>
        <v>0.299163300777643</v>
      </c>
      <c r="AD242" s="964"/>
    </row>
    <row r="243" customFormat="false" ht="12.75" hidden="false" customHeight="false" outlineLevel="0" collapsed="false">
      <c r="X243" s="947" t="n">
        <v>44317</v>
      </c>
      <c r="Y243" s="0" t="n">
        <v>0.0622379475946095</v>
      </c>
      <c r="Z243" s="959"/>
      <c r="AA243" s="959" t="n">
        <f aca="false">YEAR(X243)</f>
        <v>2021</v>
      </c>
      <c r="AB243" s="959" t="n">
        <f aca="false">MONTH(X243)</f>
        <v>5</v>
      </c>
      <c r="AC243" s="961" t="n">
        <f aca="false">(1+Y243/2)^(-(DATE(AA244,AB244,20)-[2]TradeSum!$A$3)/182.625)</f>
        <v>0.297394617360622</v>
      </c>
      <c r="AD243" s="964"/>
    </row>
    <row r="244" customFormat="false" ht="12.75" hidden="false" customHeight="false" outlineLevel="0" collapsed="false">
      <c r="X244" s="947" t="n">
        <v>44348</v>
      </c>
      <c r="Y244" s="0" t="n">
        <v>0.0622773090877713</v>
      </c>
      <c r="Z244" s="959"/>
      <c r="AA244" s="959" t="n">
        <f aca="false">YEAR(X244)</f>
        <v>2021</v>
      </c>
      <c r="AB244" s="959" t="n">
        <f aca="false">MONTH(X244)</f>
        <v>6</v>
      </c>
      <c r="AC244" s="961" t="n">
        <f aca="false">(1+Y244/2)^(-(DATE(AA245,AB245,20)-[2]TradeSum!$A$3)/182.625)</f>
        <v>0.295676948361123</v>
      </c>
      <c r="AD244" s="964"/>
    </row>
    <row r="245" customFormat="false" ht="12.75" hidden="false" customHeight="false" outlineLevel="0" collapsed="false">
      <c r="X245" s="947" t="n">
        <v>44378</v>
      </c>
      <c r="Y245" s="0" t="n">
        <v>0.0623154008558364</v>
      </c>
      <c r="Z245" s="959"/>
      <c r="AA245" s="959" t="n">
        <f aca="false">YEAR(X245)</f>
        <v>2021</v>
      </c>
      <c r="AB245" s="959" t="n">
        <f aca="false">MONTH(X245)</f>
        <v>7</v>
      </c>
      <c r="AC245" s="961" t="n">
        <f aca="false">(1+Y245/2)^(-(DATE(AA246,AB246,20)-[2]TradeSum!$A$3)/182.625)</f>
        <v>0.293925197410852</v>
      </c>
      <c r="AD245" s="964"/>
    </row>
    <row r="246" customFormat="false" ht="12.75" hidden="false" customHeight="false" outlineLevel="0" collapsed="false">
      <c r="X246" s="947" t="n">
        <v>44409</v>
      </c>
      <c r="Y246" s="0" t="n">
        <v>0.0623547623500098</v>
      </c>
      <c r="Z246" s="959"/>
      <c r="AA246" s="959" t="n">
        <f aca="false">YEAR(X246)</f>
        <v>2021</v>
      </c>
      <c r="AB246" s="959" t="n">
        <f aca="false">MONTH(X246)</f>
        <v>8</v>
      </c>
      <c r="AC246" s="961" t="n">
        <f aca="false">(1+Y246/2)^(-(DATE(AA247,AB247,20)-[2]TradeSum!$A$3)/182.625)</f>
        <v>0.292174787418614</v>
      </c>
      <c r="AD246" s="964"/>
    </row>
    <row r="247" customFormat="false" ht="12.75" hidden="false" customHeight="false" outlineLevel="0" collapsed="false">
      <c r="X247" s="947" t="n">
        <v>44440</v>
      </c>
      <c r="Y247" s="0" t="n">
        <v>0.062394123844697</v>
      </c>
      <c r="Z247" s="959"/>
      <c r="AA247" s="959" t="n">
        <f aca="false">YEAR(X247)</f>
        <v>2021</v>
      </c>
      <c r="AB247" s="959" t="n">
        <f aca="false">MONTH(X247)</f>
        <v>9</v>
      </c>
      <c r="AC247" s="961" t="n">
        <f aca="false">(1+Y247/2)^(-(DATE(AA248,AB248,20)-[2]TradeSum!$A$3)/182.625)</f>
        <v>0.290481783383018</v>
      </c>
      <c r="AD247" s="964"/>
    </row>
    <row r="248" customFormat="false" ht="12.75" hidden="false" customHeight="false" outlineLevel="0" collapsed="false">
      <c r="X248" s="947" t="n">
        <v>44470</v>
      </c>
      <c r="Y248" s="0" t="n">
        <v>0.0624062794246765</v>
      </c>
      <c r="Z248" s="959"/>
      <c r="AA248" s="959" t="n">
        <f aca="false">YEAR(X248)</f>
        <v>2021</v>
      </c>
      <c r="AB248" s="959" t="n">
        <f aca="false">MONTH(X248)</f>
        <v>10</v>
      </c>
      <c r="AC248" s="961" t="n">
        <f aca="false">(1+Y248/2)^(-(DATE(AA249,AB249,20)-[2]TradeSum!$A$3)/182.625)</f>
        <v>0.288902140046065</v>
      </c>
      <c r="AD248" s="964"/>
    </row>
    <row r="249" customFormat="false" ht="12.75" hidden="false" customHeight="false" outlineLevel="0" collapsed="false">
      <c r="X249" s="947" t="n">
        <v>44501</v>
      </c>
      <c r="Y249" s="0" t="n">
        <v>0.0624073541639247</v>
      </c>
      <c r="Z249" s="959"/>
      <c r="AA249" s="959" t="n">
        <f aca="false">YEAR(X249)</f>
        <v>2021</v>
      </c>
      <c r="AB249" s="959" t="n">
        <f aca="false">MONTH(X249)</f>
        <v>11</v>
      </c>
      <c r="AC249" s="961" t="n">
        <f aca="false">(1+Y249/2)^(-(DATE(AA250,AB250,20)-[2]TradeSum!$A$3)/182.625)</f>
        <v>0.28744152352899</v>
      </c>
      <c r="AD249" s="964"/>
    </row>
    <row r="250" customFormat="false" ht="12.75" hidden="false" customHeight="false" outlineLevel="0" collapsed="false">
      <c r="X250" s="947" t="n">
        <v>44531</v>
      </c>
      <c r="Y250" s="0" t="n">
        <v>0.0624083942341649</v>
      </c>
      <c r="Z250" s="959"/>
      <c r="AA250" s="959" t="n">
        <f aca="false">YEAR(X250)</f>
        <v>2021</v>
      </c>
      <c r="AB250" s="959" t="n">
        <f aca="false">MONTH(X250)</f>
        <v>12</v>
      </c>
      <c r="AC250" s="961" t="n">
        <f aca="false">(1+Y250/2)^(-(DATE(AA251,AB251,20)-[2]TradeSum!$A$3)/182.625)</f>
        <v>0.285940323988098</v>
      </c>
      <c r="AD250" s="964"/>
    </row>
    <row r="251" customFormat="false" ht="12.75" hidden="false" customHeight="false" outlineLevel="0" collapsed="false">
      <c r="X251" s="947" t="n">
        <v>44562</v>
      </c>
      <c r="Y251" s="0" t="n">
        <v>0.062409468973414</v>
      </c>
      <c r="Z251" s="959"/>
      <c r="AA251" s="959" t="n">
        <f aca="false">YEAR(X251)</f>
        <v>2022</v>
      </c>
      <c r="AB251" s="959" t="n">
        <f aca="false">MONTH(X251)</f>
        <v>1</v>
      </c>
      <c r="AC251" s="961" t="n">
        <f aca="false">(1+Y251/2)^(-(DATE(AA252,AB252,20)-[2]TradeSum!$A$3)/182.625)</f>
        <v>0.284446720320693</v>
      </c>
      <c r="AD251" s="964"/>
    </row>
    <row r="252" customFormat="false" ht="12.75" hidden="false" customHeight="false" outlineLevel="0" collapsed="false">
      <c r="X252" s="947" t="n">
        <v>44593</v>
      </c>
      <c r="Y252" s="0" t="n">
        <v>0.0624105437126628</v>
      </c>
      <c r="Z252" s="959"/>
      <c r="AA252" s="959" t="n">
        <f aca="false">YEAR(X252)</f>
        <v>2022</v>
      </c>
      <c r="AB252" s="959" t="n">
        <f aca="false">MONTH(X252)</f>
        <v>2</v>
      </c>
      <c r="AC252" s="961" t="n">
        <f aca="false">(1+Y252/2)^(-(DATE(AA253,AB253,20)-[2]TradeSum!$A$3)/182.625)</f>
        <v>0.283103736530669</v>
      </c>
      <c r="AD252" s="964"/>
    </row>
    <row r="253" customFormat="false" ht="12.75" hidden="false" customHeight="false" outlineLevel="0" collapsed="false">
      <c r="X253" s="947" t="n">
        <v>44621</v>
      </c>
      <c r="Y253" s="0" t="n">
        <v>0.062411514444888</v>
      </c>
      <c r="Z253" s="959"/>
      <c r="AA253" s="959" t="n">
        <f aca="false">YEAR(X253)</f>
        <v>2022</v>
      </c>
      <c r="AB253" s="959" t="n">
        <f aca="false">MONTH(X253)</f>
        <v>3</v>
      </c>
      <c r="AC253" s="961" t="n">
        <f aca="false">(1+Y253/2)^(-(DATE(AA254,AB254,20)-[2]TradeSum!$A$3)/182.625)</f>
        <v>0.281625438160617</v>
      </c>
      <c r="AD253" s="964"/>
    </row>
    <row r="254" customFormat="false" ht="12.75" hidden="false" customHeight="false" outlineLevel="0" collapsed="false">
      <c r="X254" s="947" t="n">
        <v>44652</v>
      </c>
      <c r="Y254" s="0" t="n">
        <v>0.0624125891841381</v>
      </c>
      <c r="Z254" s="959"/>
      <c r="AA254" s="959" t="n">
        <f aca="false">YEAR(X254)</f>
        <v>2022</v>
      </c>
      <c r="AB254" s="959" t="n">
        <f aca="false">MONTH(X254)</f>
        <v>4</v>
      </c>
      <c r="AC254" s="961" t="n">
        <f aca="false">(1+Y254/2)^(-(DATE(AA255,AB255,20)-[2]TradeSum!$A$3)/182.625)</f>
        <v>0.28020137326664</v>
      </c>
      <c r="AD254" s="964"/>
    </row>
    <row r="255" customFormat="false" ht="12.75" hidden="false" customHeight="false" outlineLevel="0" collapsed="false">
      <c r="X255" s="947" t="n">
        <v>44682</v>
      </c>
      <c r="Y255" s="0" t="n">
        <v>0.06241362925438</v>
      </c>
      <c r="Z255" s="959"/>
      <c r="AA255" s="959" t="n">
        <f aca="false">YEAR(X255)</f>
        <v>2022</v>
      </c>
      <c r="AB255" s="959" t="n">
        <f aca="false">MONTH(X255)</f>
        <v>5</v>
      </c>
      <c r="AC255" s="961" t="n">
        <f aca="false">(1+Y255/2)^(-(DATE(AA256,AB256,20)-[2]TradeSum!$A$3)/182.625)</f>
        <v>0.278737750012009</v>
      </c>
      <c r="AD255" s="964"/>
    </row>
    <row r="256" customFormat="false" ht="12.75" hidden="false" customHeight="false" outlineLevel="0" collapsed="false">
      <c r="X256" s="947" t="n">
        <v>44713</v>
      </c>
      <c r="Y256" s="0" t="n">
        <v>0.0624147039936309</v>
      </c>
      <c r="Z256" s="959"/>
      <c r="AA256" s="959" t="n">
        <f aca="false">YEAR(X256)</f>
        <v>2022</v>
      </c>
      <c r="AB256" s="959" t="n">
        <f aca="false">MONTH(X256)</f>
        <v>6</v>
      </c>
      <c r="AC256" s="961" t="n">
        <f aca="false">(1+Y256/2)^(-(DATE(AA257,AB257,20)-[2]TradeSum!$A$3)/182.625)</f>
        <v>0.277328191998586</v>
      </c>
      <c r="AD256" s="964"/>
    </row>
    <row r="257" customFormat="false" ht="12.75" hidden="false" customHeight="false" outlineLevel="0" collapsed="false">
      <c r="X257" s="947" t="n">
        <v>44743</v>
      </c>
      <c r="Y257" s="0" t="n">
        <v>0.0624157440638737</v>
      </c>
      <c r="Z257" s="959"/>
      <c r="AA257" s="959" t="n">
        <f aca="false">YEAR(X257)</f>
        <v>2022</v>
      </c>
      <c r="AB257" s="959" t="n">
        <f aca="false">MONTH(X257)</f>
        <v>7</v>
      </c>
      <c r="AC257" s="961" t="n">
        <f aca="false">(1+Y257/2)^(-(DATE(AA258,AB258,20)-[2]TradeSum!$A$3)/182.625)</f>
        <v>0.275879482234175</v>
      </c>
      <c r="AD257" s="964"/>
    </row>
    <row r="258" customFormat="false" ht="12.75" hidden="false" customHeight="false" outlineLevel="0" collapsed="false">
      <c r="X258" s="947" t="n">
        <v>44774</v>
      </c>
      <c r="Y258" s="0" t="n">
        <v>0.0624168188031247</v>
      </c>
      <c r="Z258" s="959"/>
      <c r="AA258" s="959" t="n">
        <f aca="false">YEAR(X258)</f>
        <v>2022</v>
      </c>
      <c r="AB258" s="959" t="n">
        <f aca="false">MONTH(X258)</f>
        <v>8</v>
      </c>
      <c r="AC258" s="961" t="n">
        <f aca="false">(1+Y258/2)^(-(DATE(AA259,AB259,20)-[2]TradeSum!$A$3)/182.625)</f>
        <v>0.274438099166805</v>
      </c>
      <c r="AD258" s="964"/>
    </row>
    <row r="259" customFormat="false" ht="12.75" hidden="false" customHeight="false" outlineLevel="0" collapsed="false">
      <c r="X259" s="947" t="n">
        <v>44805</v>
      </c>
      <c r="Y259" s="0" t="n">
        <v>0.0624178935423765</v>
      </c>
      <c r="Z259" s="959"/>
      <c r="AA259" s="959" t="n">
        <f aca="false">YEAR(X259)</f>
        <v>2022</v>
      </c>
      <c r="AB259" s="959" t="n">
        <f aca="false">MONTH(X259)</f>
        <v>9</v>
      </c>
      <c r="AC259" s="961" t="n">
        <f aca="false">(1+Y259/2)^(-(DATE(AA260,AB260,20)-[2]TradeSum!$A$3)/182.625)</f>
        <v>0.273050143159681</v>
      </c>
      <c r="AD259" s="964"/>
    </row>
    <row r="260" customFormat="false" ht="12.75" hidden="false" customHeight="false" outlineLevel="0" collapsed="false">
      <c r="X260" s="947" t="n">
        <v>44835</v>
      </c>
      <c r="Y260" s="0" t="n">
        <v>0.0624189336126202</v>
      </c>
      <c r="Z260" s="959"/>
      <c r="AA260" s="959" t="n">
        <f aca="false">YEAR(X260)</f>
        <v>2022</v>
      </c>
      <c r="AB260" s="959" t="n">
        <f aca="false">MONTH(X260)</f>
        <v>10</v>
      </c>
      <c r="AC260" s="961" t="n">
        <f aca="false">(1+Y260/2)^(-(DATE(AA261,AB261,20)-[2]TradeSum!$A$3)/182.625)</f>
        <v>0.27162364080773</v>
      </c>
      <c r="AD260" s="964"/>
    </row>
    <row r="261" customFormat="false" ht="12.75" hidden="false" customHeight="false" outlineLevel="0" collapsed="false">
      <c r="X261" s="947" t="n">
        <v>44866</v>
      </c>
      <c r="Y261" s="0" t="n">
        <v>0.0624200083518729</v>
      </c>
      <c r="Z261" s="959"/>
      <c r="AA261" s="959" t="n">
        <f aca="false">YEAR(X261)</f>
        <v>2022</v>
      </c>
      <c r="AB261" s="959" t="n">
        <f aca="false">MONTH(X261)</f>
        <v>11</v>
      </c>
      <c r="AC261" s="961" t="n">
        <f aca="false">(1+Y261/2)^(-(DATE(AA262,AB262,20)-[2]TradeSum!$A$3)/182.625)</f>
        <v>0.270249826217993</v>
      </c>
      <c r="AD261" s="964"/>
    </row>
    <row r="262" customFormat="false" ht="12.75" hidden="false" customHeight="false" outlineLevel="0" collapsed="false">
      <c r="X262" s="947" t="n">
        <v>44896</v>
      </c>
      <c r="Y262" s="0" t="n">
        <v>0.0624210484221175</v>
      </c>
      <c r="Z262" s="959"/>
      <c r="AA262" s="959" t="n">
        <f aca="false">YEAR(X262)</f>
        <v>2022</v>
      </c>
      <c r="AB262" s="959" t="n">
        <f aca="false">MONTH(X262)</f>
        <v>12</v>
      </c>
      <c r="AC262" s="961" t="n">
        <f aca="false">(1+Y262/2)^(-(DATE(AA263,AB263,20)-[2]TradeSum!$A$3)/182.625)</f>
        <v>0.268837861556613</v>
      </c>
      <c r="AD262" s="964"/>
    </row>
    <row r="263" customFormat="false" ht="12.75" hidden="false" customHeight="false" outlineLevel="0" collapsed="false">
      <c r="X263" s="947" t="n">
        <v>44927</v>
      </c>
      <c r="Y263" s="0" t="n">
        <v>0.0624221231613706</v>
      </c>
      <c r="Z263" s="959"/>
      <c r="AA263" s="959" t="n">
        <f aca="false">YEAR(X263)</f>
        <v>2023</v>
      </c>
      <c r="AB263" s="959" t="n">
        <f aca="false">MONTH(X263)</f>
        <v>1</v>
      </c>
      <c r="AC263" s="961" t="n">
        <f aca="false">(1+Y263/2)^(-(DATE(AA264,AB264,20)-[2]TradeSum!$A$3)/182.625)</f>
        <v>0.267433035237575</v>
      </c>
      <c r="AD263" s="964"/>
    </row>
    <row r="264" customFormat="false" ht="12.75" hidden="false" customHeight="false" outlineLevel="0" collapsed="false">
      <c r="X264" s="947" t="n">
        <v>44958</v>
      </c>
      <c r="Y264" s="0" t="n">
        <v>0.0624231979006242</v>
      </c>
      <c r="Z264" s="959"/>
      <c r="AA264" s="959" t="n">
        <f aca="false">YEAR(X264)</f>
        <v>2023</v>
      </c>
      <c r="AB264" s="959" t="n">
        <f aca="false">MONTH(X264)</f>
        <v>2</v>
      </c>
      <c r="AC264" s="961" t="n">
        <f aca="false">(1+Y264/2)^(-(DATE(AA265,AB265,20)-[2]TradeSum!$A$3)/182.625)</f>
        <v>0.266169852114105</v>
      </c>
      <c r="AD264" s="964"/>
    </row>
    <row r="265" customFormat="false" ht="12.75" hidden="false" customHeight="false" outlineLevel="0" collapsed="false">
      <c r="X265" s="947" t="n">
        <v>44986</v>
      </c>
      <c r="Y265" s="0" t="n">
        <v>0.0624241686328535</v>
      </c>
      <c r="Z265" s="959"/>
      <c r="AA265" s="959" t="n">
        <f aca="false">YEAR(X265)</f>
        <v>2023</v>
      </c>
      <c r="AB265" s="959" t="n">
        <f aca="false">MONTH(X265)</f>
        <v>3</v>
      </c>
      <c r="AC265" s="961" t="n">
        <f aca="false">(1+Y265/2)^(-(DATE(AA266,AB266,20)-[2]TradeSum!$A$3)/182.625)</f>
        <v>0.264779453524165</v>
      </c>
      <c r="AD265" s="964"/>
    </row>
    <row r="266" customFormat="false" ht="12.75" hidden="false" customHeight="false" outlineLevel="0" collapsed="false">
      <c r="X266" s="947" t="n">
        <v>45017</v>
      </c>
      <c r="Y266" s="0" t="n">
        <v>0.062425243372108</v>
      </c>
      <c r="Z266" s="959"/>
      <c r="AA266" s="959" t="n">
        <f aca="false">YEAR(X266)</f>
        <v>2023</v>
      </c>
      <c r="AB266" s="959" t="n">
        <f aca="false">MONTH(X266)</f>
        <v>4</v>
      </c>
      <c r="AC266" s="961" t="n">
        <f aca="false">(1+Y266/2)^(-(DATE(AA267,AB267,20)-[2]TradeSum!$A$3)/182.625)</f>
        <v>0.26344003203931</v>
      </c>
      <c r="AD266" s="964"/>
    </row>
    <row r="267" customFormat="false" ht="12.75" hidden="false" customHeight="false" outlineLevel="0" collapsed="false">
      <c r="X267" s="947" t="n">
        <v>45047</v>
      </c>
      <c r="Y267" s="0" t="n">
        <v>0.0624262834423544</v>
      </c>
      <c r="Z267" s="959"/>
      <c r="AA267" s="959" t="n">
        <f aca="false">YEAR(X267)</f>
        <v>2023</v>
      </c>
      <c r="AB267" s="959" t="n">
        <f aca="false">MONTH(X267)</f>
        <v>5</v>
      </c>
      <c r="AC267" s="961" t="n">
        <f aca="false">(1+Y267/2)^(-(DATE(AA268,AB268,20)-[2]TradeSum!$A$3)/182.625)</f>
        <v>0.262063424095917</v>
      </c>
      <c r="AD267" s="964"/>
    </row>
    <row r="268" customFormat="false" ht="12.75" hidden="false" customHeight="false" outlineLevel="0" collapsed="false">
      <c r="X268" s="947" t="n">
        <v>45078</v>
      </c>
      <c r="Y268" s="0" t="n">
        <v>0.0624273581816097</v>
      </c>
      <c r="Z268" s="959"/>
      <c r="AA268" s="959" t="n">
        <f aca="false">YEAR(X268)</f>
        <v>2023</v>
      </c>
      <c r="AB268" s="959" t="n">
        <f aca="false">MONTH(X268)</f>
        <v>6</v>
      </c>
      <c r="AC268" s="961" t="n">
        <f aca="false">(1+Y268/2)^(-(DATE(AA269,AB269,20)-[2]TradeSum!$A$3)/182.625)</f>
        <v>0.260737652704028</v>
      </c>
      <c r="AD268" s="959"/>
    </row>
    <row r="269" customFormat="false" ht="12.75" hidden="false" customHeight="false" outlineLevel="0" collapsed="false">
      <c r="X269" s="947" t="n">
        <v>45108</v>
      </c>
      <c r="Y269" s="0" t="n">
        <v>0.062428398251857</v>
      </c>
      <c r="Z269" s="959"/>
      <c r="AA269" s="959" t="n">
        <f aca="false">YEAR(X269)</f>
        <v>2023</v>
      </c>
      <c r="AB269" s="959" t="n">
        <f aca="false">MONTH(X269)</f>
        <v>7</v>
      </c>
      <c r="AC269" s="961" t="n">
        <f aca="false">(1+Y269/2)^(-(DATE(AA270,AB270,20)-[2]TradeSum!$A$3)/182.625)</f>
        <v>0.259375077234458</v>
      </c>
      <c r="AD269" s="959"/>
    </row>
    <row r="270" customFormat="false" ht="12.75" hidden="false" customHeight="false" outlineLevel="0" collapsed="false">
      <c r="X270" s="947" t="n">
        <v>45139</v>
      </c>
      <c r="Y270" s="0" t="n">
        <v>0.0624294729911123</v>
      </c>
      <c r="Z270" s="959"/>
      <c r="AA270" s="959" t="n">
        <f aca="false">YEAR(X270)</f>
        <v>2023</v>
      </c>
      <c r="AB270" s="959" t="n">
        <f aca="false">MONTH(X270)</f>
        <v>8</v>
      </c>
      <c r="AC270" s="961" t="n">
        <f aca="false">(1+Y270/2)^(-(DATE(AA271,AB271,20)-[2]TradeSum!$A$3)/182.625)</f>
        <v>0.258019387046834</v>
      </c>
      <c r="AD270" s="959"/>
    </row>
    <row r="271" customFormat="false" ht="12.75" hidden="false" customHeight="false" outlineLevel="0" collapsed="false">
      <c r="X271" s="947" t="n">
        <v>45170</v>
      </c>
      <c r="Y271" s="0" t="n">
        <v>0.0624305477303686</v>
      </c>
      <c r="Z271" s="959"/>
      <c r="AA271" s="959" t="n">
        <f aca="false">YEAR(X271)</f>
        <v>2023</v>
      </c>
      <c r="AB271" s="959" t="n">
        <f aca="false">MONTH(X271)</f>
        <v>9</v>
      </c>
      <c r="AC271" s="961" t="n">
        <f aca="false">(1+Y271/2)^(-(DATE(AA272,AB272,20)-[2]TradeSum!$A$3)/182.625)</f>
        <v>0.256713941724229</v>
      </c>
      <c r="AD271" s="959"/>
    </row>
    <row r="272" customFormat="false" ht="12.75" hidden="false" customHeight="false" outlineLevel="0" collapsed="false">
      <c r="X272" s="947" t="n">
        <v>45200</v>
      </c>
      <c r="Y272" s="0" t="n">
        <v>0.0624315878006172</v>
      </c>
      <c r="Z272" s="959"/>
      <c r="AA272" s="959" t="n">
        <f aca="false">YEAR(X272)</f>
        <v>2023</v>
      </c>
      <c r="AB272" s="959" t="n">
        <f aca="false">MONTH(X272)</f>
        <v>10</v>
      </c>
      <c r="AC272" s="961" t="n">
        <f aca="false">(1+Y272/2)^(-(DATE(AA273,AB273,20)-[2]TradeSum!$A$3)/182.625)</f>
        <v>0.255372261652574</v>
      </c>
      <c r="AD272" s="959"/>
    </row>
    <row r="273" customFormat="false" ht="12.75" hidden="false" customHeight="false" outlineLevel="0" collapsed="false">
      <c r="X273" s="947" t="n">
        <v>45231</v>
      </c>
      <c r="Y273" s="0" t="n">
        <v>0.0624326625398739</v>
      </c>
      <c r="Z273" s="959"/>
      <c r="AA273" s="959" t="n">
        <f aca="false">YEAR(X273)</f>
        <v>2023</v>
      </c>
      <c r="AB273" s="959" t="n">
        <f aca="false">MONTH(X273)</f>
        <v>11</v>
      </c>
      <c r="AC273" s="961" t="n">
        <f aca="false">(1+Y273/2)^(-(DATE(AA274,AB274,20)-[2]TradeSum!$A$3)/182.625)</f>
        <v>0.254080122405653</v>
      </c>
      <c r="AD273" s="959"/>
    </row>
    <row r="274" customFormat="false" ht="12.75" hidden="false" customHeight="false" outlineLevel="0" collapsed="false">
      <c r="X274" s="947" t="n">
        <v>45261</v>
      </c>
      <c r="Y274" s="0" t="n">
        <v>0.0624337026101229</v>
      </c>
      <c r="Z274" s="959"/>
      <c r="AA274" s="959" t="n">
        <f aca="false">YEAR(X274)</f>
        <v>2023</v>
      </c>
      <c r="AB274" s="959" t="n">
        <f aca="false">MONTH(X274)</f>
        <v>12</v>
      </c>
      <c r="AC274" s="961" t="n">
        <f aca="false">(1+Y274/2)^(-(DATE(AA275,AB275,20)-[2]TradeSum!$A$3)/182.625)</f>
        <v>0.25275212106611</v>
      </c>
      <c r="AD274" s="959"/>
    </row>
    <row r="275" customFormat="false" ht="12.75" hidden="false" customHeight="false" outlineLevel="0" collapsed="false">
      <c r="X275" s="947" t="n">
        <v>45292</v>
      </c>
      <c r="Y275" s="0" t="n">
        <v>0.062434777349381</v>
      </c>
      <c r="Z275" s="959"/>
      <c r="AA275" s="959" t="n">
        <f aca="false">YEAR(X275)</f>
        <v>2024</v>
      </c>
      <c r="AB275" s="959" t="n">
        <f aca="false">MONTH(X275)</f>
        <v>1</v>
      </c>
      <c r="AC275" s="961" t="n">
        <f aca="false">(1+Y275/2)^(-(DATE(AA276,AB276,20)-[2]TradeSum!$A$3)/182.625)</f>
        <v>0.251430827933108</v>
      </c>
      <c r="AD275" s="959"/>
    </row>
    <row r="276" customFormat="false" ht="12.75" hidden="false" customHeight="false" outlineLevel="0" collapsed="false">
      <c r="X276" s="947" t="n">
        <v>45323</v>
      </c>
      <c r="Y276" s="0" t="n">
        <v>0.0624358520886386</v>
      </c>
      <c r="Z276" s="959"/>
      <c r="AA276" s="959" t="n">
        <f aca="false">YEAR(X276)</f>
        <v>2024</v>
      </c>
      <c r="AB276" s="959" t="n">
        <f aca="false">MONTH(X276)</f>
        <v>2</v>
      </c>
      <c r="AC276" s="961" t="n">
        <f aca="false">(1+Y276/2)^(-(DATE(AA277,AB277,20)-[2]TradeSum!$A$3)/182.625)</f>
        <v>0.250200614195459</v>
      </c>
      <c r="AD276" s="959"/>
    </row>
    <row r="277" customFormat="false" ht="12.75" hidden="false" customHeight="false" outlineLevel="0" collapsed="false">
      <c r="X277" s="947" t="n">
        <v>45352</v>
      </c>
      <c r="Y277" s="0" t="n">
        <v>0.0624368574898808</v>
      </c>
      <c r="Z277" s="959"/>
      <c r="AA277" s="959" t="n">
        <f aca="false">YEAR(X277)</f>
        <v>2024</v>
      </c>
      <c r="AB277" s="959" t="n">
        <f aca="false">MONTH(X277)</f>
        <v>3</v>
      </c>
      <c r="AC277" s="961" t="n">
        <f aca="false">(1+Y277/2)^(-(DATE(AA278,AB278,20)-[2]TradeSum!$A$3)/182.625)</f>
        <v>0.24889295129882</v>
      </c>
      <c r="AD277" s="959"/>
    </row>
    <row r="278" customFormat="false" ht="12.75" hidden="false" customHeight="false" outlineLevel="0" collapsed="false">
      <c r="X278" s="947" t="n">
        <v>45383</v>
      </c>
      <c r="Y278" s="0" t="n">
        <v>0.0624379322291393</v>
      </c>
      <c r="Z278" s="959"/>
      <c r="AA278" s="959" t="n">
        <f aca="false">YEAR(X278)</f>
        <v>2024</v>
      </c>
      <c r="AB278" s="959" t="n">
        <f aca="false">MONTH(X278)</f>
        <v>4</v>
      </c>
      <c r="AC278" s="961" t="n">
        <f aca="false">(1+Y278/2)^(-(DATE(AA279,AB279,20)-[2]TradeSum!$A$3)/182.625)</f>
        <v>0.247633384909635</v>
      </c>
      <c r="AD278" s="959"/>
    </row>
    <row r="279" customFormat="false" ht="12.75" hidden="false" customHeight="false" outlineLevel="0" collapsed="false">
      <c r="X279" s="947" t="n">
        <v>45413</v>
      </c>
      <c r="Y279" s="0" t="n">
        <v>0.0624389722993901</v>
      </c>
      <c r="Z279" s="959"/>
      <c r="AA279" s="959" t="n">
        <f aca="false">YEAR(X279)</f>
        <v>2024</v>
      </c>
      <c r="AB279" s="959" t="n">
        <f aca="false">MONTH(X279)</f>
        <v>5</v>
      </c>
      <c r="AC279" s="961" t="n">
        <f aca="false">(1+Y279/2)^(-(DATE(AA280,AB280,20)-[2]TradeSum!$A$3)/182.625)</f>
        <v>0.246338868530536</v>
      </c>
      <c r="AD279" s="959"/>
    </row>
    <row r="280" customFormat="false" ht="12.75" hidden="false" customHeight="false" outlineLevel="0" collapsed="false">
      <c r="X280" s="947" t="n">
        <v>45444</v>
      </c>
      <c r="Y280" s="0" t="n">
        <v>0.0624400470386499</v>
      </c>
      <c r="Z280" s="959"/>
      <c r="AA280" s="959" t="n">
        <f aca="false">YEAR(X280)</f>
        <v>2024</v>
      </c>
      <c r="AB280" s="959" t="n">
        <f aca="false">MONTH(X280)</f>
        <v>6</v>
      </c>
      <c r="AC280" s="961" t="n">
        <f aca="false">(1+Y280/2)^(-(DATE(AA281,AB281,20)-[2]TradeSum!$A$3)/182.625)</f>
        <v>0.245092143586721</v>
      </c>
      <c r="AD280" s="959"/>
    </row>
    <row r="281" customFormat="false" ht="12.75" hidden="false" customHeight="false" outlineLevel="0" collapsed="false">
      <c r="X281" s="947" t="n">
        <v>45474</v>
      </c>
      <c r="Y281" s="0" t="n">
        <v>0.0624410871089016</v>
      </c>
      <c r="Z281" s="959"/>
      <c r="AA281" s="959" t="n">
        <f aca="false">YEAR(X281)</f>
        <v>2024</v>
      </c>
      <c r="AB281" s="959" t="n">
        <f aca="false">MONTH(X281)</f>
        <v>7</v>
      </c>
      <c r="AC281" s="961" t="n">
        <f aca="false">(1+Y281/2)^(-(DATE(AA282,AB282,20)-[2]TradeSum!$A$3)/182.625)</f>
        <v>0.243810828179311</v>
      </c>
      <c r="AD281" s="959"/>
    </row>
    <row r="282" customFormat="false" ht="12.75" hidden="false" customHeight="false" outlineLevel="0" collapsed="false">
      <c r="X282" s="947" t="n">
        <v>45505</v>
      </c>
      <c r="Y282" s="0" t="n">
        <v>0.0624421618481619</v>
      </c>
      <c r="Z282" s="959"/>
      <c r="AA282" s="959" t="n">
        <f aca="false">YEAR(X282)</f>
        <v>2024</v>
      </c>
      <c r="AB282" s="959" t="n">
        <f aca="false">MONTH(X282)</f>
        <v>8</v>
      </c>
      <c r="AC282" s="961" t="n">
        <f aca="false">(1+Y282/2)^(-(DATE(AA283,AB283,20)-[2]TradeSum!$A$3)/182.625)</f>
        <v>0.242535981972966</v>
      </c>
      <c r="AD282" s="959"/>
    </row>
    <row r="283" customFormat="false" ht="12.75" hidden="false" customHeight="false" outlineLevel="0" collapsed="false">
      <c r="X283" s="947" t="n">
        <v>45536</v>
      </c>
      <c r="Y283" s="0" t="n">
        <v>0.062443236587423</v>
      </c>
      <c r="Z283" s="959"/>
      <c r="AA283" s="959" t="n">
        <f aca="false">YEAR(X283)</f>
        <v>2024</v>
      </c>
      <c r="AB283" s="959" t="n">
        <f aca="false">MONTH(X283)</f>
        <v>9</v>
      </c>
      <c r="AC283" s="961" t="n">
        <f aca="false">(1+Y283/2)^(-(DATE(AA284,AB284,20)-[2]TradeSum!$A$3)/182.625)</f>
        <v>0.241308378858321</v>
      </c>
      <c r="AD283" s="959"/>
    </row>
    <row r="284" customFormat="false" ht="12.75" hidden="false" customHeight="false" outlineLevel="0" collapsed="false">
      <c r="X284" s="947" t="n">
        <v>45566</v>
      </c>
      <c r="Y284" s="0" t="n">
        <v>0.0624442766576756</v>
      </c>
      <c r="Z284" s="959"/>
      <c r="AA284" s="959" t="n">
        <f aca="false">YEAR(X284)</f>
        <v>2024</v>
      </c>
      <c r="AB284" s="959" t="n">
        <f aca="false">MONTH(X284)</f>
        <v>10</v>
      </c>
      <c r="AC284" s="961" t="n">
        <f aca="false">(1+Y284/2)^(-(DATE(AA285,AB285,20)-[2]TradeSum!$A$3)/182.625)</f>
        <v>0.240046720577701</v>
      </c>
      <c r="AD284" s="959"/>
    </row>
    <row r="285" customFormat="false" ht="12.75" hidden="false" customHeight="false" outlineLevel="0" collapsed="false">
      <c r="X285" s="947" t="n">
        <v>45597</v>
      </c>
      <c r="Y285" s="0" t="n">
        <v>0.0624453513969367</v>
      </c>
      <c r="Z285" s="959"/>
      <c r="AA285" s="959" t="n">
        <f aca="false">YEAR(X285)</f>
        <v>2024</v>
      </c>
      <c r="AB285" s="959" t="n">
        <f aca="false">MONTH(X285)</f>
        <v>11</v>
      </c>
      <c r="AC285" s="961" t="n">
        <f aca="false">(1+Y285/2)^(-(DATE(AA286,AB286,20)-[2]TradeSum!$A$3)/182.625)</f>
        <v>0.238831635140344</v>
      </c>
      <c r="AD285" s="959"/>
    </row>
    <row r="286" customFormat="false" ht="12.75" hidden="false" customHeight="false" outlineLevel="0" collapsed="false">
      <c r="X286" s="947" t="n">
        <v>45627</v>
      </c>
      <c r="Y286" s="0" t="n">
        <v>0.0624463914671902</v>
      </c>
      <c r="Z286" s="959"/>
      <c r="AA286" s="959" t="n">
        <f aca="false">YEAR(X286)</f>
        <v>2024</v>
      </c>
      <c r="AB286" s="959" t="n">
        <f aca="false">MONTH(X286)</f>
        <v>12</v>
      </c>
      <c r="AC286" s="961" t="n">
        <f aca="false">(1+Y286/2)^(-(DATE(AA287,AB287,20)-[2]TradeSum!$A$3)/182.625)</f>
        <v>0.237582844916468</v>
      </c>
      <c r="AD286" s="959"/>
    </row>
    <row r="287" customFormat="false" ht="12.75" hidden="false" customHeight="false" outlineLevel="0" collapsed="false">
      <c r="X287" s="947" t="n">
        <v>45658</v>
      </c>
      <c r="Y287" s="0" t="n">
        <v>0.0624474662064522</v>
      </c>
      <c r="Z287" s="959"/>
      <c r="AA287" s="959" t="n">
        <f aca="false">YEAR(X287)</f>
        <v>2025</v>
      </c>
      <c r="AB287" s="959" t="n">
        <f aca="false">MONTH(X287)</f>
        <v>1</v>
      </c>
      <c r="AC287" s="961" t="n">
        <f aca="false">(1+Y287/2)^(-(DATE(AA288,AB288,20)-[2]TradeSum!$A$3)/182.625)</f>
        <v>0.236340357454376</v>
      </c>
      <c r="AD287" s="959"/>
    </row>
    <row r="288" customFormat="false" ht="12.75" hidden="false" customHeight="false" outlineLevel="0" collapsed="false">
      <c r="X288" s="947" t="n">
        <v>45689</v>
      </c>
      <c r="Y288" s="0" t="n">
        <v>0.0624485409457152</v>
      </c>
      <c r="Z288" s="959"/>
      <c r="AA288" s="959" t="n">
        <f aca="false">YEAR(X288)</f>
        <v>2025</v>
      </c>
      <c r="AB288" s="959" t="n">
        <f aca="false">MONTH(X288)</f>
        <v>2</v>
      </c>
      <c r="AC288" s="961" t="n">
        <f aca="false">(1+Y288/2)^(-(DATE(AA289,AB289,20)-[2]TradeSum!$A$3)/182.625)</f>
        <v>0.235223102587501</v>
      </c>
      <c r="AD288" s="959"/>
    </row>
    <row r="289" customFormat="false" ht="12.75" hidden="false" customHeight="false" outlineLevel="0" collapsed="false">
      <c r="X289" s="947" t="n">
        <v>45717</v>
      </c>
      <c r="Y289" s="0" t="n">
        <v>0.0624495116779529</v>
      </c>
      <c r="Z289" s="959"/>
      <c r="AA289" s="959" t="n">
        <f aca="false">YEAR(X289)</f>
        <v>2025</v>
      </c>
      <c r="AB289" s="959" t="n">
        <f aca="false">MONTH(X289)</f>
        <v>3</v>
      </c>
      <c r="AC289" s="961" t="n">
        <f aca="false">(1+Y289/2)^(-(DATE(AA290,AB290,20)-[2]TradeSum!$A$3)/182.625)</f>
        <v>0.233993432511551</v>
      </c>
      <c r="AD289" s="959"/>
    </row>
    <row r="290" customFormat="false" ht="12.75" hidden="false" customHeight="false" outlineLevel="0" collapsed="false">
      <c r="X290" s="947" t="n">
        <v>45748</v>
      </c>
      <c r="Y290" s="0" t="n">
        <v>0.0624505864172158</v>
      </c>
      <c r="Z290" s="959"/>
      <c r="AA290" s="959" t="n">
        <f aca="false">YEAR(X290)</f>
        <v>2025</v>
      </c>
      <c r="AB290" s="959" t="n">
        <f aca="false">MONTH(X290)</f>
        <v>4</v>
      </c>
      <c r="AC290" s="961" t="n">
        <f aca="false">(1+Y290/2)^(-(DATE(AA291,AB291,20)-[2]TradeSum!$A$3)/182.625)</f>
        <v>0.232808790668838</v>
      </c>
      <c r="AD290" s="959"/>
    </row>
    <row r="291" customFormat="false" ht="12.75" hidden="false" customHeight="false" outlineLevel="0" collapsed="false">
      <c r="X291" s="947" t="n">
        <v>45778</v>
      </c>
      <c r="Y291" s="0" t="n">
        <v>0.062451626487471</v>
      </c>
      <c r="Z291" s="959"/>
      <c r="AA291" s="959" t="n">
        <f aca="false">YEAR(X291)</f>
        <v>2025</v>
      </c>
      <c r="AB291" s="959" t="n">
        <f aca="false">MONTH(X291)</f>
        <v>5</v>
      </c>
      <c r="AC291" s="961" t="n">
        <f aca="false">(1+Y291/2)^(-(DATE(AA292,AB292,20)-[2]TradeSum!$A$3)/182.625)</f>
        <v>0.231591296041217</v>
      </c>
      <c r="AD291" s="959"/>
    </row>
    <row r="292" customFormat="false" ht="12.75" hidden="false" customHeight="false" outlineLevel="0" collapsed="false">
      <c r="X292" s="947" t="n">
        <v>45809</v>
      </c>
      <c r="Y292" s="0" t="n">
        <v>0.0624527012267353</v>
      </c>
      <c r="Z292" s="959"/>
      <c r="AA292" s="959" t="n">
        <f aca="false">YEAR(X292)</f>
        <v>2025</v>
      </c>
      <c r="AB292" s="959" t="n">
        <f aca="false">MONTH(X292)</f>
        <v>6</v>
      </c>
      <c r="AC292" s="961" t="n">
        <f aca="false">(1+Y292/2)^(-(DATE(AA293,AB293,20)-[2]TradeSum!$A$3)/182.625)</f>
        <v>0.230418736616628</v>
      </c>
      <c r="AD292" s="959"/>
    </row>
    <row r="293" customFormat="false" ht="12.75" hidden="false" customHeight="false" outlineLevel="0" collapsed="false">
      <c r="X293" s="947" t="n">
        <v>45839</v>
      </c>
      <c r="Y293" s="0" t="n">
        <v>0.0624537412969914</v>
      </c>
      <c r="Z293" s="959"/>
      <c r="AA293" s="959" t="n">
        <f aca="false">YEAR(X293)</f>
        <v>2025</v>
      </c>
      <c r="AB293" s="959" t="n">
        <f aca="false">MONTH(X293)</f>
        <v>7</v>
      </c>
      <c r="AC293" s="961" t="n">
        <f aca="false">(1+Y293/2)^(-(DATE(AA294,AB294,20)-[2]TradeSum!$A$3)/182.625)</f>
        <v>0.229213662493447</v>
      </c>
      <c r="AD293" s="959"/>
    </row>
    <row r="294" customFormat="false" ht="12.75" hidden="false" customHeight="false" outlineLevel="0" collapsed="false">
      <c r="X294" s="947" t="n">
        <v>45870</v>
      </c>
      <c r="Y294" s="0" t="n">
        <v>0.0624548160362561</v>
      </c>
      <c r="Z294" s="959"/>
      <c r="AA294" s="959" t="n">
        <f aca="false">YEAR(X294)</f>
        <v>2025</v>
      </c>
      <c r="AB294" s="959" t="n">
        <f aca="false">MONTH(X294)</f>
        <v>8</v>
      </c>
      <c r="AC294" s="961" t="n">
        <f aca="false">(1+Y294/2)^(-(DATE(AA295,AB295,20)-[2]TradeSum!$A$3)/182.625)</f>
        <v>0.228014667521185</v>
      </c>
      <c r="AD294" s="959"/>
    </row>
    <row r="295" customFormat="false" ht="12.75" hidden="false" customHeight="false" outlineLevel="0" collapsed="false">
      <c r="X295" s="947" t="n">
        <v>45901</v>
      </c>
      <c r="Y295" s="0" t="n">
        <v>0.0624558907755213</v>
      </c>
      <c r="Z295" s="959"/>
      <c r="AA295" s="959" t="n">
        <f aca="false">YEAR(X295)</f>
        <v>2025</v>
      </c>
      <c r="AB295" s="959" t="n">
        <f aca="false">MONTH(X295)</f>
        <v>9</v>
      </c>
      <c r="AC295" s="961" t="n">
        <f aca="false">(1+Y295/2)^(-(DATE(AA296,AB296,20)-[2]TradeSum!$A$3)/182.625)</f>
        <v>0.226860099586343</v>
      </c>
      <c r="AD295" s="959"/>
    </row>
    <row r="296" customFormat="false" ht="12.75" hidden="false" customHeight="false" outlineLevel="0" collapsed="false">
      <c r="X296" s="947" t="n">
        <v>45931</v>
      </c>
      <c r="Y296" s="0" t="n">
        <v>0.0624569308457783</v>
      </c>
      <c r="Z296" s="959"/>
      <c r="AA296" s="959" t="n">
        <f aca="false">YEAR(X296)</f>
        <v>2025</v>
      </c>
      <c r="AB296" s="959" t="n">
        <f aca="false">MONTH(X296)</f>
        <v>10</v>
      </c>
      <c r="AC296" s="961" t="n">
        <f aca="false">(1+Y296/2)^(-(DATE(AA297,AB297,20)-[2]TradeSum!$A$3)/182.625)</f>
        <v>0.225673520325961</v>
      </c>
      <c r="AD296" s="959"/>
    </row>
    <row r="297" customFormat="false" ht="12.75" hidden="false" customHeight="false" outlineLevel="0" collapsed="false">
      <c r="X297" s="947" t="n">
        <v>45962</v>
      </c>
      <c r="Y297" s="0" t="n">
        <v>0.0624580055850443</v>
      </c>
      <c r="Z297" s="959"/>
      <c r="AA297" s="959" t="n">
        <f aca="false">YEAR(X297)</f>
        <v>2025</v>
      </c>
      <c r="AB297" s="959" t="n">
        <f aca="false">MONTH(X297)</f>
        <v>11</v>
      </c>
      <c r="AC297" s="961" t="n">
        <f aca="false">(1+Y297/2)^(-(DATE(AA298,AB298,20)-[2]TradeSum!$A$3)/182.625)</f>
        <v>0.224530730055592</v>
      </c>
      <c r="AD297" s="959"/>
    </row>
    <row r="298" customFormat="false" ht="12.75" hidden="false" customHeight="false" outlineLevel="0" collapsed="false">
      <c r="X298" s="947" t="n">
        <v>45992</v>
      </c>
      <c r="Y298" s="0" t="n">
        <v>0.0624590456553022</v>
      </c>
      <c r="Z298" s="959"/>
      <c r="AA298" s="959" t="n">
        <f aca="false">YEAR(X298)</f>
        <v>2025</v>
      </c>
      <c r="AB298" s="959" t="n">
        <f aca="false">MONTH(X298)</f>
        <v>12</v>
      </c>
      <c r="AC298" s="961" t="n">
        <f aca="false">(1+Y298/2)^(-(DATE(AA299,AB299,20)-[2]TradeSum!$A$3)/182.625)</f>
        <v>0.223356257941184</v>
      </c>
      <c r="AD298" s="959"/>
    </row>
    <row r="299" customFormat="false" ht="12.75" hidden="false" customHeight="false" outlineLevel="0" collapsed="false">
      <c r="X299" s="947" t="n">
        <v>46023</v>
      </c>
      <c r="Y299" s="0" t="n">
        <v>0.0624601203945692</v>
      </c>
      <c r="Z299" s="959"/>
      <c r="AA299" s="959" t="n">
        <f aca="false">YEAR(X299)</f>
        <v>2026</v>
      </c>
      <c r="AB299" s="959" t="n">
        <f aca="false">MONTH(X299)</f>
        <v>1</v>
      </c>
      <c r="AC299" s="961" t="n">
        <f aca="false">(1+Y299/2)^(-(DATE(AA300,AB300,20)-[2]TradeSum!$A$3)/182.625)</f>
        <v>0.222187708513037</v>
      </c>
      <c r="AD299" s="959"/>
    </row>
    <row r="300" customFormat="false" ht="12.75" hidden="false" customHeight="false" outlineLevel="0" collapsed="false">
      <c r="X300" s="947" t="n">
        <v>46054</v>
      </c>
      <c r="Y300" s="0" t="n">
        <v>0.0624611951338361</v>
      </c>
      <c r="Z300" s="959"/>
      <c r="AA300" s="959" t="n">
        <f aca="false">YEAR(X300)</f>
        <v>2026</v>
      </c>
      <c r="AB300" s="959" t="n">
        <f aca="false">MONTH(X300)</f>
        <v>2</v>
      </c>
      <c r="AC300" s="961" t="n">
        <f aca="false">(1+Y300/2)^(-(DATE(AA301,AB301,20)-[2]TradeSum!$A$3)/182.625)</f>
        <v>0.221136919350514</v>
      </c>
      <c r="AD300" s="959"/>
    </row>
    <row r="301" customFormat="false" ht="12.75" hidden="false" customHeight="false" outlineLevel="0" collapsed="false">
      <c r="X301" s="947" t="n">
        <v>46082</v>
      </c>
      <c r="Y301" s="0" t="n">
        <v>0.0624621658660773</v>
      </c>
      <c r="Z301" s="959"/>
      <c r="AA301" s="959" t="n">
        <f aca="false">YEAR(X301)</f>
        <v>2026</v>
      </c>
      <c r="AB301" s="959" t="n">
        <f aca="false">MONTH(X301)</f>
        <v>3</v>
      </c>
      <c r="AC301" s="961" t="n">
        <f aca="false">(1+Y301/2)^(-(DATE(AA302,AB302,20)-[2]TradeSum!$A$3)/182.625)</f>
        <v>0.219980451261961</v>
      </c>
      <c r="AD301" s="959"/>
    </row>
    <row r="302" customFormat="false" ht="12.75" hidden="false" customHeight="false" outlineLevel="0" collapsed="false">
      <c r="X302" s="947" t="n">
        <v>46113</v>
      </c>
      <c r="Y302" s="0" t="n">
        <v>0.0624632406053456</v>
      </c>
      <c r="Z302" s="959"/>
      <c r="AA302" s="959" t="n">
        <f aca="false">YEAR(X302)</f>
        <v>2026</v>
      </c>
      <c r="AB302" s="959" t="n">
        <f aca="false">MONTH(X302)</f>
        <v>4</v>
      </c>
      <c r="AC302" s="961" t="n">
        <f aca="false">(1+Y302/2)^(-(DATE(AA303,AB303,20)-[2]TradeSum!$A$3)/182.625)</f>
        <v>0.218866304633143</v>
      </c>
      <c r="AD302" s="959"/>
    </row>
    <row r="303" customFormat="false" ht="12.75" hidden="false" customHeight="false" outlineLevel="0" collapsed="false">
      <c r="X303" s="947" t="n">
        <v>46143</v>
      </c>
      <c r="Y303" s="0" t="n">
        <v>0.0624642806756053</v>
      </c>
      <c r="Z303" s="959"/>
      <c r="AA303" s="959" t="n">
        <f aca="false">YEAR(X303)</f>
        <v>2026</v>
      </c>
      <c r="AB303" s="959" t="n">
        <f aca="false">MONTH(X303)</f>
        <v>5</v>
      </c>
      <c r="AC303" s="961" t="n">
        <f aca="false">(1+Y303/2)^(-(DATE(AA304,AB304,20)-[2]TradeSum!$A$3)/182.625)</f>
        <v>0.217721277339544</v>
      </c>
      <c r="AD303" s="959"/>
    </row>
    <row r="304" customFormat="false" ht="12.75" hidden="false" customHeight="false" outlineLevel="0" collapsed="false">
      <c r="X304" s="947" t="n">
        <v>46174</v>
      </c>
      <c r="Y304" s="0" t="n">
        <v>0.062465355414874</v>
      </c>
      <c r="Z304" s="959"/>
      <c r="AA304" s="959" t="n">
        <f aca="false">YEAR(X304)</f>
        <v>2026</v>
      </c>
      <c r="AB304" s="959" t="n">
        <f aca="false">MONTH(X304)</f>
        <v>6</v>
      </c>
      <c r="AC304" s="961" t="n">
        <f aca="false">(1+Y304/2)^(-(DATE(AA305,AB305,20)-[2]TradeSum!$A$3)/182.625)</f>
        <v>0.216618498683312</v>
      </c>
      <c r="AD304" s="959"/>
    </row>
    <row r="305" customFormat="false" ht="12.75" hidden="false" customHeight="false" outlineLevel="0" collapsed="false">
      <c r="X305" s="947" t="n">
        <v>46204</v>
      </c>
      <c r="Y305" s="0" t="n">
        <v>0.0624663954851341</v>
      </c>
      <c r="Z305" s="959"/>
      <c r="AA305" s="959" t="n">
        <f aca="false">YEAR(X305)</f>
        <v>2026</v>
      </c>
      <c r="AB305" s="959" t="n">
        <f aca="false">MONTH(X305)</f>
        <v>7</v>
      </c>
      <c r="AC305" s="961" t="n">
        <f aca="false">(1+Y305/2)^(-(DATE(AA306,AB306,20)-[2]TradeSum!$A$3)/182.625)</f>
        <v>0.215485157279291</v>
      </c>
      <c r="AD305" s="959"/>
    </row>
    <row r="306" customFormat="false" ht="12.75" hidden="false" customHeight="false" outlineLevel="0" collapsed="false">
      <c r="X306" s="947" t="n">
        <v>46235</v>
      </c>
      <c r="Y306" s="0" t="n">
        <v>0.0624674702244037</v>
      </c>
      <c r="Z306" s="959"/>
      <c r="AA306" s="959" t="n">
        <f aca="false">YEAR(X306)</f>
        <v>2026</v>
      </c>
      <c r="AB306" s="959" t="n">
        <f aca="false">MONTH(X306)</f>
        <v>8</v>
      </c>
      <c r="AC306" s="961" t="n">
        <f aca="false">(1+Y306/2)^(-(DATE(AA307,AB307,20)-[2]TradeSum!$A$3)/182.625)</f>
        <v>0.214357528354127</v>
      </c>
      <c r="AD306" s="959"/>
    </row>
    <row r="307" customFormat="false" ht="12.75" hidden="false" customHeight="false" outlineLevel="0" collapsed="false">
      <c r="X307" s="947" t="n">
        <v>46266</v>
      </c>
      <c r="Y307" s="0" t="n">
        <v>0.0624685449636733</v>
      </c>
      <c r="Z307" s="959"/>
      <c r="AA307" s="959" t="n">
        <f aca="false">YEAR(X307)</f>
        <v>2026</v>
      </c>
      <c r="AB307" s="959" t="n">
        <f aca="false">MONTH(X307)</f>
        <v>9</v>
      </c>
      <c r="AC307" s="961" t="n">
        <f aca="false">(1+Y307/2)^(-(DATE(AA308,AB308,20)-[2]TradeSum!$A$3)/182.625)</f>
        <v>0.213271677244633</v>
      </c>
      <c r="AD307" s="959"/>
    </row>
    <row r="308" customFormat="false" ht="12.75" hidden="false" customHeight="false" outlineLevel="0" collapsed="false">
      <c r="X308" s="947" t="n">
        <v>46296</v>
      </c>
      <c r="Y308" s="0" t="n">
        <v>0.0624695850339347</v>
      </c>
      <c r="Z308" s="959"/>
      <c r="AA308" s="959" t="n">
        <f aca="false">YEAR(X308)</f>
        <v>2026</v>
      </c>
      <c r="AB308" s="959" t="n">
        <f aca="false">MONTH(X308)</f>
        <v>10</v>
      </c>
      <c r="AC308" s="961" t="n">
        <f aca="false">(1+Y308/2)^(-(DATE(AA309,AB309,20)-[2]TradeSum!$A$3)/182.625)</f>
        <v>0.212155736728058</v>
      </c>
      <c r="AD308" s="959"/>
    </row>
    <row r="309" customFormat="false" ht="12.75" hidden="false" customHeight="false" outlineLevel="0" collapsed="false">
      <c r="X309" s="947" t="n">
        <v>46327</v>
      </c>
      <c r="Y309" s="0" t="n">
        <v>0.0624706597732052</v>
      </c>
      <c r="Z309" s="959"/>
      <c r="AA309" s="959" t="n">
        <f aca="false">YEAR(X309)</f>
        <v>2026</v>
      </c>
      <c r="AB309" s="959" t="n">
        <f aca="false">MONTH(X309)</f>
        <v>11</v>
      </c>
      <c r="AC309" s="961" t="n">
        <f aca="false">(1+Y309/2)^(-(DATE(AA310,AB310,20)-[2]TradeSum!$A$3)/182.625)</f>
        <v>0.211080966742421</v>
      </c>
      <c r="AD309" s="959"/>
    </row>
    <row r="310" customFormat="false" ht="12.75" hidden="false" customHeight="false" outlineLevel="0" collapsed="false">
      <c r="X310" s="947" t="n">
        <v>46357</v>
      </c>
      <c r="Y310" s="0" t="n">
        <v>0.0624716998434671</v>
      </c>
      <c r="Z310" s="959"/>
      <c r="AA310" s="959" t="n">
        <f aca="false">YEAR(X310)</f>
        <v>2026</v>
      </c>
      <c r="AB310" s="959" t="n">
        <f aca="false">MONTH(X310)</f>
        <v>12</v>
      </c>
      <c r="AC310" s="961" t="n">
        <f aca="false">(1+Y310/2)^(-(DATE(AA311,AB311,20)-[2]TradeSum!$A$3)/182.625)</f>
        <v>0.209976417172007</v>
      </c>
      <c r="AD310" s="959"/>
    </row>
    <row r="311" customFormat="false" ht="12.75" hidden="false" customHeight="false" outlineLevel="0" collapsed="false">
      <c r="X311" s="947" t="n">
        <v>46388</v>
      </c>
      <c r="Y311" s="0" t="n">
        <v>0.0624727745827389</v>
      </c>
      <c r="Z311" s="959"/>
      <c r="AA311" s="959" t="n">
        <f aca="false">YEAR(X311)</f>
        <v>2027</v>
      </c>
      <c r="AB311" s="959" t="n">
        <f aca="false">MONTH(X311)</f>
        <v>1</v>
      </c>
      <c r="AC311" s="961" t="n">
        <f aca="false">(1+Y311/2)^(-(DATE(AA312,AB312,20)-[2]TradeSum!$A$3)/182.625)</f>
        <v>0.208877432996255</v>
      </c>
      <c r="AD311" s="959"/>
    </row>
    <row r="312" customFormat="false" ht="12.75" hidden="false" customHeight="false" outlineLevel="0" collapsed="false">
      <c r="X312" s="947" t="n">
        <v>46419</v>
      </c>
      <c r="Y312" s="0" t="n">
        <v>0.0624738493220103</v>
      </c>
      <c r="Z312" s="959"/>
      <c r="AA312" s="959" t="n">
        <f aca="false">YEAR(X312)</f>
        <v>2027</v>
      </c>
      <c r="AB312" s="959" t="n">
        <f aca="false">MONTH(X312)</f>
        <v>2</v>
      </c>
      <c r="AC312" s="961" t="n">
        <f aca="false">(1+Y312/2)^(-(DATE(AA313,AB313,20)-[2]TradeSum!$A$3)/182.625)</f>
        <v>0.207889179892831</v>
      </c>
      <c r="AD312" s="959"/>
    </row>
    <row r="313" customFormat="false" ht="12.75" hidden="false" customHeight="false" outlineLevel="0" collapsed="false">
      <c r="X313" s="947" t="n">
        <v>46447</v>
      </c>
      <c r="Y313" s="0" t="n">
        <v>0.062474820054256</v>
      </c>
      <c r="Z313" s="959"/>
      <c r="AA313" s="959" t="n">
        <f aca="false">YEAR(X313)</f>
        <v>2027</v>
      </c>
      <c r="AB313" s="959" t="n">
        <f aca="false">MONTH(X313)</f>
        <v>3</v>
      </c>
      <c r="AC313" s="961" t="n">
        <f aca="false">(1+Y313/2)^(-(DATE(AA314,AB314,20)-[2]TradeSum!$A$3)/182.625)</f>
        <v>0.206801582924447</v>
      </c>
      <c r="AD313" s="959"/>
    </row>
    <row r="314" customFormat="false" ht="12.75" hidden="false" customHeight="false" outlineLevel="0" collapsed="false">
      <c r="X314" s="947" t="n">
        <v>46478</v>
      </c>
      <c r="Y314" s="0" t="n">
        <v>0.0624758947935282</v>
      </c>
      <c r="Z314" s="959"/>
      <c r="AA314" s="959" t="n">
        <f aca="false">YEAR(X314)</f>
        <v>2027</v>
      </c>
      <c r="AB314" s="959" t="n">
        <f aca="false">MONTH(X314)</f>
        <v>4</v>
      </c>
      <c r="AC314" s="961" t="n">
        <f aca="false">(1+Y314/2)^(-(DATE(AA315,AB315,20)-[2]TradeSum!$A$3)/182.625)</f>
        <v>0.205753762378143</v>
      </c>
      <c r="AD314" s="959"/>
    </row>
    <row r="315" customFormat="false" ht="12.75" hidden="false" customHeight="false" outlineLevel="0" collapsed="false">
      <c r="X315" s="947" t="n">
        <v>46508</v>
      </c>
      <c r="Y315" s="0" t="n">
        <v>0.0624769348637924</v>
      </c>
      <c r="Z315" s="959"/>
      <c r="AA315" s="959" t="n">
        <f aca="false">YEAR(X315)</f>
        <v>2027</v>
      </c>
      <c r="AB315" s="959" t="n">
        <f aca="false">MONTH(X315)</f>
        <v>5</v>
      </c>
      <c r="AC315" s="961" t="n">
        <f aca="false">(1+Y315/2)^(-(DATE(AA316,AB316,20)-[2]TradeSum!$A$3)/182.625)</f>
        <v>0.204676915616885</v>
      </c>
      <c r="AD315" s="959"/>
    </row>
    <row r="316" customFormat="false" ht="12.75" hidden="false" customHeight="false" outlineLevel="0" collapsed="false">
      <c r="X316" s="947" t="n">
        <v>46539</v>
      </c>
      <c r="Y316" s="0" t="n">
        <v>0.0624780096030655</v>
      </c>
      <c r="Z316" s="959"/>
      <c r="AA316" s="959" t="n">
        <f aca="false">YEAR(X316)</f>
        <v>2027</v>
      </c>
      <c r="AB316" s="959" t="n">
        <f aca="false">MONTH(X316)</f>
        <v>6</v>
      </c>
      <c r="AC316" s="961" t="n">
        <f aca="false">(1+Y316/2)^(-(DATE(AA317,AB317,20)-[2]TradeSum!$A$3)/182.625)</f>
        <v>0.20363979057764</v>
      </c>
      <c r="AD316" s="959"/>
    </row>
    <row r="317" customFormat="false" ht="12.75" hidden="false" customHeight="false" outlineLevel="0" collapsed="false">
      <c r="X317" s="947" t="n">
        <v>46569</v>
      </c>
      <c r="Y317" s="0" t="n">
        <v>0.0624790496733301</v>
      </c>
      <c r="Z317" s="959"/>
      <c r="AA317" s="959" t="n">
        <f aca="false">YEAR(X317)</f>
        <v>2027</v>
      </c>
      <c r="AB317" s="959" t="n">
        <f aca="false">MONTH(X317)</f>
        <v>7</v>
      </c>
      <c r="AC317" s="961" t="n">
        <f aca="false">(1+Y317/2)^(-(DATE(AA318,AB318,20)-[2]TradeSum!$A$3)/182.625)</f>
        <v>0.202573938266955</v>
      </c>
      <c r="AD317" s="959"/>
    </row>
    <row r="318" customFormat="false" ht="12.75" hidden="false" customHeight="false" outlineLevel="0" collapsed="false">
      <c r="X318" s="947" t="n">
        <v>46600</v>
      </c>
      <c r="Y318" s="0" t="n">
        <v>0.0624801244126036</v>
      </c>
      <c r="Z318" s="959"/>
      <c r="AA318" s="959" t="n">
        <f aca="false">YEAR(X318)</f>
        <v>2027</v>
      </c>
      <c r="AB318" s="959" t="n">
        <f aca="false">MONTH(X318)</f>
        <v>8</v>
      </c>
      <c r="AC318" s="961" t="n">
        <f aca="false">(1+Y318/2)^(-(DATE(AA319,AB319,20)-[2]TradeSum!$A$3)/182.625)</f>
        <v>0.201513453748437</v>
      </c>
      <c r="AD318" s="959"/>
    </row>
    <row r="319" customFormat="false" ht="12.75" hidden="false" customHeight="false" outlineLevel="0" collapsed="false">
      <c r="X319" s="947" t="n">
        <v>46631</v>
      </c>
      <c r="Y319" s="0" t="n">
        <v>0.0624811991518781</v>
      </c>
      <c r="Z319" s="959"/>
      <c r="AA319" s="959" t="n">
        <f aca="false">YEAR(X319)</f>
        <v>2027</v>
      </c>
      <c r="AB319" s="959" t="n">
        <f aca="false">MONTH(X319)</f>
        <v>9</v>
      </c>
      <c r="AC319" s="961" t="n">
        <f aca="false">(1+Y319/2)^(-(DATE(AA320,AB320,20)-[2]TradeSum!$A$3)/182.625)</f>
        <v>0.200492254834261</v>
      </c>
      <c r="AD319" s="959"/>
    </row>
    <row r="320" customFormat="false" ht="12.75" hidden="false" customHeight="false" outlineLevel="0" collapsed="false">
      <c r="X320" s="947" t="n">
        <v>46661</v>
      </c>
      <c r="Y320" s="0" t="n">
        <v>0.062482239222144</v>
      </c>
      <c r="Z320" s="959"/>
      <c r="AA320" s="959" t="n">
        <f aca="false">YEAR(X320)</f>
        <v>2027</v>
      </c>
      <c r="AB320" s="959" t="n">
        <f aca="false">MONTH(X320)</f>
        <v>10</v>
      </c>
      <c r="AC320" s="961" t="n">
        <f aca="false">(1+Y320/2)^(-(DATE(AA321,AB321,20)-[2]TradeSum!$A$3)/182.625)</f>
        <v>0.199442773737789</v>
      </c>
      <c r="AD320" s="959"/>
    </row>
    <row r="321" customFormat="false" ht="12.75" hidden="false" customHeight="false" outlineLevel="0" collapsed="false">
      <c r="X321" s="947" t="n">
        <v>46692</v>
      </c>
      <c r="Y321" s="0" t="n">
        <v>0.0624833139614194</v>
      </c>
      <c r="Z321" s="959"/>
      <c r="AA321" s="959" t="n">
        <f aca="false">YEAR(X321)</f>
        <v>2027</v>
      </c>
      <c r="AB321" s="959" t="n">
        <f aca="false">MONTH(X321)</f>
        <v>11</v>
      </c>
      <c r="AC321" s="961" t="n">
        <f aca="false">(1+Y321/2)^(-(DATE(AA322,AB322,20)-[2]TradeSum!$A$3)/182.625)</f>
        <v>0.198432000341676</v>
      </c>
      <c r="AD321" s="959"/>
    </row>
    <row r="322" customFormat="false" ht="12.75" hidden="false" customHeight="false" outlineLevel="0" collapsed="false">
      <c r="X322" s="947" t="n">
        <v>46722</v>
      </c>
      <c r="Y322" s="0" t="n">
        <v>0.0624843540316857</v>
      </c>
      <c r="Z322" s="959"/>
      <c r="AA322" s="959" t="n">
        <f aca="false">YEAR(X322)</f>
        <v>2027</v>
      </c>
      <c r="AB322" s="959" t="n">
        <f aca="false">MONTH(X322)</f>
        <v>12</v>
      </c>
      <c r="AC322" s="961" t="n">
        <f aca="false">(1+Y322/2)^(-(DATE(AA323,AB323,20)-[2]TradeSum!$A$3)/182.625)</f>
        <v>0.197393236092165</v>
      </c>
      <c r="AD322" s="959"/>
    </row>
    <row r="323" customFormat="false" ht="12.75" hidden="false" customHeight="false" outlineLevel="0" collapsed="false">
      <c r="X323" s="947" t="n">
        <v>46753</v>
      </c>
      <c r="Y323" s="0" t="n">
        <v>0.0624854287709615</v>
      </c>
      <c r="Z323" s="959"/>
      <c r="AA323" s="959" t="n">
        <f aca="false">YEAR(X323)</f>
        <v>2028</v>
      </c>
      <c r="AB323" s="959" t="n">
        <f aca="false">MONTH(X323)</f>
        <v>1</v>
      </c>
      <c r="AC323" s="961" t="n">
        <f aca="false">(1+Y323/2)^(-(DATE(AA324,AB324,20)-[2]TradeSum!$A$3)/182.625)</f>
        <v>0.196359701372099</v>
      </c>
      <c r="AD323" s="959"/>
    </row>
    <row r="324" customFormat="false" ht="12.75" hidden="false" customHeight="false" outlineLevel="0" collapsed="false">
      <c r="X324" s="947" t="n">
        <v>46784</v>
      </c>
      <c r="Y324" s="0" t="n">
        <v>0.0624865035102373</v>
      </c>
      <c r="Z324" s="959"/>
      <c r="AA324" s="959" t="n">
        <f aca="false">YEAR(X324)</f>
        <v>2028</v>
      </c>
      <c r="AB324" s="959" t="n">
        <f aca="false">MONTH(X324)</f>
        <v>2</v>
      </c>
      <c r="AC324" s="961" t="n">
        <f aca="false">(1+Y324/2)^(-(DATE(AA325,AB325,20)-[2]TradeSum!$A$3)/182.625)</f>
        <v>0.195397366023322</v>
      </c>
      <c r="AD324" s="959"/>
    </row>
    <row r="325" customFormat="false" ht="12.75" hidden="false" customHeight="false" outlineLevel="0" collapsed="false">
      <c r="X325" s="947" t="n">
        <v>46813</v>
      </c>
      <c r="Y325" s="0" t="n">
        <v>0.0624875089114965</v>
      </c>
      <c r="Z325" s="959"/>
      <c r="AA325" s="959" t="n">
        <f aca="false">YEAR(X325)</f>
        <v>2028</v>
      </c>
      <c r="AB325" s="959" t="n">
        <f aca="false">MONTH(X325)</f>
        <v>3</v>
      </c>
      <c r="AC325" s="961" t="n">
        <f aca="false">(1+Y325/2)^(-(DATE(AA326,AB326,20)-[2]TradeSum!$A$3)/182.625)</f>
        <v>0.19437456176101</v>
      </c>
      <c r="AD325" s="959"/>
    </row>
    <row r="326" customFormat="false" ht="12.75" hidden="false" customHeight="false" outlineLevel="0" collapsed="false">
      <c r="X326" s="947" t="n">
        <v>46844</v>
      </c>
      <c r="Y326" s="0" t="n">
        <v>0.0624885836507731</v>
      </c>
      <c r="Z326" s="959"/>
      <c r="AA326" s="959" t="n">
        <f aca="false">YEAR(X326)</f>
        <v>2028</v>
      </c>
      <c r="AB326" s="959" t="n">
        <f aca="false">MONTH(X326)</f>
        <v>4</v>
      </c>
      <c r="AC326" s="961" t="n">
        <f aca="false">(1+Y326/2)^(-(DATE(AA327,AB327,20)-[2]TradeSum!$A$3)/182.625)</f>
        <v>0.193389308968494</v>
      </c>
      <c r="AD326" s="959"/>
    </row>
    <row r="327" customFormat="false" ht="12.75" hidden="false" customHeight="false" outlineLevel="0" collapsed="false">
      <c r="X327" s="947" t="n">
        <v>46874</v>
      </c>
      <c r="Y327" s="0" t="n">
        <v>0.0624896237210417</v>
      </c>
      <c r="Z327" s="959"/>
      <c r="AA327" s="959" t="n">
        <f aca="false">YEAR(X327)</f>
        <v>2028</v>
      </c>
      <c r="AB327" s="959" t="n">
        <f aca="false">MONTH(X327)</f>
        <v>5</v>
      </c>
      <c r="AC327" s="961" t="n">
        <f aca="false">(1+Y327/2)^(-(DATE(AA328,AB328,20)-[2]TradeSum!$A$3)/182.625)</f>
        <v>0.19237677834988</v>
      </c>
      <c r="AD327" s="959"/>
    </row>
    <row r="328" customFormat="false" ht="12.75" hidden="false" customHeight="false" outlineLevel="0" collapsed="false">
      <c r="X328" s="947" t="n">
        <v>46905</v>
      </c>
      <c r="Y328" s="0" t="n">
        <v>0.0624906984603193</v>
      </c>
      <c r="Z328" s="959"/>
      <c r="AA328" s="959" t="n">
        <f aca="false">YEAR(X328)</f>
        <v>2028</v>
      </c>
      <c r="AB328" s="959" t="n">
        <f aca="false">MONTH(X328)</f>
        <v>6</v>
      </c>
      <c r="AC328" s="961" t="n">
        <f aca="false">(1+Y328/2)^(-(DATE(AA329,AB329,20)-[2]TradeSum!$A$3)/182.625)</f>
        <v>0.191401586446134</v>
      </c>
      <c r="AD328" s="959"/>
    </row>
    <row r="329" customFormat="false" ht="12.75" hidden="false" customHeight="false" outlineLevel="0" collapsed="false">
      <c r="X329" s="947" t="n">
        <v>46935</v>
      </c>
      <c r="Y329" s="0" t="n">
        <v>0.0624917385305883</v>
      </c>
      <c r="Z329" s="959"/>
      <c r="AA329" s="959" t="n">
        <f aca="false">YEAR(X329)</f>
        <v>2028</v>
      </c>
      <c r="AB329" s="959" t="n">
        <f aca="false">MONTH(X329)</f>
        <v>7</v>
      </c>
      <c r="AC329" s="961" t="n">
        <f aca="false">(1+Y329/2)^(-(DATE(AA330,AB330,20)-[2]TradeSum!$A$3)/182.625)</f>
        <v>0.1903993977643</v>
      </c>
      <c r="AD329" s="959"/>
    </row>
    <row r="330" customFormat="false" ht="12.75" hidden="false" customHeight="false" outlineLevel="0" collapsed="false">
      <c r="X330" s="947" t="n">
        <v>46966</v>
      </c>
      <c r="Y330" s="0" t="n">
        <v>0.0624928132698668</v>
      </c>
      <c r="Z330" s="959"/>
      <c r="AA330" s="959" t="n">
        <f aca="false">YEAR(X330)</f>
        <v>2028</v>
      </c>
      <c r="AB330" s="959" t="n">
        <f aca="false">MONTH(X330)</f>
        <v>8</v>
      </c>
      <c r="AC330" s="961" t="n">
        <f aca="false">(1+Y330/2)^(-(DATE(AA331,AB331,20)-[2]TradeSum!$A$3)/182.625)</f>
        <v>0.189402252002581</v>
      </c>
      <c r="AD330" s="959"/>
    </row>
    <row r="331" customFormat="false" ht="12.75" hidden="false" customHeight="false" outlineLevel="0" collapsed="false">
      <c r="X331" s="947" t="n">
        <v>46997</v>
      </c>
      <c r="Y331" s="0" t="n">
        <v>0.0624938880091457</v>
      </c>
      <c r="Z331" s="959"/>
      <c r="AA331" s="959" t="n">
        <f aca="false">YEAR(X331)</f>
        <v>2028</v>
      </c>
      <c r="AB331" s="959" t="n">
        <f aca="false">MONTH(X331)</f>
        <v>9</v>
      </c>
      <c r="AC331" s="961" t="n">
        <f aca="false">(1+Y331/2)^(-(DATE(AA332,AB332,20)-[2]TradeSum!$A$3)/182.625)</f>
        <v>0.18844204116852</v>
      </c>
      <c r="AD331" s="959"/>
    </row>
    <row r="332" customFormat="false" ht="12.75" hidden="false" customHeight="false" outlineLevel="0" collapsed="false">
      <c r="X332" s="947" t="n">
        <v>47027</v>
      </c>
      <c r="Y332" s="0" t="n">
        <v>0.0624949280794156</v>
      </c>
      <c r="Z332" s="959"/>
      <c r="AA332" s="959" t="n">
        <f aca="false">YEAR(X332)</f>
        <v>2028</v>
      </c>
      <c r="AB332" s="959" t="n">
        <f aca="false">MONTH(X332)</f>
        <v>10</v>
      </c>
      <c r="AC332" s="961" t="n">
        <f aca="false">(1+Y332/2)^(-(DATE(AA333,AB333,20)-[2]TradeSum!$A$3)/182.625)</f>
        <v>0.187455251999192</v>
      </c>
      <c r="AD332" s="959"/>
    </row>
    <row r="333" customFormat="false" ht="12.75" hidden="false" customHeight="false" outlineLevel="0" collapsed="false">
      <c r="X333" s="947" t="n">
        <v>47058</v>
      </c>
      <c r="Y333" s="0" t="n">
        <v>0.0624960028186949</v>
      </c>
      <c r="Z333" s="959"/>
      <c r="AA333" s="959" t="n">
        <f aca="false">YEAR(X333)</f>
        <v>2028</v>
      </c>
      <c r="AB333" s="959" t="n">
        <f aca="false">MONTH(X333)</f>
        <v>11</v>
      </c>
      <c r="AC333" s="961" t="n">
        <f aca="false">(1+Y333/2)^(-(DATE(AA334,AB334,20)-[2]TradeSum!$A$3)/182.625)</f>
        <v>0.186504847982252</v>
      </c>
      <c r="AD333" s="959"/>
    </row>
    <row r="334" customFormat="false" ht="12.75" hidden="false" customHeight="false" outlineLevel="0" collapsed="false">
      <c r="X334" s="947" t="n">
        <v>47088</v>
      </c>
      <c r="Y334" s="0" t="n">
        <v>0.0624970428889657</v>
      </c>
      <c r="Z334" s="959"/>
      <c r="AA334" s="959" t="n">
        <f aca="false">YEAR(X334)</f>
        <v>2028</v>
      </c>
      <c r="AB334" s="959" t="n">
        <f aca="false">MONTH(X334)</f>
        <v>12</v>
      </c>
      <c r="AC334" s="961" t="n">
        <f aca="false">(1+Y334/2)^(-(DATE(AA335,AB335,20)-[2]TradeSum!$A$3)/182.625)</f>
        <v>0.185528139516414</v>
      </c>
      <c r="AD334" s="959"/>
    </row>
    <row r="335" customFormat="false" ht="12.75" hidden="false" customHeight="false" outlineLevel="0" collapsed="false">
      <c r="X335" s="947" t="n">
        <v>47119</v>
      </c>
      <c r="Y335" s="0" t="n">
        <v>0.0624981176282464</v>
      </c>
      <c r="Z335" s="959"/>
      <c r="AA335" s="959" t="n">
        <f aca="false">YEAR(X335)</f>
        <v>2029</v>
      </c>
      <c r="AB335" s="959" t="n">
        <f aca="false">MONTH(X335)</f>
        <v>1</v>
      </c>
      <c r="AC335" s="961" t="n">
        <f aca="false">(1+Y335/2)^(-(DATE(AA336,AB336,20)-[2]TradeSum!$A$3)/182.625)</f>
        <v>0.184556344025595</v>
      </c>
      <c r="AD335" s="959"/>
    </row>
    <row r="336" customFormat="false" ht="12.75" hidden="false" customHeight="false" outlineLevel="0" collapsed="false">
      <c r="X336" s="947" t="n">
        <v>47150</v>
      </c>
      <c r="Y336" s="0" t="n">
        <v>0.0624991923675271</v>
      </c>
      <c r="Z336" s="959"/>
      <c r="AA336" s="959" t="n">
        <f aca="false">YEAR(X336)</f>
        <v>2029</v>
      </c>
      <c r="AB336" s="959" t="n">
        <f aca="false">MONTH(X336)</f>
        <v>2</v>
      </c>
      <c r="AC336" s="961" t="n">
        <f aca="false">(1+Y336/2)^(-(DATE(AA337,AB337,20)-[2]TradeSum!$A$3)/182.625)</f>
        <v>0.183682431171468</v>
      </c>
      <c r="AD336" s="959"/>
    </row>
    <row r="337" customFormat="false" ht="12.75" hidden="false" customHeight="false" outlineLevel="0" collapsed="false">
      <c r="X337" s="947" t="n">
        <v>47178</v>
      </c>
      <c r="Y337" s="0" t="n">
        <v>0.0625001630997812</v>
      </c>
      <c r="Z337" s="959"/>
      <c r="AA337" s="959" t="n">
        <f aca="false">YEAR(X337)</f>
        <v>2029</v>
      </c>
      <c r="AB337" s="959" t="n">
        <f aca="false">MONTH(X337)</f>
        <v>3</v>
      </c>
      <c r="AC337" s="961" t="n">
        <f aca="false">(1+Y337/2)^(-(DATE(AA338,AB338,20)-[2]TradeSum!$A$3)/182.625)</f>
        <v>0.182720749393199</v>
      </c>
      <c r="AD337" s="959"/>
    </row>
    <row r="338" customFormat="false" ht="12.75" hidden="false" customHeight="false" outlineLevel="0" collapsed="false">
      <c r="X338" s="947" t="n">
        <v>47209</v>
      </c>
      <c r="Y338" s="0" t="n">
        <v>0.0625012378390624</v>
      </c>
      <c r="Z338" s="959"/>
      <c r="AA338" s="959" t="n">
        <f aca="false">YEAR(X338)</f>
        <v>2029</v>
      </c>
      <c r="AB338" s="959" t="n">
        <f aca="false">MONTH(X338)</f>
        <v>4</v>
      </c>
      <c r="AC338" s="961" t="n">
        <f aca="false">(1+Y338/2)^(-(DATE(AA339,AB339,20)-[2]TradeSum!$A$3)/182.625)</f>
        <v>0.181794195340865</v>
      </c>
      <c r="AD338" s="959"/>
    </row>
    <row r="339" customFormat="false" ht="12.75" hidden="false" customHeight="false" outlineLevel="0" collapsed="false">
      <c r="X339" s="947" t="n">
        <v>47239</v>
      </c>
      <c r="Y339" s="0" t="n">
        <v>0.0625022779093349</v>
      </c>
      <c r="Z339" s="959"/>
      <c r="AA339" s="959" t="n">
        <f aca="false">YEAR(X339)</f>
        <v>2029</v>
      </c>
      <c r="AB339" s="959" t="n">
        <f aca="false">MONTH(X339)</f>
        <v>5</v>
      </c>
      <c r="AC339" s="961" t="n">
        <f aca="false">(1+Y339/2)^(-(DATE(AA340,AB340,20)-[2]TradeSum!$A$3)/182.625)</f>
        <v>0.180842002817391</v>
      </c>
      <c r="AD339" s="959"/>
    </row>
    <row r="340" customFormat="false" ht="12.75" hidden="false" customHeight="false" outlineLevel="0" collapsed="false">
      <c r="X340" s="947" t="n">
        <v>47270</v>
      </c>
      <c r="Y340" s="0" t="n">
        <v>0.0625033526486174</v>
      </c>
      <c r="Z340" s="959"/>
      <c r="AA340" s="959" t="n">
        <f aca="false">YEAR(X340)</f>
        <v>2029</v>
      </c>
      <c r="AB340" s="959" t="n">
        <f aca="false">MONTH(X340)</f>
        <v>6</v>
      </c>
      <c r="AC340" s="961" t="n">
        <f aca="false">(1+Y340/2)^(-(DATE(AA341,AB341,20)-[2]TradeSum!$A$3)/182.625)</f>
        <v>0.17992491403684</v>
      </c>
      <c r="AD340" s="959"/>
    </row>
    <row r="341" customFormat="false" ht="12.75" hidden="false" customHeight="false" outlineLevel="0" collapsed="false">
      <c r="X341" s="947" t="n">
        <v>47300</v>
      </c>
      <c r="Y341" s="0" t="n">
        <v>0.0625043927188904</v>
      </c>
      <c r="Z341" s="959"/>
      <c r="AA341" s="959" t="n">
        <f aca="false">YEAR(X341)</f>
        <v>2029</v>
      </c>
      <c r="AB341" s="959" t="n">
        <f aca="false">MONTH(X341)</f>
        <v>7</v>
      </c>
      <c r="AC341" s="961" t="n">
        <f aca="false">(1+Y341/2)^(-(DATE(AA342,AB342,20)-[2]TradeSum!$A$3)/182.625)</f>
        <v>0.178982451046939</v>
      </c>
      <c r="AD341" s="959"/>
    </row>
    <row r="342" customFormat="false" ht="12.75" hidden="false" customHeight="false" outlineLevel="0" collapsed="false">
      <c r="X342" s="947" t="n">
        <v>47331</v>
      </c>
      <c r="Y342" s="0" t="n">
        <v>0.0625054674581738</v>
      </c>
      <c r="Z342" s="959"/>
      <c r="AA342" s="959" t="n">
        <f aca="false">YEAR(X342)</f>
        <v>2029</v>
      </c>
      <c r="AB342" s="959" t="n">
        <f aca="false">MONTH(X342)</f>
        <v>8</v>
      </c>
      <c r="AC342" s="961" t="n">
        <f aca="false">(1+Y342/2)^(-(DATE(AA343,AB343,20)-[2]TradeSum!$A$3)/182.625)</f>
        <v>0.178044726459626</v>
      </c>
      <c r="AD342" s="959"/>
    </row>
    <row r="343" customFormat="false" ht="12.75" hidden="false" customHeight="false" outlineLevel="0" collapsed="false">
      <c r="X343" s="947" t="n">
        <v>47362</v>
      </c>
      <c r="Y343" s="0" t="n">
        <v>0.0625065421974571</v>
      </c>
      <c r="Z343" s="959"/>
      <c r="AA343" s="959" t="n">
        <f aca="false">YEAR(X343)</f>
        <v>2029</v>
      </c>
      <c r="AB343" s="959" t="n">
        <f aca="false">MONTH(X343)</f>
        <v>9</v>
      </c>
      <c r="AC343" s="961" t="n">
        <f aca="false">(1+Y343/2)^(-(DATE(AA344,AB344,20)-[2]TradeSum!$A$3)/182.625)</f>
        <v>0.177141731777655</v>
      </c>
      <c r="AD343" s="959"/>
    </row>
    <row r="344" customFormat="false" ht="12.75" hidden="false" customHeight="false" outlineLevel="0" collapsed="false">
      <c r="X344" s="947" t="n">
        <v>47392</v>
      </c>
      <c r="Y344" s="0" t="n">
        <v>0.0625075822677314</v>
      </c>
      <c r="Z344" s="959"/>
      <c r="AA344" s="959" t="n">
        <f aca="false">YEAR(X344)</f>
        <v>2029</v>
      </c>
      <c r="AB344" s="959" t="n">
        <f aca="false">MONTH(X344)</f>
        <v>10</v>
      </c>
      <c r="AC344" s="961" t="n">
        <f aca="false">(1+Y344/2)^(-(DATE(AA345,AB345,20)-[2]TradeSum!$A$3)/182.625)</f>
        <v>0.176213756334678</v>
      </c>
      <c r="AD344" s="959"/>
    </row>
    <row r="345" customFormat="false" ht="12.75" hidden="false" customHeight="false" outlineLevel="0" collapsed="false">
      <c r="X345" s="947" t="n">
        <v>47423</v>
      </c>
      <c r="Y345" s="0" t="n">
        <v>0.0625086570070152</v>
      </c>
      <c r="Z345" s="959"/>
      <c r="AA345" s="959" t="n">
        <f aca="false">YEAR(X345)</f>
        <v>2029</v>
      </c>
      <c r="AB345" s="959" t="n">
        <f aca="false">MONTH(X345)</f>
        <v>11</v>
      </c>
      <c r="AC345" s="961" t="n">
        <f aca="false">(1+Y345/2)^(-(DATE(AA346,AB346,20)-[2]TradeSum!$A$3)/182.625)</f>
        <v>0.175319987798068</v>
      </c>
      <c r="AD345" s="959"/>
    </row>
    <row r="346" customFormat="false" ht="12.75" hidden="false" customHeight="false" outlineLevel="0" collapsed="false">
      <c r="X346" s="947" t="n">
        <v>47453</v>
      </c>
      <c r="Y346" s="0" t="n">
        <v>0.0625096970772905</v>
      </c>
      <c r="Z346" s="959"/>
      <c r="AA346" s="959" t="n">
        <f aca="false">YEAR(X346)</f>
        <v>2029</v>
      </c>
      <c r="AB346" s="959" t="n">
        <f aca="false">MONTH(X346)</f>
        <v>12</v>
      </c>
      <c r="AC346" s="961" t="n">
        <f aca="false">(1+Y346/2)^(-(DATE(AA347,AB347,20)-[2]TradeSum!$A$3)/182.625)</f>
        <v>0.174401496025671</v>
      </c>
      <c r="AD346" s="959"/>
    </row>
    <row r="347" customFormat="false" ht="12.75" hidden="false" customHeight="false" outlineLevel="0" collapsed="false">
      <c r="X347" s="947" t="n">
        <v>47484</v>
      </c>
      <c r="Y347" s="0" t="n">
        <v>0.0625107718165756</v>
      </c>
      <c r="Z347" s="959"/>
      <c r="AA347" s="959" t="n">
        <f aca="false">YEAR(X347)</f>
        <v>2030</v>
      </c>
      <c r="AB347" s="959" t="n">
        <f aca="false">MONTH(X347)</f>
        <v>1</v>
      </c>
      <c r="AC347" s="961" t="n">
        <f aca="false">(1+Y347/2)^(-(DATE(AA348,AB348,20)-[2]TradeSum!$A$3)/182.625)</f>
        <v>0.173487620510322</v>
      </c>
      <c r="AD347" s="959"/>
    </row>
    <row r="348" customFormat="false" ht="12.75" hidden="false" customHeight="false" outlineLevel="0" collapsed="false">
      <c r="X348" s="947" t="n">
        <v>47515</v>
      </c>
      <c r="Y348" s="0" t="n">
        <v>0.0625118465558612</v>
      </c>
      <c r="Z348" s="959"/>
      <c r="AA348" s="959" t="n">
        <f aca="false">YEAR(X348)</f>
        <v>2030</v>
      </c>
      <c r="AB348" s="959" t="n">
        <f aca="false">MONTH(X348)</f>
        <v>2</v>
      </c>
      <c r="AC348" s="961" t="n">
        <f aca="false">(1+Y348/2)^(-(DATE(AA349,AB349,20)-[2]TradeSum!$A$3)/182.625)</f>
        <v>0.172665778160343</v>
      </c>
      <c r="AD348" s="959"/>
    </row>
    <row r="349" customFormat="false" ht="12.75" hidden="false" customHeight="false" outlineLevel="0" collapsed="false">
      <c r="X349" s="947" t="n">
        <v>47543</v>
      </c>
      <c r="Y349" s="0" t="n">
        <v>0.0625128172881189</v>
      </c>
      <c r="Z349" s="959"/>
      <c r="AA349" s="959" t="n">
        <f aca="false">YEAR(X349)</f>
        <v>2030</v>
      </c>
      <c r="AB349" s="959" t="n">
        <f aca="false">MONTH(X349)</f>
        <v>3</v>
      </c>
      <c r="AC349" s="961" t="n">
        <f aca="false">(1+Y349/2)^(-(DATE(AA350,AB350,20)-[2]TradeSum!$A$3)/182.625)</f>
        <v>0.171761434388224</v>
      </c>
      <c r="AD349" s="959"/>
    </row>
    <row r="350" customFormat="false" ht="12.75" hidden="false" customHeight="false" outlineLevel="0" collapsed="false">
      <c r="X350" s="947" t="n">
        <v>47574</v>
      </c>
      <c r="Y350" s="0" t="n">
        <v>0.0625138920274044</v>
      </c>
      <c r="Z350" s="959"/>
      <c r="AA350" s="959" t="n">
        <f aca="false">YEAR(X350)</f>
        <v>2030</v>
      </c>
      <c r="AB350" s="959" t="n">
        <f aca="false">MONTH(X350)</f>
        <v>4</v>
      </c>
      <c r="AC350" s="961" t="n">
        <f aca="false">(1+Y350/2)^(-(DATE(AA351,AB351,20)-[2]TradeSum!$A$3)/182.625)</f>
        <v>0.170890103473646</v>
      </c>
      <c r="AD350" s="959"/>
    </row>
    <row r="351" customFormat="false" ht="12.75" hidden="false" customHeight="false" outlineLevel="0" collapsed="false">
      <c r="X351" s="947" t="n">
        <v>47604</v>
      </c>
      <c r="Y351" s="0" t="n">
        <v>0.0625149320976814</v>
      </c>
      <c r="Z351" s="959"/>
      <c r="AA351" s="959" t="n">
        <f aca="false">YEAR(X351)</f>
        <v>2030</v>
      </c>
      <c r="AB351" s="959" t="n">
        <f aca="false">MONTH(X351)</f>
        <v>5</v>
      </c>
      <c r="AC351" s="961" t="n">
        <f aca="false">(1+Y351/2)^(-(DATE(AA352,AB352,20)-[2]TradeSum!$A$3)/182.625)</f>
        <v>0.169994675513037</v>
      </c>
      <c r="AD351" s="959"/>
    </row>
    <row r="352" customFormat="false" ht="12.75" hidden="false" customHeight="false" outlineLevel="0" collapsed="false">
      <c r="X352" s="947" t="n">
        <v>47635</v>
      </c>
      <c r="Y352" s="0" t="n">
        <v>0.0625160068369683</v>
      </c>
      <c r="Z352" s="959"/>
      <c r="AA352" s="959" t="n">
        <f aca="false">YEAR(X352)</f>
        <v>2030</v>
      </c>
      <c r="AB352" s="959" t="n">
        <f aca="false">MONTH(X352)</f>
        <v>6</v>
      </c>
      <c r="AC352" s="961" t="n">
        <f aca="false">(1+Y352/2)^(-(DATE(AA353,AB353,20)-[2]TradeSum!$A$3)/182.625)</f>
        <v>0.169132249293176</v>
      </c>
      <c r="AD352" s="959"/>
    </row>
    <row r="353" customFormat="false" ht="12.75" hidden="false" customHeight="false" outlineLevel="0" collapsed="false">
      <c r="X353" s="947" t="n">
        <v>47665</v>
      </c>
      <c r="Y353" s="0" t="n">
        <v>0.0625170469072462</v>
      </c>
      <c r="Z353" s="959"/>
      <c r="AA353" s="959" t="n">
        <f aca="false">YEAR(X353)</f>
        <v>2030</v>
      </c>
      <c r="AB353" s="959" t="n">
        <f aca="false">MONTH(X353)</f>
        <v>7</v>
      </c>
      <c r="AC353" s="961" t="n">
        <f aca="false">(1+Y353/2)^(-(DATE(AA354,AB354,20)-[2]TradeSum!$A$3)/182.625)</f>
        <v>0.168245974499292</v>
      </c>
      <c r="AD353" s="959"/>
    </row>
    <row r="354" customFormat="false" ht="12.75" hidden="false" customHeight="false" outlineLevel="0" collapsed="false">
      <c r="X354" s="947" t="n">
        <v>47696</v>
      </c>
      <c r="Y354" s="0" t="n">
        <v>0.062518121646534</v>
      </c>
      <c r="Z354" s="959"/>
      <c r="AA354" s="959" t="n">
        <f aca="false">YEAR(X354)</f>
        <v>2030</v>
      </c>
      <c r="AB354" s="959" t="n">
        <f aca="false">MONTH(X354)</f>
        <v>8</v>
      </c>
      <c r="AC354" s="961" t="n">
        <f aca="false">(1+Y354/2)^(-(DATE(AA355,AB355,20)-[2]TradeSum!$A$3)/182.625)</f>
        <v>0.167364151870208</v>
      </c>
      <c r="AD354" s="959"/>
    </row>
    <row r="355" customFormat="false" ht="12.75" hidden="false" customHeight="false" outlineLevel="0" collapsed="false">
      <c r="X355" s="947" t="n">
        <v>47727</v>
      </c>
      <c r="Y355" s="0" t="n">
        <v>0.0625191963858214</v>
      </c>
      <c r="Z355" s="959"/>
      <c r="AA355" s="959" t="n">
        <f aca="false">YEAR(X355)</f>
        <v>2030</v>
      </c>
      <c r="AB355" s="959" t="n">
        <f aca="false">MONTH(X355)</f>
        <v>9</v>
      </c>
      <c r="AC355" s="961" t="n">
        <f aca="false">(1+Y355/2)^(-(DATE(AA356,AB356,20)-[2]TradeSum!$A$3)/182.625)</f>
        <v>0.166514984962369</v>
      </c>
      <c r="AD355" s="959"/>
    </row>
    <row r="356" customFormat="false" ht="12.75" hidden="false" customHeight="false" outlineLevel="0" collapsed="false">
      <c r="X356" s="947" t="n">
        <v>47757</v>
      </c>
      <c r="Y356" s="0" t="n">
        <v>0.0625202364561002</v>
      </c>
      <c r="Z356" s="959"/>
      <c r="AA356" s="959" t="n">
        <f aca="false">YEAR(X356)</f>
        <v>2030</v>
      </c>
      <c r="AB356" s="959" t="n">
        <f aca="false">MONTH(X356)</f>
        <v>10</v>
      </c>
      <c r="AC356" s="961" t="n">
        <f aca="false">(1+Y356/2)^(-(DATE(AA357,AB357,20)-[2]TradeSum!$A$3)/182.625)</f>
        <v>0.165642339418189</v>
      </c>
      <c r="AD356" s="959"/>
    </row>
    <row r="357" customFormat="false" ht="12.75" hidden="false" customHeight="false" outlineLevel="0" collapsed="false">
      <c r="X357" s="947" t="n">
        <v>47788</v>
      </c>
      <c r="Y357" s="0" t="n">
        <v>0.0625213111953888</v>
      </c>
      <c r="Z357" s="959"/>
      <c r="AA357" s="959" t="n">
        <f aca="false">YEAR(X357)</f>
        <v>2030</v>
      </c>
      <c r="AB357" s="959" t="n">
        <f aca="false">MONTH(X357)</f>
        <v>11</v>
      </c>
      <c r="AC357" s="961" t="n">
        <f aca="false">(1+Y357/2)^(-(DATE(AA358,AB358,20)-[2]TradeSum!$A$3)/182.625)</f>
        <v>0.164801852150378</v>
      </c>
      <c r="AD357" s="959"/>
    </row>
    <row r="358" customFormat="false" ht="12.75" hidden="false" customHeight="false" outlineLevel="0" collapsed="false">
      <c r="X358" s="947" t="n">
        <v>47818</v>
      </c>
      <c r="Y358" s="0" t="n">
        <v>0.0625223512656685</v>
      </c>
      <c r="Z358" s="959"/>
      <c r="AA358" s="959" t="n">
        <f aca="false">YEAR(X358)</f>
        <v>2030</v>
      </c>
      <c r="AB358" s="959" t="n">
        <f aca="false">MONTH(X358)</f>
        <v>12</v>
      </c>
      <c r="AC358" s="961" t="n">
        <f aca="false">(1+Y358/2)^(-(DATE(AA359,AB359,20)-[2]TradeSum!$A$3)/182.625)</f>
        <v>0.163938128381669</v>
      </c>
      <c r="AD358" s="959"/>
    </row>
    <row r="359" customFormat="false" ht="12.75" hidden="false" customHeight="false" outlineLevel="0" collapsed="false">
      <c r="X359" s="947" t="n">
        <v>47849</v>
      </c>
      <c r="Y359" s="0" t="n">
        <v>0.0625234260049581</v>
      </c>
      <c r="Z359" s="959"/>
      <c r="AA359" s="959" t="n">
        <f aca="false">YEAR(X359)</f>
        <v>2031</v>
      </c>
      <c r="AB359" s="959" t="n">
        <f aca="false">MONTH(X359)</f>
        <v>1</v>
      </c>
      <c r="AC359" s="961" t="n">
        <f aca="false">(1+Y359/2)^(-(DATE(AA360,AB360,20)-[2]TradeSum!$A$3)/182.625)</f>
        <v>0.163078741966446</v>
      </c>
      <c r="AD359" s="959"/>
    </row>
    <row r="360" customFormat="false" ht="12.75" hidden="false" customHeight="false" outlineLevel="0" collapsed="false">
      <c r="X360" s="947" t="n">
        <v>47880</v>
      </c>
      <c r="Y360" s="0" t="n">
        <v>0.0625245007442481</v>
      </c>
      <c r="Z360" s="959"/>
      <c r="AA360" s="959" t="n">
        <f aca="false">YEAR(X360)</f>
        <v>2031</v>
      </c>
      <c r="AB360" s="959" t="n">
        <f aca="false">MONTH(X360)</f>
        <v>2</v>
      </c>
      <c r="AC360" s="961" t="n">
        <f aca="false">(1+Y360/2)^(-(DATE(AA361,AB361,20)-[2]TradeSum!$A$3)/182.625)</f>
        <v>0.162305886684703</v>
      </c>
      <c r="AD360" s="959"/>
    </row>
    <row r="361" customFormat="false" ht="12.75" hidden="false" customHeight="false" outlineLevel="0" collapsed="false">
      <c r="X361" s="947" t="n">
        <v>47908</v>
      </c>
      <c r="Y361" s="0" t="n">
        <v>0.0625254714765098</v>
      </c>
      <c r="Z361" s="959"/>
      <c r="AA361" s="959" t="n">
        <f aca="false">YEAR(X361)</f>
        <v>2031</v>
      </c>
      <c r="AB361" s="959" t="n">
        <f aca="false">MONTH(X361)</f>
        <v>3</v>
      </c>
      <c r="AC361" s="961" t="n">
        <f aca="false">(1+Y361/2)^(-(DATE(AA362,AB362,20)-[2]TradeSum!$A$3)/182.625)</f>
        <v>0.16145548325365</v>
      </c>
      <c r="AD361" s="959"/>
    </row>
    <row r="362" customFormat="false" ht="12.75" hidden="false" customHeight="false" outlineLevel="0" collapsed="false">
      <c r="X362" s="947" t="n">
        <v>47939</v>
      </c>
      <c r="Y362" s="0" t="n">
        <v>0.0625265462158002</v>
      </c>
      <c r="Z362" s="959"/>
      <c r="AA362" s="959" t="n">
        <f aca="false">YEAR(X362)</f>
        <v>2031</v>
      </c>
      <c r="AB362" s="959" t="n">
        <f aca="false">MONTH(X362)</f>
        <v>4</v>
      </c>
      <c r="AC362" s="961" t="n">
        <f aca="false">(1+Y362/2)^(-(DATE(AA363,AB363,20)-[2]TradeSum!$A$3)/182.625)</f>
        <v>0.160636104376456</v>
      </c>
      <c r="AD362" s="959"/>
    </row>
    <row r="363" customFormat="false" ht="12.75" hidden="false" customHeight="false" outlineLevel="0" collapsed="false">
      <c r="X363" s="947" t="n">
        <v>47969</v>
      </c>
      <c r="Y363" s="0" t="n">
        <v>0.0625275862860817</v>
      </c>
      <c r="Z363" s="959"/>
      <c r="AA363" s="959" t="n">
        <f aca="false">YEAR(X363)</f>
        <v>2031</v>
      </c>
      <c r="AB363" s="959" t="n">
        <f aca="false">MONTH(X363)</f>
        <v>5</v>
      </c>
      <c r="AC363" s="961" t="n">
        <f aca="false">(1+Y363/2)^(-(DATE(AA364,AB364,20)-[2]TradeSum!$A$3)/182.625)</f>
        <v>0.159794077762621</v>
      </c>
      <c r="AD363" s="959"/>
    </row>
    <row r="364" customFormat="false" ht="12.75" hidden="false" customHeight="false" outlineLevel="0" collapsed="false">
      <c r="X364" s="947" t="n">
        <v>48000</v>
      </c>
      <c r="Y364" s="0" t="n">
        <v>0.062528661025373</v>
      </c>
      <c r="Z364" s="959"/>
      <c r="AA364" s="959" t="n">
        <f aca="false">YEAR(X364)</f>
        <v>2031</v>
      </c>
      <c r="AB364" s="959" t="n">
        <f aca="false">MONTH(X364)</f>
        <v>6</v>
      </c>
      <c r="AC364" s="961" t="n">
        <f aca="false">(1+Y364/2)^(-(DATE(AA365,AB365,20)-[2]TradeSum!$A$3)/182.625)</f>
        <v>0.158983075994819</v>
      </c>
      <c r="AD364" s="959"/>
    </row>
    <row r="365" customFormat="false" ht="12.75" hidden="false" customHeight="false" outlineLevel="0" collapsed="false">
      <c r="X365" s="947" t="n">
        <v>48030</v>
      </c>
      <c r="Y365" s="0" t="n">
        <v>0.0625297010956549</v>
      </c>
      <c r="Z365" s="959"/>
      <c r="AA365" s="959" t="n">
        <f aca="false">YEAR(X365)</f>
        <v>2031</v>
      </c>
      <c r="AB365" s="959" t="n">
        <f aca="false">MONTH(X365)</f>
        <v>7</v>
      </c>
      <c r="AC365" s="961" t="n">
        <f aca="false">(1+Y365/2)^(-(DATE(AA366,AB366,20)-[2]TradeSum!$A$3)/182.625)</f>
        <v>0.158149660110268</v>
      </c>
      <c r="AD365" s="959"/>
    </row>
    <row r="366" customFormat="false" ht="12.75" hidden="false" customHeight="false" outlineLevel="0" collapsed="false">
      <c r="X366" s="947" t="n">
        <v>48061</v>
      </c>
      <c r="Y366" s="0" t="n">
        <v>0.0625307758349472</v>
      </c>
      <c r="Z366" s="959"/>
      <c r="AA366" s="959" t="n">
        <f aca="false">YEAR(X366)</f>
        <v>2031</v>
      </c>
      <c r="AB366" s="959" t="n">
        <f aca="false">MONTH(X366)</f>
        <v>8</v>
      </c>
      <c r="AC366" s="961" t="n">
        <f aca="false">(1+Y366/2)^(-(DATE(AA367,AB367,20)-[2]TradeSum!$A$3)/182.625)</f>
        <v>0.15732042734176</v>
      </c>
      <c r="AD366" s="959"/>
    </row>
    <row r="367" customFormat="false" ht="12.75" hidden="false" customHeight="false" outlineLevel="0" collapsed="false">
      <c r="X367" s="947" t="n">
        <v>48092</v>
      </c>
      <c r="Y367" s="0" t="n">
        <v>0.0625318505742394</v>
      </c>
      <c r="Z367" s="959"/>
      <c r="AA367" s="959" t="n">
        <f aca="false">YEAR(X367)</f>
        <v>2031</v>
      </c>
      <c r="AB367" s="959" t="n">
        <f aca="false">MONTH(X367)</f>
        <v>9</v>
      </c>
      <c r="AC367" s="961" t="n">
        <f aca="false">(1+Y367/2)^(-(DATE(AA368,AB368,20)-[2]TradeSum!$A$3)/182.625)</f>
        <v>1.11130132412414</v>
      </c>
      <c r="AD367" s="959"/>
    </row>
    <row r="368" customFormat="false" ht="12.75" hidden="false" customHeight="false" outlineLevel="0" collapsed="false">
      <c r="X368" s="0"/>
      <c r="Y368" s="0"/>
      <c r="AB368" s="959"/>
      <c r="AC368" s="959"/>
      <c r="AD368" s="959"/>
    </row>
    <row r="369" customFormat="false" ht="12.75" hidden="false" customHeight="false" outlineLevel="0" collapsed="false">
      <c r="X369" s="0"/>
      <c r="Y369" s="0"/>
      <c r="Z369" s="959"/>
      <c r="AB369" s="959"/>
      <c r="AC369" s="959"/>
      <c r="AD369" s="959"/>
    </row>
    <row r="370" customFormat="false" ht="12.75" hidden="false" customHeight="false" outlineLevel="0" collapsed="false">
      <c r="X370" s="0"/>
      <c r="Y370" s="0"/>
      <c r="Z370" s="959"/>
      <c r="AB370" s="959"/>
      <c r="AC370" s="959"/>
      <c r="AD370" s="959"/>
    </row>
    <row r="371" customFormat="false" ht="12.75" hidden="false" customHeight="false" outlineLevel="0" collapsed="false">
      <c r="X371" s="0"/>
      <c r="Y371" s="0"/>
      <c r="Z371" s="959"/>
      <c r="AB371" s="959"/>
      <c r="AC371" s="959"/>
      <c r="AD371" s="959"/>
    </row>
    <row r="372" customFormat="false" ht="12.75" hidden="false" customHeight="false" outlineLevel="0" collapsed="false">
      <c r="X372" s="0"/>
      <c r="Y372" s="0"/>
      <c r="Z372" s="959"/>
      <c r="AB372" s="959"/>
      <c r="AC372" s="959"/>
      <c r="AD372" s="959"/>
    </row>
    <row r="373" customFormat="false" ht="12.75" hidden="false" customHeight="false" outlineLevel="0" collapsed="false">
      <c r="X373" s="0"/>
      <c r="Y373" s="0"/>
      <c r="Z373" s="959"/>
      <c r="AB373" s="959"/>
      <c r="AC373" s="959"/>
      <c r="AD373" s="959"/>
    </row>
    <row r="374" customFormat="false" ht="12.75" hidden="false" customHeight="false" outlineLevel="0" collapsed="false">
      <c r="X374" s="0"/>
      <c r="Y374" s="0"/>
      <c r="Z374" s="959"/>
      <c r="AB374" s="959"/>
      <c r="AC374" s="959"/>
      <c r="AD374" s="959"/>
    </row>
    <row r="375" customFormat="false" ht="12.75" hidden="false" customHeight="false" outlineLevel="0" collapsed="false">
      <c r="X375" s="0"/>
      <c r="Y375" s="0"/>
      <c r="Z375" s="959"/>
      <c r="AB375" s="959"/>
      <c r="AC375" s="959"/>
      <c r="AD375" s="959"/>
    </row>
    <row r="376" customFormat="false" ht="12.75" hidden="false" customHeight="false" outlineLevel="0" collapsed="false">
      <c r="X376" s="0"/>
      <c r="Y376" s="0"/>
      <c r="Z376" s="959"/>
      <c r="AB376" s="959"/>
      <c r="AC376" s="959"/>
      <c r="AD376" s="959"/>
    </row>
    <row r="377" customFormat="false" ht="12.75" hidden="false" customHeight="false" outlineLevel="0" collapsed="false">
      <c r="X377" s="0"/>
      <c r="Y377" s="0"/>
      <c r="Z377" s="959"/>
      <c r="AB377" s="959"/>
      <c r="AC377" s="959"/>
      <c r="AD377" s="959"/>
    </row>
    <row r="378" customFormat="false" ht="12.75" hidden="false" customHeight="false" outlineLevel="0" collapsed="false">
      <c r="X378" s="0"/>
      <c r="Y378" s="0"/>
      <c r="Z378" s="959"/>
      <c r="AB378" s="959"/>
      <c r="AC378" s="959"/>
      <c r="AD378" s="959"/>
    </row>
    <row r="379" customFormat="false" ht="12.75" hidden="false" customHeight="false" outlineLevel="0" collapsed="false">
      <c r="X379" s="0"/>
      <c r="Y379" s="0"/>
      <c r="Z379" s="959"/>
      <c r="AB379" s="959"/>
      <c r="AC379" s="959"/>
      <c r="AD379" s="959"/>
    </row>
    <row r="380" customFormat="false" ht="12.75" hidden="false" customHeight="false" outlineLevel="0" collapsed="false">
      <c r="X380" s="0"/>
      <c r="Y380" s="0"/>
      <c r="AB380" s="959"/>
      <c r="AC380" s="959"/>
      <c r="AD380" s="959"/>
    </row>
    <row r="381" customFormat="false" ht="12.75" hidden="false" customHeight="false" outlineLevel="0" collapsed="false">
      <c r="X381" s="0"/>
      <c r="Y381" s="0"/>
      <c r="AB381" s="959"/>
      <c r="AC381" s="959"/>
      <c r="AD381" s="959"/>
    </row>
    <row r="382" customFormat="false" ht="12.75" hidden="false" customHeight="false" outlineLevel="0" collapsed="false">
      <c r="X382" s="0"/>
      <c r="Y382" s="0"/>
      <c r="AB382" s="959"/>
      <c r="AC382" s="959"/>
      <c r="AD382" s="959"/>
    </row>
    <row r="383" customFormat="false" ht="12.75" hidden="false" customHeight="false" outlineLevel="0" collapsed="false">
      <c r="X383" s="0"/>
      <c r="Y383" s="0"/>
      <c r="AB383" s="959"/>
      <c r="AC383" s="959"/>
      <c r="AD383" s="959"/>
    </row>
    <row r="384" customFormat="false" ht="12.75" hidden="false" customHeight="false" outlineLevel="0" collapsed="false">
      <c r="X384" s="0"/>
      <c r="Y384" s="0"/>
      <c r="AB384" s="959"/>
      <c r="AC384" s="959"/>
      <c r="AD384" s="959"/>
    </row>
    <row r="385" customFormat="false" ht="12.75" hidden="false" customHeight="false" outlineLevel="0" collapsed="false">
      <c r="X385" s="0"/>
      <c r="Y385" s="0"/>
      <c r="AB385" s="959"/>
      <c r="AC385" s="959"/>
      <c r="AD385" s="959"/>
    </row>
    <row r="386" customFormat="false" ht="12.75" hidden="false" customHeight="false" outlineLevel="0" collapsed="false">
      <c r="X386" s="0"/>
      <c r="Y386" s="0"/>
      <c r="AB386" s="959"/>
      <c r="AC386" s="959"/>
      <c r="AD386" s="959"/>
    </row>
    <row r="387" customFormat="false" ht="12.75" hidden="false" customHeight="false" outlineLevel="0" collapsed="false">
      <c r="X387" s="0"/>
      <c r="Y387" s="0"/>
      <c r="AB387" s="959"/>
      <c r="AC387" s="959"/>
      <c r="AD387" s="959"/>
    </row>
    <row r="388" customFormat="false" ht="12.75" hidden="false" customHeight="false" outlineLevel="0" collapsed="false">
      <c r="X388" s="0"/>
      <c r="Y388" s="0"/>
      <c r="AB388" s="959"/>
      <c r="AC388" s="959"/>
      <c r="AD388" s="959"/>
    </row>
    <row r="389" customFormat="false" ht="12.75" hidden="false" customHeight="false" outlineLevel="0" collapsed="false">
      <c r="X389" s="0"/>
      <c r="Y389" s="0"/>
      <c r="AB389" s="959"/>
      <c r="AC389" s="959"/>
      <c r="AD389" s="959"/>
    </row>
    <row r="390" customFormat="false" ht="12.75" hidden="false" customHeight="false" outlineLevel="0" collapsed="false">
      <c r="X390" s="0"/>
      <c r="Y390" s="0"/>
      <c r="AB390" s="959"/>
      <c r="AC390" s="959"/>
      <c r="AD390" s="959"/>
    </row>
    <row r="391" customFormat="false" ht="12.75" hidden="false" customHeight="false" outlineLevel="0" collapsed="false">
      <c r="X391" s="0"/>
      <c r="Y391" s="0"/>
      <c r="AB391" s="959"/>
      <c r="AC391" s="959"/>
      <c r="AD391" s="959"/>
    </row>
    <row r="392" customFormat="false" ht="12.75" hidden="false" customHeight="false" outlineLevel="0" collapsed="false">
      <c r="X392" s="0"/>
      <c r="Y392" s="0"/>
      <c r="AB392" s="959"/>
      <c r="AC392" s="959"/>
      <c r="AD392" s="959"/>
    </row>
    <row r="393" customFormat="false" ht="12.75" hidden="false" customHeight="false" outlineLevel="0" collapsed="false">
      <c r="X393" s="0"/>
      <c r="Y393" s="0"/>
      <c r="AB393" s="959"/>
      <c r="AC393" s="959"/>
      <c r="AD393" s="959"/>
    </row>
    <row r="394" customFormat="false" ht="12.75" hidden="false" customHeight="false" outlineLevel="0" collapsed="false">
      <c r="X394" s="0"/>
      <c r="Y394" s="0"/>
      <c r="AB394" s="959"/>
      <c r="AC394" s="959"/>
      <c r="AD394" s="959"/>
    </row>
    <row r="395" customFormat="false" ht="12.75" hidden="false" customHeight="false" outlineLevel="0" collapsed="false">
      <c r="X395" s="0"/>
      <c r="Y395" s="0"/>
      <c r="AB395" s="959"/>
      <c r="AC395" s="959"/>
      <c r="AD395" s="959"/>
    </row>
    <row r="396" customFormat="false" ht="12.75" hidden="false" customHeight="false" outlineLevel="0" collapsed="false">
      <c r="X396" s="0"/>
      <c r="Y396" s="0"/>
      <c r="AB396" s="959"/>
      <c r="AC396" s="959"/>
      <c r="AD396" s="959"/>
    </row>
    <row r="397" customFormat="false" ht="12.75" hidden="false" customHeight="false" outlineLevel="0" collapsed="false">
      <c r="X397" s="0"/>
      <c r="Y397" s="0"/>
      <c r="AB397" s="959"/>
      <c r="AC397" s="959"/>
      <c r="AD397" s="959"/>
    </row>
    <row r="398" customFormat="false" ht="12.75" hidden="false" customHeight="false" outlineLevel="0" collapsed="false">
      <c r="X398" s="0"/>
      <c r="Y398" s="0"/>
      <c r="AB398" s="959"/>
      <c r="AC398" s="959"/>
      <c r="AD398" s="959"/>
    </row>
    <row r="399" customFormat="false" ht="12.75" hidden="false" customHeight="false" outlineLevel="0" collapsed="false">
      <c r="X399" s="0"/>
      <c r="Y399" s="0"/>
      <c r="AB399" s="959"/>
      <c r="AC399" s="959"/>
      <c r="AD399" s="959"/>
    </row>
    <row r="400" customFormat="false" ht="12.75" hidden="false" customHeight="false" outlineLevel="0" collapsed="false">
      <c r="X400" s="0"/>
      <c r="Y400" s="0"/>
      <c r="AB400" s="959"/>
      <c r="AC400" s="959"/>
      <c r="AD400" s="959"/>
    </row>
    <row r="401" customFormat="false" ht="12.75" hidden="false" customHeight="false" outlineLevel="0" collapsed="false">
      <c r="X401" s="0"/>
      <c r="Y401" s="0"/>
      <c r="AB401" s="959"/>
      <c r="AC401" s="959"/>
      <c r="AD401" s="959"/>
    </row>
    <row r="402" customFormat="false" ht="12.75" hidden="false" customHeight="false" outlineLevel="0" collapsed="false">
      <c r="X402" s="0"/>
      <c r="Y402" s="0"/>
      <c r="AB402" s="959"/>
      <c r="AC402" s="959"/>
      <c r="AD402" s="959"/>
    </row>
    <row r="403" customFormat="false" ht="12.75" hidden="false" customHeight="false" outlineLevel="0" collapsed="false">
      <c r="X403" s="0"/>
      <c r="Y403" s="0"/>
      <c r="AB403" s="959"/>
      <c r="AC403" s="959"/>
      <c r="AD403" s="959"/>
    </row>
    <row r="404" customFormat="false" ht="12.75" hidden="false" customHeight="false" outlineLevel="0" collapsed="false">
      <c r="X404" s="0"/>
      <c r="Y404" s="0"/>
      <c r="AB404" s="959"/>
      <c r="AC404" s="959"/>
      <c r="AD404" s="959"/>
    </row>
    <row r="405" customFormat="false" ht="12.75" hidden="false" customHeight="false" outlineLevel="0" collapsed="false">
      <c r="X405" s="0"/>
      <c r="Y405" s="0"/>
      <c r="AB405" s="959"/>
      <c r="AC405" s="959"/>
      <c r="AD405" s="959"/>
    </row>
    <row r="406" customFormat="false" ht="12.75" hidden="false" customHeight="false" outlineLevel="0" collapsed="false">
      <c r="X406" s="0"/>
      <c r="Y406" s="0"/>
      <c r="AB406" s="959"/>
      <c r="AC406" s="959"/>
      <c r="AD406" s="959"/>
    </row>
    <row r="407" customFormat="false" ht="12.75" hidden="false" customHeight="false" outlineLevel="0" collapsed="false">
      <c r="X407" s="0"/>
      <c r="Y407" s="0"/>
      <c r="AB407" s="959"/>
      <c r="AC407" s="959"/>
      <c r="AD407" s="959"/>
    </row>
    <row r="408" customFormat="false" ht="12.75" hidden="false" customHeight="false" outlineLevel="0" collapsed="false">
      <c r="X408" s="0"/>
      <c r="Y408" s="0"/>
      <c r="AB408" s="959"/>
      <c r="AC408" s="959"/>
      <c r="AD408" s="959"/>
    </row>
    <row r="409" customFormat="false" ht="12.75" hidden="false" customHeight="false" outlineLevel="0" collapsed="false">
      <c r="X409" s="0"/>
      <c r="Y409" s="0"/>
      <c r="AB409" s="959"/>
      <c r="AC409" s="959"/>
      <c r="AD409" s="959"/>
    </row>
    <row r="410" customFormat="false" ht="12.75" hidden="false" customHeight="false" outlineLevel="0" collapsed="false">
      <c r="X410" s="0"/>
      <c r="Y410" s="0"/>
      <c r="AB410" s="959"/>
      <c r="AC410" s="959"/>
      <c r="AD410" s="959"/>
    </row>
    <row r="411" customFormat="false" ht="12.75" hidden="false" customHeight="false" outlineLevel="0" collapsed="false">
      <c r="X411" s="0"/>
      <c r="Y411" s="0"/>
      <c r="AB411" s="959"/>
      <c r="AC411" s="959"/>
      <c r="AD411" s="959"/>
    </row>
    <row r="412" customFormat="false" ht="12.75" hidden="false" customHeight="false" outlineLevel="0" collapsed="false">
      <c r="X412" s="0"/>
      <c r="Y412" s="0"/>
      <c r="AB412" s="959"/>
      <c r="AC412" s="959"/>
      <c r="AD412" s="959"/>
    </row>
    <row r="413" customFormat="false" ht="12.75" hidden="false" customHeight="false" outlineLevel="0" collapsed="false">
      <c r="X413" s="0"/>
      <c r="Y413" s="0"/>
      <c r="AB413" s="959"/>
      <c r="AC413" s="959"/>
      <c r="AD413" s="959"/>
    </row>
    <row r="414" customFormat="false" ht="12.75" hidden="false" customHeight="false" outlineLevel="0" collapsed="false">
      <c r="X414" s="0"/>
      <c r="Y414" s="0"/>
      <c r="AB414" s="959"/>
      <c r="AC414" s="959"/>
      <c r="AD414" s="959"/>
    </row>
    <row r="415" customFormat="false" ht="12.75" hidden="false" customHeight="false" outlineLevel="0" collapsed="false">
      <c r="X415" s="0"/>
      <c r="Y415" s="0"/>
      <c r="AB415" s="959"/>
      <c r="AC415" s="959"/>
      <c r="AD415" s="959"/>
    </row>
    <row r="416" customFormat="false" ht="12.75" hidden="false" customHeight="false" outlineLevel="0" collapsed="false">
      <c r="X416" s="0"/>
      <c r="Y416" s="0"/>
      <c r="AB416" s="959"/>
      <c r="AC416" s="959"/>
      <c r="AD416" s="959"/>
    </row>
    <row r="417" customFormat="false" ht="12.75" hidden="false" customHeight="false" outlineLevel="0" collapsed="false">
      <c r="X417" s="0"/>
      <c r="Y417" s="0"/>
      <c r="AB417" s="959"/>
      <c r="AC417" s="959"/>
      <c r="AD417" s="959"/>
    </row>
    <row r="418" customFormat="false" ht="12.75" hidden="false" customHeight="false" outlineLevel="0" collapsed="false">
      <c r="X418" s="0"/>
      <c r="Y418" s="0"/>
      <c r="AB418" s="959"/>
      <c r="AC418" s="959"/>
      <c r="AD418" s="959"/>
    </row>
    <row r="419" customFormat="false" ht="12.75" hidden="false" customHeight="false" outlineLevel="0" collapsed="false">
      <c r="X419" s="0"/>
      <c r="Y419" s="0"/>
    </row>
    <row r="420" customFormat="false" ht="12.75" hidden="false" customHeight="false" outlineLevel="0" collapsed="false">
      <c r="X420" s="0"/>
      <c r="Y420" s="0"/>
    </row>
    <row r="421" customFormat="false" ht="12.75" hidden="false" customHeight="false" outlineLevel="0" collapsed="false">
      <c r="X421" s="0"/>
      <c r="Y421" s="0"/>
    </row>
    <row r="422" customFormat="false" ht="12.75" hidden="false" customHeight="false" outlineLevel="0" collapsed="false">
      <c r="X422" s="0"/>
      <c r="Y422" s="0"/>
    </row>
    <row r="423" customFormat="false" ht="12.75" hidden="false" customHeight="false" outlineLevel="0" collapsed="false">
      <c r="X423" s="0"/>
      <c r="Y423" s="0"/>
    </row>
    <row r="424" customFormat="false" ht="12.75" hidden="false" customHeight="false" outlineLevel="0" collapsed="false">
      <c r="X424" s="0"/>
      <c r="Y424" s="0"/>
    </row>
    <row r="425" customFormat="false" ht="12.75" hidden="false" customHeight="false" outlineLevel="0" collapsed="false">
      <c r="X425" s="0"/>
      <c r="Y425" s="0"/>
    </row>
    <row r="426" customFormat="false" ht="12.75" hidden="false" customHeight="false" outlineLevel="0" collapsed="false">
      <c r="X426" s="0"/>
      <c r="Y426" s="0"/>
    </row>
    <row r="427" customFormat="false" ht="12.75" hidden="false" customHeight="false" outlineLevel="0" collapsed="false">
      <c r="X427" s="0"/>
      <c r="Y427" s="0"/>
    </row>
    <row r="428" customFormat="false" ht="12.75" hidden="false" customHeight="false" outlineLevel="0" collapsed="false">
      <c r="X428" s="0"/>
      <c r="Y428" s="0"/>
    </row>
    <row r="429" customFormat="false" ht="12.75" hidden="false" customHeight="false" outlineLevel="0" collapsed="false">
      <c r="X429" s="0"/>
      <c r="Y429" s="0"/>
    </row>
    <row r="430" customFormat="false" ht="12.75" hidden="false" customHeight="false" outlineLevel="0" collapsed="false">
      <c r="X430" s="0"/>
      <c r="Y430" s="0"/>
    </row>
    <row r="431" customFormat="false" ht="12.75" hidden="false" customHeight="false" outlineLevel="0" collapsed="false">
      <c r="X431" s="0"/>
      <c r="Y431" s="0"/>
    </row>
    <row r="432" customFormat="false" ht="12.75" hidden="false" customHeight="false" outlineLevel="0" collapsed="false">
      <c r="X432" s="0"/>
      <c r="Y432" s="0"/>
    </row>
    <row r="433" customFormat="false" ht="12.75" hidden="false" customHeight="false" outlineLevel="0" collapsed="false">
      <c r="X433" s="0"/>
      <c r="Y433" s="0"/>
    </row>
    <row r="434" customFormat="false" ht="12.75" hidden="false" customHeight="false" outlineLevel="0" collapsed="false">
      <c r="X434" s="0"/>
      <c r="Y434" s="0"/>
    </row>
    <row r="435" customFormat="false" ht="12.75" hidden="false" customHeight="false" outlineLevel="0" collapsed="false">
      <c r="X435" s="0"/>
      <c r="Y435" s="0"/>
    </row>
    <row r="436" customFormat="false" ht="12.75" hidden="false" customHeight="false" outlineLevel="0" collapsed="false">
      <c r="X436" s="0"/>
      <c r="Y436" s="0"/>
    </row>
    <row r="437" customFormat="false" ht="12.75" hidden="false" customHeight="false" outlineLevel="0" collapsed="false">
      <c r="X437" s="0"/>
      <c r="Y437" s="0"/>
    </row>
    <row r="438" customFormat="false" ht="12.75" hidden="false" customHeight="false" outlineLevel="0" collapsed="false">
      <c r="X438" s="0"/>
      <c r="Y438" s="0"/>
    </row>
    <row r="439" customFormat="false" ht="12.75" hidden="false" customHeight="false" outlineLevel="0" collapsed="false">
      <c r="X439" s="0"/>
      <c r="Y439" s="0"/>
    </row>
    <row r="440" customFormat="false" ht="12.75" hidden="false" customHeight="false" outlineLevel="0" collapsed="false">
      <c r="X440" s="0"/>
      <c r="Y440" s="0"/>
    </row>
    <row r="441" customFormat="false" ht="12.75" hidden="false" customHeight="false" outlineLevel="0" collapsed="false">
      <c r="X441" s="0"/>
      <c r="Y441" s="0"/>
    </row>
    <row r="442" customFormat="false" ht="12.75" hidden="false" customHeight="false" outlineLevel="0" collapsed="false">
      <c r="X442" s="0"/>
      <c r="Y442" s="0"/>
    </row>
    <row r="443" customFormat="false" ht="12.75" hidden="false" customHeight="false" outlineLevel="0" collapsed="false">
      <c r="X443" s="0"/>
      <c r="Y443" s="0"/>
    </row>
    <row r="444" customFormat="false" ht="12.75" hidden="false" customHeight="false" outlineLevel="0" collapsed="false">
      <c r="X444" s="0"/>
      <c r="Y444" s="0"/>
    </row>
    <row r="445" customFormat="false" ht="12.75" hidden="false" customHeight="false" outlineLevel="0" collapsed="false">
      <c r="X445" s="0"/>
      <c r="Y445" s="0"/>
    </row>
    <row r="446" customFormat="false" ht="12.75" hidden="false" customHeight="false" outlineLevel="0" collapsed="false">
      <c r="X446" s="0"/>
      <c r="Y446" s="0"/>
    </row>
    <row r="447" customFormat="false" ht="12.75" hidden="false" customHeight="false" outlineLevel="0" collapsed="false">
      <c r="X447" s="0"/>
      <c r="Y447" s="0"/>
    </row>
    <row r="448" customFormat="false" ht="12.75" hidden="false" customHeight="false" outlineLevel="0" collapsed="false">
      <c r="X448" s="0"/>
      <c r="Y448" s="0"/>
    </row>
    <row r="449" customFormat="false" ht="12.75" hidden="false" customHeight="false" outlineLevel="0" collapsed="false">
      <c r="X449" s="0"/>
      <c r="Y449" s="0"/>
    </row>
    <row r="450" customFormat="false" ht="12.75" hidden="false" customHeight="false" outlineLevel="0" collapsed="false">
      <c r="X450" s="0"/>
      <c r="Y450" s="0"/>
    </row>
    <row r="451" customFormat="false" ht="12.75" hidden="false" customHeight="false" outlineLevel="0" collapsed="false">
      <c r="X451" s="0"/>
      <c r="Y451" s="0"/>
    </row>
    <row r="452" customFormat="false" ht="12.75" hidden="false" customHeight="false" outlineLevel="0" collapsed="false">
      <c r="X452" s="0"/>
      <c r="Y452" s="0"/>
    </row>
    <row r="453" customFormat="false" ht="12.75" hidden="false" customHeight="false" outlineLevel="0" collapsed="false">
      <c r="X453" s="0"/>
      <c r="Y453" s="0"/>
    </row>
    <row r="454" customFormat="false" ht="12.75" hidden="false" customHeight="false" outlineLevel="0" collapsed="false">
      <c r="X454" s="0"/>
      <c r="Y454" s="0"/>
    </row>
    <row r="455" customFormat="false" ht="12.75" hidden="false" customHeight="false" outlineLevel="0" collapsed="false">
      <c r="X455" s="0"/>
      <c r="Y455" s="0"/>
    </row>
    <row r="456" customFormat="false" ht="12.75" hidden="false" customHeight="false" outlineLevel="0" collapsed="false">
      <c r="X456" s="0"/>
      <c r="Y456" s="0"/>
    </row>
    <row r="457" customFormat="false" ht="12.75" hidden="false" customHeight="false" outlineLevel="0" collapsed="false">
      <c r="X457" s="0"/>
      <c r="Y457" s="0"/>
    </row>
    <row r="458" customFormat="false" ht="12.75" hidden="false" customHeight="false" outlineLevel="0" collapsed="false">
      <c r="X458" s="0"/>
      <c r="Y458" s="0"/>
    </row>
    <row r="459" customFormat="false" ht="12.75" hidden="false" customHeight="false" outlineLevel="0" collapsed="false">
      <c r="X459" s="0"/>
      <c r="Y459" s="0"/>
    </row>
    <row r="460" customFormat="false" ht="12.75" hidden="false" customHeight="false" outlineLevel="0" collapsed="false">
      <c r="X460" s="0"/>
      <c r="Y460" s="0"/>
    </row>
    <row r="461" customFormat="false" ht="12.75" hidden="false" customHeight="false" outlineLevel="0" collapsed="false">
      <c r="X461" s="0"/>
      <c r="Y461" s="0"/>
    </row>
    <row r="462" customFormat="false" ht="12.75" hidden="false" customHeight="false" outlineLevel="0" collapsed="false">
      <c r="X462" s="0"/>
      <c r="Y462" s="0"/>
    </row>
    <row r="463" customFormat="false" ht="12.75" hidden="false" customHeight="false" outlineLevel="0" collapsed="false">
      <c r="X463" s="0"/>
      <c r="Y463" s="0"/>
    </row>
    <row r="464" customFormat="false" ht="12.75" hidden="false" customHeight="false" outlineLevel="0" collapsed="false">
      <c r="X464" s="0"/>
      <c r="Y464" s="0"/>
    </row>
    <row r="465" customFormat="false" ht="12.75" hidden="false" customHeight="false" outlineLevel="0" collapsed="false">
      <c r="X465" s="0"/>
      <c r="Y465" s="0"/>
    </row>
    <row r="466" customFormat="false" ht="12.75" hidden="false" customHeight="false" outlineLevel="0" collapsed="false">
      <c r="X466" s="0"/>
      <c r="Y466" s="0"/>
    </row>
    <row r="467" customFormat="false" ht="12.75" hidden="false" customHeight="false" outlineLevel="0" collapsed="false">
      <c r="X467" s="0"/>
      <c r="Y467" s="0"/>
    </row>
    <row r="468" customFormat="false" ht="12.75" hidden="false" customHeight="false" outlineLevel="0" collapsed="false">
      <c r="X468" s="0"/>
      <c r="Y468" s="0"/>
    </row>
    <row r="469" customFormat="false" ht="12.75" hidden="false" customHeight="false" outlineLevel="0" collapsed="false">
      <c r="X469" s="0"/>
      <c r="Y469" s="0"/>
    </row>
    <row r="470" customFormat="false" ht="12.75" hidden="false" customHeight="false" outlineLevel="0" collapsed="false">
      <c r="X470" s="0"/>
      <c r="Y470" s="0"/>
    </row>
    <row r="471" customFormat="false" ht="12.75" hidden="false" customHeight="false" outlineLevel="0" collapsed="false">
      <c r="X471" s="0"/>
      <c r="Y471" s="0"/>
    </row>
    <row r="472" customFormat="false" ht="12.75" hidden="false" customHeight="false" outlineLevel="0" collapsed="false">
      <c r="X472" s="0"/>
      <c r="Y472" s="0"/>
    </row>
    <row r="473" customFormat="false" ht="12.75" hidden="false" customHeight="false" outlineLevel="0" collapsed="false">
      <c r="X473" s="0"/>
      <c r="Y473" s="0"/>
    </row>
    <row r="474" customFormat="false" ht="12.75" hidden="false" customHeight="false" outlineLevel="0" collapsed="false">
      <c r="X474" s="0"/>
      <c r="Y474" s="0"/>
    </row>
    <row r="475" customFormat="false" ht="12.75" hidden="false" customHeight="false" outlineLevel="0" collapsed="false">
      <c r="X475" s="0"/>
      <c r="Y475" s="0"/>
    </row>
    <row r="476" customFormat="false" ht="12.75" hidden="false" customHeight="false" outlineLevel="0" collapsed="false">
      <c r="X476" s="0"/>
      <c r="Y476" s="0"/>
    </row>
    <row r="477" customFormat="false" ht="12.75" hidden="false" customHeight="false" outlineLevel="0" collapsed="false">
      <c r="X477" s="0"/>
      <c r="Y477" s="0"/>
    </row>
    <row r="478" customFormat="false" ht="12.75" hidden="false" customHeight="false" outlineLevel="0" collapsed="false">
      <c r="X478" s="0"/>
      <c r="Y478" s="0"/>
    </row>
    <row r="479" customFormat="false" ht="12.75" hidden="false" customHeight="false" outlineLevel="0" collapsed="false">
      <c r="X479" s="0"/>
      <c r="Y479" s="0"/>
    </row>
    <row r="480" customFormat="false" ht="12.75" hidden="false" customHeight="false" outlineLevel="0" collapsed="false">
      <c r="X480" s="0"/>
      <c r="Y480" s="0"/>
    </row>
    <row r="481" customFormat="false" ht="12.75" hidden="false" customHeight="false" outlineLevel="0" collapsed="false">
      <c r="X481" s="0"/>
      <c r="Y481" s="0"/>
    </row>
    <row r="482" customFormat="false" ht="12.75" hidden="false" customHeight="false" outlineLevel="0" collapsed="false">
      <c r="X482" s="0"/>
      <c r="Y482" s="0"/>
    </row>
    <row r="483" customFormat="false" ht="12.75" hidden="false" customHeight="false" outlineLevel="0" collapsed="false">
      <c r="X483" s="0"/>
      <c r="Y483" s="0"/>
    </row>
    <row r="484" customFormat="false" ht="12.75" hidden="false" customHeight="false" outlineLevel="0" collapsed="false">
      <c r="X484" s="0"/>
      <c r="Y484" s="0"/>
    </row>
    <row r="485" customFormat="false" ht="12.75" hidden="false" customHeight="false" outlineLevel="0" collapsed="false">
      <c r="X485" s="0"/>
      <c r="Y485" s="0"/>
    </row>
    <row r="486" customFormat="false" ht="12.75" hidden="false" customHeight="false" outlineLevel="0" collapsed="false">
      <c r="X486" s="0"/>
      <c r="Y486" s="0"/>
    </row>
    <row r="487" customFormat="false" ht="12.75" hidden="false" customHeight="false" outlineLevel="0" collapsed="false">
      <c r="X487" s="0"/>
      <c r="Y487" s="0"/>
    </row>
    <row r="488" customFormat="false" ht="12.75" hidden="false" customHeight="false" outlineLevel="0" collapsed="false">
      <c r="X488" s="0"/>
      <c r="Y488" s="0"/>
    </row>
    <row r="489" customFormat="false" ht="12.75" hidden="false" customHeight="false" outlineLevel="0" collapsed="false">
      <c r="X489" s="0"/>
      <c r="Y489" s="0"/>
    </row>
    <row r="490" customFormat="false" ht="12.75" hidden="false" customHeight="false" outlineLevel="0" collapsed="false">
      <c r="X490" s="0"/>
      <c r="Y490" s="0"/>
    </row>
    <row r="491" customFormat="false" ht="12.75" hidden="false" customHeight="false" outlineLevel="0" collapsed="false">
      <c r="X491" s="0"/>
      <c r="Y491" s="0"/>
    </row>
    <row r="492" customFormat="false" ht="12.75" hidden="false" customHeight="false" outlineLevel="0" collapsed="false">
      <c r="X492" s="0"/>
      <c r="Y492" s="0"/>
    </row>
    <row r="493" customFormat="false" ht="12.75" hidden="false" customHeight="false" outlineLevel="0" collapsed="false">
      <c r="X493" s="0"/>
      <c r="Y493" s="0"/>
    </row>
    <row r="494" customFormat="false" ht="12.75" hidden="false" customHeight="false" outlineLevel="0" collapsed="false">
      <c r="X494" s="0"/>
      <c r="Y494" s="0"/>
    </row>
    <row r="495" customFormat="false" ht="12.75" hidden="false" customHeight="false" outlineLevel="0" collapsed="false">
      <c r="X495" s="0"/>
      <c r="Y495" s="0"/>
    </row>
    <row r="496" customFormat="false" ht="12.75" hidden="false" customHeight="false" outlineLevel="0" collapsed="false">
      <c r="X496" s="0"/>
      <c r="Y496" s="0"/>
    </row>
    <row r="497" customFormat="false" ht="12.75" hidden="false" customHeight="false" outlineLevel="0" collapsed="false">
      <c r="X497" s="0"/>
      <c r="Y497" s="0"/>
    </row>
    <row r="498" customFormat="false" ht="12.75" hidden="false" customHeight="false" outlineLevel="0" collapsed="false">
      <c r="X498" s="0"/>
      <c r="Y498" s="0"/>
    </row>
    <row r="499" customFormat="false" ht="12.75" hidden="false" customHeight="false" outlineLevel="0" collapsed="false">
      <c r="X499" s="0"/>
      <c r="Y499" s="0"/>
    </row>
    <row r="500" customFormat="false" ht="12.75" hidden="false" customHeight="false" outlineLevel="0" collapsed="false">
      <c r="X500" s="0"/>
      <c r="Y500" s="0"/>
    </row>
    <row r="501" customFormat="false" ht="12.75" hidden="false" customHeight="false" outlineLevel="0" collapsed="false">
      <c r="X501" s="0"/>
      <c r="Y501" s="0"/>
    </row>
    <row r="502" customFormat="false" ht="12.75" hidden="false" customHeight="false" outlineLevel="0" collapsed="false">
      <c r="X502" s="0"/>
      <c r="Y502" s="0"/>
    </row>
    <row r="503" customFormat="false" ht="12.75" hidden="false" customHeight="false" outlineLevel="0" collapsed="false">
      <c r="X503" s="0"/>
      <c r="Y503" s="0"/>
    </row>
    <row r="504" customFormat="false" ht="12.75" hidden="false" customHeight="false" outlineLevel="0" collapsed="false">
      <c r="X504" s="0"/>
      <c r="Y504" s="0"/>
    </row>
    <row r="505" customFormat="false" ht="12.75" hidden="false" customHeight="false" outlineLevel="0" collapsed="false">
      <c r="X505" s="0"/>
      <c r="Y505" s="0"/>
    </row>
    <row r="506" customFormat="false" ht="12.75" hidden="false" customHeight="false" outlineLevel="0" collapsed="false">
      <c r="X506" s="0"/>
      <c r="Y506" s="0"/>
    </row>
    <row r="507" customFormat="false" ht="12.75" hidden="false" customHeight="false" outlineLevel="0" collapsed="false">
      <c r="X507" s="0"/>
      <c r="Y507" s="0"/>
    </row>
    <row r="508" customFormat="false" ht="12.75" hidden="false" customHeight="false" outlineLevel="0" collapsed="false">
      <c r="X508" s="0"/>
      <c r="Y508" s="0"/>
    </row>
    <row r="509" customFormat="false" ht="12.75" hidden="false" customHeight="false" outlineLevel="0" collapsed="false">
      <c r="X509" s="0"/>
      <c r="Y509" s="0"/>
    </row>
    <row r="510" customFormat="false" ht="12.75" hidden="false" customHeight="false" outlineLevel="0" collapsed="false">
      <c r="X510" s="0"/>
      <c r="Y510" s="0"/>
    </row>
    <row r="511" customFormat="false" ht="12.75" hidden="false" customHeight="false" outlineLevel="0" collapsed="false">
      <c r="X511" s="0"/>
      <c r="Y511" s="0"/>
    </row>
    <row r="512" customFormat="false" ht="12.75" hidden="false" customHeight="false" outlineLevel="0" collapsed="false">
      <c r="X512" s="0"/>
      <c r="Y512" s="0"/>
    </row>
    <row r="513" customFormat="false" ht="12.75" hidden="false" customHeight="false" outlineLevel="0" collapsed="false">
      <c r="X513" s="0"/>
      <c r="Y513" s="0"/>
    </row>
    <row r="514" customFormat="false" ht="12.75" hidden="false" customHeight="false" outlineLevel="0" collapsed="false">
      <c r="X514" s="0"/>
      <c r="Y514" s="0"/>
    </row>
    <row r="515" customFormat="false" ht="12.75" hidden="false" customHeight="false" outlineLevel="0" collapsed="false">
      <c r="X515" s="0"/>
      <c r="Y515" s="0"/>
    </row>
    <row r="516" customFormat="false" ht="12.75" hidden="false" customHeight="false" outlineLevel="0" collapsed="false">
      <c r="X516" s="0"/>
      <c r="Y516" s="0"/>
    </row>
    <row r="517" customFormat="false" ht="12.75" hidden="false" customHeight="false" outlineLevel="0" collapsed="false">
      <c r="X517" s="0"/>
      <c r="Y517" s="0"/>
    </row>
    <row r="518" customFormat="false" ht="12.75" hidden="false" customHeight="false" outlineLevel="0" collapsed="false">
      <c r="X518" s="0"/>
      <c r="Y518" s="0"/>
    </row>
    <row r="519" customFormat="false" ht="12.75" hidden="false" customHeight="false" outlineLevel="0" collapsed="false">
      <c r="X519" s="0"/>
      <c r="Y519" s="0"/>
    </row>
    <row r="520" customFormat="false" ht="12.75" hidden="false" customHeight="false" outlineLevel="0" collapsed="false">
      <c r="X520" s="0"/>
      <c r="Y520" s="0"/>
    </row>
    <row r="521" customFormat="false" ht="12.75" hidden="false" customHeight="false" outlineLevel="0" collapsed="false">
      <c r="X521" s="0"/>
      <c r="Y521" s="0"/>
    </row>
    <row r="522" customFormat="false" ht="12.75" hidden="false" customHeight="false" outlineLevel="0" collapsed="false">
      <c r="X522" s="0"/>
      <c r="Y522" s="0"/>
    </row>
    <row r="523" customFormat="false" ht="12.75" hidden="false" customHeight="false" outlineLevel="0" collapsed="false">
      <c r="X523" s="0"/>
      <c r="Y523" s="0"/>
    </row>
    <row r="524" customFormat="false" ht="12.75" hidden="false" customHeight="false" outlineLevel="0" collapsed="false">
      <c r="X524" s="0"/>
      <c r="Y524" s="0"/>
    </row>
    <row r="525" customFormat="false" ht="12.75" hidden="false" customHeight="false" outlineLevel="0" collapsed="false">
      <c r="X525" s="0"/>
      <c r="Y525" s="0"/>
    </row>
    <row r="526" customFormat="false" ht="12.75" hidden="false" customHeight="false" outlineLevel="0" collapsed="false">
      <c r="X526" s="0"/>
      <c r="Y526" s="0"/>
    </row>
    <row r="527" customFormat="false" ht="12.75" hidden="false" customHeight="false" outlineLevel="0" collapsed="false">
      <c r="X527" s="0"/>
      <c r="Y527" s="0"/>
    </row>
    <row r="528" customFormat="false" ht="12.75" hidden="false" customHeight="false" outlineLevel="0" collapsed="false">
      <c r="X528" s="0"/>
      <c r="Y528" s="0"/>
    </row>
    <row r="529" customFormat="false" ht="12.75" hidden="false" customHeight="false" outlineLevel="0" collapsed="false">
      <c r="X529" s="0"/>
      <c r="Y529" s="0"/>
    </row>
    <row r="530" customFormat="false" ht="12.75" hidden="false" customHeight="false" outlineLevel="0" collapsed="false">
      <c r="X530" s="0"/>
      <c r="Y530" s="0"/>
    </row>
    <row r="531" customFormat="false" ht="12.75" hidden="false" customHeight="false" outlineLevel="0" collapsed="false">
      <c r="X531" s="0"/>
      <c r="Y531" s="0"/>
    </row>
    <row r="532" customFormat="false" ht="12.75" hidden="false" customHeight="false" outlineLevel="0" collapsed="false">
      <c r="X532" s="0"/>
      <c r="Y532" s="0"/>
    </row>
    <row r="533" customFormat="false" ht="12.75" hidden="false" customHeight="false" outlineLevel="0" collapsed="false">
      <c r="X533" s="0"/>
      <c r="Y533" s="0"/>
    </row>
    <row r="534" customFormat="false" ht="12.75" hidden="false" customHeight="false" outlineLevel="0" collapsed="false">
      <c r="X534" s="0"/>
      <c r="Y534" s="0"/>
    </row>
    <row r="535" customFormat="false" ht="12.75" hidden="false" customHeight="false" outlineLevel="0" collapsed="false">
      <c r="X535" s="0"/>
      <c r="Y535" s="0"/>
    </row>
    <row r="536" customFormat="false" ht="12.75" hidden="false" customHeight="false" outlineLevel="0" collapsed="false">
      <c r="X536" s="0"/>
      <c r="Y536" s="0"/>
    </row>
    <row r="537" customFormat="false" ht="12.75" hidden="false" customHeight="false" outlineLevel="0" collapsed="false">
      <c r="X537" s="0"/>
      <c r="Y537" s="0"/>
    </row>
    <row r="538" customFormat="false" ht="12.75" hidden="false" customHeight="false" outlineLevel="0" collapsed="false">
      <c r="X538" s="0"/>
      <c r="Y538" s="0"/>
    </row>
    <row r="539" customFormat="false" ht="12.75" hidden="false" customHeight="false" outlineLevel="0" collapsed="false">
      <c r="X539" s="0"/>
      <c r="Y539" s="0"/>
    </row>
    <row r="540" customFormat="false" ht="12.75" hidden="false" customHeight="false" outlineLevel="0" collapsed="false">
      <c r="X540" s="0"/>
      <c r="Y540" s="0"/>
    </row>
    <row r="541" customFormat="false" ht="12.75" hidden="false" customHeight="false" outlineLevel="0" collapsed="false">
      <c r="X541" s="0"/>
      <c r="Y541" s="0"/>
    </row>
    <row r="542" customFormat="false" ht="12.75" hidden="false" customHeight="false" outlineLevel="0" collapsed="false">
      <c r="X542" s="0"/>
      <c r="Y542" s="0"/>
    </row>
    <row r="543" customFormat="false" ht="12.75" hidden="false" customHeight="false" outlineLevel="0" collapsed="false">
      <c r="X543" s="0"/>
      <c r="Y543" s="0"/>
    </row>
    <row r="544" customFormat="false" ht="12.75" hidden="false" customHeight="false" outlineLevel="0" collapsed="false">
      <c r="X544" s="0"/>
      <c r="Y544" s="0"/>
    </row>
    <row r="545" customFormat="false" ht="12.75" hidden="false" customHeight="false" outlineLevel="0" collapsed="false">
      <c r="X545" s="0"/>
      <c r="Y545" s="0"/>
    </row>
    <row r="546" customFormat="false" ht="12.75" hidden="false" customHeight="false" outlineLevel="0" collapsed="false">
      <c r="X546" s="0"/>
      <c r="Y546" s="0"/>
    </row>
    <row r="547" customFormat="false" ht="12.75" hidden="false" customHeight="false" outlineLevel="0" collapsed="false">
      <c r="X547" s="0"/>
      <c r="Y547" s="0"/>
    </row>
    <row r="548" customFormat="false" ht="12.75" hidden="false" customHeight="false" outlineLevel="0" collapsed="false">
      <c r="X548" s="0"/>
      <c r="Y548" s="0"/>
    </row>
    <row r="549" customFormat="false" ht="12.75" hidden="false" customHeight="false" outlineLevel="0" collapsed="false">
      <c r="X549" s="0"/>
      <c r="Y549" s="0"/>
    </row>
    <row r="550" customFormat="false" ht="12.75" hidden="false" customHeight="false" outlineLevel="0" collapsed="false">
      <c r="X550" s="0"/>
      <c r="Y550" s="0"/>
    </row>
    <row r="551" customFormat="false" ht="12.75" hidden="false" customHeight="false" outlineLevel="0" collapsed="false">
      <c r="X551" s="0"/>
      <c r="Y551" s="0"/>
    </row>
    <row r="552" customFormat="false" ht="12.75" hidden="false" customHeight="false" outlineLevel="0" collapsed="false">
      <c r="X552" s="0"/>
      <c r="Y552" s="0"/>
    </row>
    <row r="553" customFormat="false" ht="12.75" hidden="false" customHeight="false" outlineLevel="0" collapsed="false">
      <c r="X553" s="0"/>
      <c r="Y553" s="0"/>
    </row>
    <row r="554" customFormat="false" ht="12.75" hidden="false" customHeight="false" outlineLevel="0" collapsed="false">
      <c r="X554" s="0"/>
      <c r="Y554" s="0"/>
    </row>
    <row r="555" customFormat="false" ht="12.75" hidden="false" customHeight="false" outlineLevel="0" collapsed="false">
      <c r="X555" s="0"/>
      <c r="Y555" s="0"/>
    </row>
    <row r="556" customFormat="false" ht="12.75" hidden="false" customHeight="false" outlineLevel="0" collapsed="false">
      <c r="X556" s="0"/>
      <c r="Y556" s="0"/>
    </row>
    <row r="557" customFormat="false" ht="12.75" hidden="false" customHeight="false" outlineLevel="0" collapsed="false">
      <c r="X557" s="0"/>
      <c r="Y557" s="0"/>
    </row>
    <row r="558" customFormat="false" ht="12.75" hidden="false" customHeight="false" outlineLevel="0" collapsed="false">
      <c r="X558" s="0"/>
      <c r="Y558" s="0"/>
    </row>
    <row r="559" customFormat="false" ht="12.75" hidden="false" customHeight="false" outlineLevel="0" collapsed="false">
      <c r="X559" s="0"/>
      <c r="Y559" s="0"/>
    </row>
    <row r="560" customFormat="false" ht="12.75" hidden="false" customHeight="false" outlineLevel="0" collapsed="false">
      <c r="X560" s="0"/>
      <c r="Y560" s="0"/>
    </row>
    <row r="561" customFormat="false" ht="12.75" hidden="false" customHeight="false" outlineLevel="0" collapsed="false">
      <c r="X561" s="0"/>
      <c r="Y561" s="0"/>
    </row>
    <row r="562" customFormat="false" ht="12.75" hidden="false" customHeight="false" outlineLevel="0" collapsed="false">
      <c r="X562" s="0"/>
      <c r="Y562" s="0"/>
    </row>
    <row r="563" customFormat="false" ht="12.75" hidden="false" customHeight="false" outlineLevel="0" collapsed="false">
      <c r="X563" s="0"/>
      <c r="Y563" s="0"/>
    </row>
    <row r="564" customFormat="false" ht="12.75" hidden="false" customHeight="false" outlineLevel="0" collapsed="false">
      <c r="X564" s="0"/>
      <c r="Y564" s="0"/>
    </row>
    <row r="565" customFormat="false" ht="12.75" hidden="false" customHeight="false" outlineLevel="0" collapsed="false">
      <c r="X565" s="0"/>
      <c r="Y565" s="0"/>
    </row>
    <row r="566" customFormat="false" ht="12.75" hidden="false" customHeight="false" outlineLevel="0" collapsed="false">
      <c r="X566" s="0"/>
      <c r="Y566" s="0"/>
    </row>
    <row r="567" customFormat="false" ht="12.75" hidden="false" customHeight="false" outlineLevel="0" collapsed="false">
      <c r="X567" s="0"/>
      <c r="Y567" s="0"/>
    </row>
    <row r="568" customFormat="false" ht="12.75" hidden="false" customHeight="false" outlineLevel="0" collapsed="false">
      <c r="X568" s="0"/>
      <c r="Y568" s="0"/>
    </row>
    <row r="569" customFormat="false" ht="12.75" hidden="false" customHeight="false" outlineLevel="0" collapsed="false">
      <c r="X569" s="0"/>
      <c r="Y569" s="0"/>
    </row>
    <row r="570" customFormat="false" ht="12.75" hidden="false" customHeight="false" outlineLevel="0" collapsed="false">
      <c r="X570" s="0"/>
      <c r="Y570" s="0"/>
    </row>
    <row r="571" customFormat="false" ht="12.75" hidden="false" customHeight="false" outlineLevel="0" collapsed="false">
      <c r="X571" s="0"/>
      <c r="Y571" s="0"/>
    </row>
    <row r="572" customFormat="false" ht="12.75" hidden="false" customHeight="false" outlineLevel="0" collapsed="false">
      <c r="X572" s="0"/>
      <c r="Y572" s="0"/>
    </row>
    <row r="573" customFormat="false" ht="12.75" hidden="false" customHeight="false" outlineLevel="0" collapsed="false">
      <c r="X573" s="0"/>
      <c r="Y573" s="0"/>
    </row>
    <row r="574" customFormat="false" ht="12.75" hidden="false" customHeight="false" outlineLevel="0" collapsed="false">
      <c r="X574" s="0"/>
      <c r="Y574" s="0"/>
    </row>
    <row r="575" customFormat="false" ht="12.75" hidden="false" customHeight="false" outlineLevel="0" collapsed="false">
      <c r="X575" s="0"/>
      <c r="Y575" s="0"/>
    </row>
    <row r="576" customFormat="false" ht="12.75" hidden="false" customHeight="false" outlineLevel="0" collapsed="false">
      <c r="X576" s="0"/>
      <c r="Y576" s="0"/>
    </row>
    <row r="577" customFormat="false" ht="12.75" hidden="false" customHeight="false" outlineLevel="0" collapsed="false">
      <c r="X577" s="0"/>
      <c r="Y577" s="0"/>
    </row>
    <row r="578" customFormat="false" ht="12.75" hidden="false" customHeight="false" outlineLevel="0" collapsed="false">
      <c r="X578" s="0"/>
      <c r="Y578" s="0"/>
    </row>
    <row r="579" customFormat="false" ht="12.75" hidden="false" customHeight="false" outlineLevel="0" collapsed="false">
      <c r="X579" s="0"/>
      <c r="Y579" s="0"/>
    </row>
    <row r="580" customFormat="false" ht="12.75" hidden="false" customHeight="false" outlineLevel="0" collapsed="false">
      <c r="X580" s="0"/>
      <c r="Y580" s="0"/>
    </row>
    <row r="581" customFormat="false" ht="12.75" hidden="false" customHeight="false" outlineLevel="0" collapsed="false">
      <c r="X581" s="0"/>
      <c r="Y581" s="0"/>
    </row>
    <row r="582" customFormat="false" ht="12.75" hidden="false" customHeight="false" outlineLevel="0" collapsed="false">
      <c r="X582" s="0"/>
      <c r="Y582" s="0"/>
    </row>
    <row r="583" customFormat="false" ht="12.75" hidden="false" customHeight="false" outlineLevel="0" collapsed="false">
      <c r="X583" s="0"/>
      <c r="Y583" s="0"/>
    </row>
    <row r="584" customFormat="false" ht="12.75" hidden="false" customHeight="false" outlineLevel="0" collapsed="false">
      <c r="X584" s="0"/>
      <c r="Y584" s="0"/>
    </row>
    <row r="585" customFormat="false" ht="12.75" hidden="false" customHeight="false" outlineLevel="0" collapsed="false">
      <c r="X585" s="0"/>
      <c r="Y585" s="0"/>
    </row>
    <row r="586" customFormat="false" ht="12.75" hidden="false" customHeight="false" outlineLevel="0" collapsed="false">
      <c r="X586" s="0"/>
      <c r="Y586" s="0"/>
    </row>
    <row r="587" customFormat="false" ht="12.75" hidden="false" customHeight="false" outlineLevel="0" collapsed="false">
      <c r="X587" s="0"/>
      <c r="Y587" s="0"/>
    </row>
    <row r="588" customFormat="false" ht="12.75" hidden="false" customHeight="false" outlineLevel="0" collapsed="false">
      <c r="X588" s="0"/>
      <c r="Y588" s="0"/>
    </row>
    <row r="589" customFormat="false" ht="12.75" hidden="false" customHeight="false" outlineLevel="0" collapsed="false">
      <c r="X589" s="0"/>
      <c r="Y589" s="0"/>
    </row>
    <row r="590" customFormat="false" ht="12.75" hidden="false" customHeight="false" outlineLevel="0" collapsed="false">
      <c r="X590" s="0"/>
      <c r="Y590" s="0"/>
    </row>
    <row r="591" customFormat="false" ht="12.75" hidden="false" customHeight="false" outlineLevel="0" collapsed="false">
      <c r="X591" s="0"/>
      <c r="Y591" s="0"/>
    </row>
    <row r="592" customFormat="false" ht="12.75" hidden="false" customHeight="false" outlineLevel="0" collapsed="false">
      <c r="X592" s="0"/>
      <c r="Y592" s="0"/>
    </row>
    <row r="593" customFormat="false" ht="12.75" hidden="false" customHeight="false" outlineLevel="0" collapsed="false">
      <c r="X593" s="0"/>
      <c r="Y593" s="0"/>
    </row>
    <row r="594" customFormat="false" ht="12.75" hidden="false" customHeight="false" outlineLevel="0" collapsed="false">
      <c r="X594" s="0"/>
      <c r="Y594" s="0"/>
    </row>
    <row r="595" customFormat="false" ht="12.75" hidden="false" customHeight="false" outlineLevel="0" collapsed="false">
      <c r="X595" s="0"/>
      <c r="Y595" s="0"/>
    </row>
    <row r="596" customFormat="false" ht="12.75" hidden="false" customHeight="false" outlineLevel="0" collapsed="false">
      <c r="X596" s="0"/>
      <c r="Y596" s="0"/>
    </row>
    <row r="597" customFormat="false" ht="12.75" hidden="false" customHeight="false" outlineLevel="0" collapsed="false">
      <c r="X597" s="0"/>
      <c r="Y597" s="0"/>
    </row>
    <row r="598" customFormat="false" ht="12.75" hidden="false" customHeight="false" outlineLevel="0" collapsed="false">
      <c r="X598" s="0"/>
      <c r="Y598" s="0"/>
    </row>
    <row r="599" customFormat="false" ht="12.75" hidden="false" customHeight="false" outlineLevel="0" collapsed="false">
      <c r="X599" s="0"/>
      <c r="Y599" s="0"/>
    </row>
    <row r="600" customFormat="false" ht="12.75" hidden="false" customHeight="false" outlineLevel="0" collapsed="false">
      <c r="X600" s="0"/>
      <c r="Y600" s="0"/>
    </row>
    <row r="601" customFormat="false" ht="12.75" hidden="false" customHeight="false" outlineLevel="0" collapsed="false">
      <c r="X601" s="0"/>
      <c r="Y601" s="0"/>
    </row>
    <row r="602" customFormat="false" ht="12.75" hidden="false" customHeight="false" outlineLevel="0" collapsed="false">
      <c r="X602" s="0"/>
      <c r="Y602" s="0"/>
    </row>
    <row r="603" customFormat="false" ht="12.75" hidden="false" customHeight="false" outlineLevel="0" collapsed="false">
      <c r="X603" s="0"/>
      <c r="Y603" s="0"/>
    </row>
    <row r="604" customFormat="false" ht="12.75" hidden="false" customHeight="false" outlineLevel="0" collapsed="false">
      <c r="X604" s="0"/>
      <c r="Y604" s="0"/>
    </row>
    <row r="605" customFormat="false" ht="12.75" hidden="false" customHeight="false" outlineLevel="0" collapsed="false">
      <c r="X605" s="0"/>
      <c r="Y605" s="0"/>
    </row>
    <row r="606" customFormat="false" ht="12.75" hidden="false" customHeight="false" outlineLevel="0" collapsed="false">
      <c r="X606" s="0"/>
      <c r="Y606" s="0"/>
    </row>
    <row r="607" customFormat="false" ht="12.75" hidden="false" customHeight="false" outlineLevel="0" collapsed="false">
      <c r="X607" s="0"/>
      <c r="Y607" s="0"/>
    </row>
    <row r="608" customFormat="false" ht="12.75" hidden="false" customHeight="false" outlineLevel="0" collapsed="false">
      <c r="X608" s="0"/>
      <c r="Y608" s="0"/>
    </row>
    <row r="609" customFormat="false" ht="12.75" hidden="false" customHeight="false" outlineLevel="0" collapsed="false">
      <c r="X609" s="0"/>
      <c r="Y609" s="0"/>
    </row>
    <row r="610" customFormat="false" ht="12.75" hidden="false" customHeight="false" outlineLevel="0" collapsed="false">
      <c r="X610" s="0"/>
      <c r="Y610" s="0"/>
    </row>
    <row r="611" customFormat="false" ht="12.75" hidden="false" customHeight="false" outlineLevel="0" collapsed="false">
      <c r="X611" s="0"/>
      <c r="Y611" s="0"/>
    </row>
    <row r="612" customFormat="false" ht="12.75" hidden="false" customHeight="false" outlineLevel="0" collapsed="false">
      <c r="X612" s="0"/>
      <c r="Y612" s="0"/>
    </row>
    <row r="613" customFormat="false" ht="12.75" hidden="false" customHeight="false" outlineLevel="0" collapsed="false">
      <c r="X613" s="0"/>
      <c r="Y613" s="0"/>
    </row>
    <row r="614" customFormat="false" ht="12.75" hidden="false" customHeight="false" outlineLevel="0" collapsed="false">
      <c r="X614" s="0"/>
      <c r="Y614" s="0"/>
    </row>
    <row r="615" customFormat="false" ht="12.75" hidden="false" customHeight="false" outlineLevel="0" collapsed="false">
      <c r="X615" s="0"/>
      <c r="Y615" s="0"/>
    </row>
    <row r="616" customFormat="false" ht="12.75" hidden="false" customHeight="false" outlineLevel="0" collapsed="false">
      <c r="X616" s="0"/>
      <c r="Y616" s="0"/>
    </row>
    <row r="617" customFormat="false" ht="12.75" hidden="false" customHeight="false" outlineLevel="0" collapsed="false">
      <c r="X617" s="0"/>
      <c r="Y617" s="0"/>
    </row>
    <row r="618" customFormat="false" ht="12.75" hidden="false" customHeight="false" outlineLevel="0" collapsed="false">
      <c r="X618" s="0"/>
      <c r="Y618" s="0"/>
    </row>
    <row r="619" customFormat="false" ht="12.75" hidden="false" customHeight="false" outlineLevel="0" collapsed="false">
      <c r="X619" s="0"/>
      <c r="Y619" s="0"/>
    </row>
    <row r="620" customFormat="false" ht="12.75" hidden="false" customHeight="false" outlineLevel="0" collapsed="false">
      <c r="X620" s="0"/>
      <c r="Y620" s="0"/>
    </row>
    <row r="621" customFormat="false" ht="12.75" hidden="false" customHeight="false" outlineLevel="0" collapsed="false">
      <c r="X621" s="0"/>
      <c r="Y621" s="0"/>
    </row>
    <row r="622" customFormat="false" ht="12.75" hidden="false" customHeight="false" outlineLevel="0" collapsed="false">
      <c r="X622" s="0"/>
      <c r="Y622" s="0"/>
    </row>
    <row r="623" customFormat="false" ht="12.75" hidden="false" customHeight="false" outlineLevel="0" collapsed="false">
      <c r="X623" s="0"/>
      <c r="Y623" s="0"/>
    </row>
    <row r="624" customFormat="false" ht="12.75" hidden="false" customHeight="false" outlineLevel="0" collapsed="false">
      <c r="X624" s="0"/>
      <c r="Y624" s="0"/>
    </row>
    <row r="625" customFormat="false" ht="12.75" hidden="false" customHeight="false" outlineLevel="0" collapsed="false">
      <c r="X625" s="0"/>
      <c r="Y625" s="0"/>
    </row>
    <row r="626" customFormat="false" ht="12.75" hidden="false" customHeight="false" outlineLevel="0" collapsed="false">
      <c r="X626" s="0"/>
      <c r="Y626" s="0"/>
    </row>
    <row r="627" customFormat="false" ht="12.75" hidden="false" customHeight="false" outlineLevel="0" collapsed="false">
      <c r="X627" s="0"/>
      <c r="Y627" s="0"/>
    </row>
    <row r="628" customFormat="false" ht="12.75" hidden="false" customHeight="false" outlineLevel="0" collapsed="false">
      <c r="X628" s="0"/>
      <c r="Y628" s="0"/>
    </row>
    <row r="629" customFormat="false" ht="12.75" hidden="false" customHeight="false" outlineLevel="0" collapsed="false">
      <c r="X629" s="0"/>
      <c r="Y629" s="0"/>
    </row>
    <row r="630" customFormat="false" ht="12.75" hidden="false" customHeight="false" outlineLevel="0" collapsed="false">
      <c r="X630" s="0"/>
      <c r="Y630" s="0"/>
    </row>
    <row r="631" customFormat="false" ht="12.75" hidden="false" customHeight="false" outlineLevel="0" collapsed="false">
      <c r="X631" s="0"/>
      <c r="Y631" s="0"/>
    </row>
    <row r="632" customFormat="false" ht="12.75" hidden="false" customHeight="false" outlineLevel="0" collapsed="false">
      <c r="X632" s="0"/>
      <c r="Y632" s="0"/>
    </row>
    <row r="633" customFormat="false" ht="12.75" hidden="false" customHeight="false" outlineLevel="0" collapsed="false">
      <c r="X633" s="0"/>
      <c r="Y633" s="0"/>
    </row>
    <row r="634" customFormat="false" ht="12.75" hidden="false" customHeight="false" outlineLevel="0" collapsed="false">
      <c r="X634" s="0"/>
      <c r="Y634" s="0"/>
    </row>
    <row r="635" customFormat="false" ht="12.75" hidden="false" customHeight="false" outlineLevel="0" collapsed="false">
      <c r="X635" s="0"/>
      <c r="Y635" s="0"/>
    </row>
    <row r="636" customFormat="false" ht="12.75" hidden="false" customHeight="false" outlineLevel="0" collapsed="false">
      <c r="X636" s="0"/>
      <c r="Y636" s="0"/>
    </row>
    <row r="637" customFormat="false" ht="12.75" hidden="false" customHeight="false" outlineLevel="0" collapsed="false">
      <c r="X637" s="0"/>
      <c r="Y637" s="0"/>
    </row>
    <row r="638" customFormat="false" ht="12.75" hidden="false" customHeight="false" outlineLevel="0" collapsed="false">
      <c r="X638" s="0"/>
      <c r="Y638" s="0"/>
    </row>
    <row r="639" customFormat="false" ht="12.75" hidden="false" customHeight="false" outlineLevel="0" collapsed="false">
      <c r="X639" s="0"/>
      <c r="Y639" s="0"/>
    </row>
    <row r="640" customFormat="false" ht="12.75" hidden="false" customHeight="false" outlineLevel="0" collapsed="false">
      <c r="X640" s="0"/>
      <c r="Y640" s="0"/>
    </row>
    <row r="641" customFormat="false" ht="12.75" hidden="false" customHeight="false" outlineLevel="0" collapsed="false">
      <c r="X641" s="0"/>
      <c r="Y641" s="0"/>
    </row>
    <row r="642" customFormat="false" ht="12.75" hidden="false" customHeight="false" outlineLevel="0" collapsed="false">
      <c r="X642" s="0"/>
      <c r="Y642" s="0"/>
    </row>
    <row r="643" customFormat="false" ht="12.75" hidden="false" customHeight="false" outlineLevel="0" collapsed="false">
      <c r="X643" s="0"/>
      <c r="Y643" s="0"/>
    </row>
    <row r="644" customFormat="false" ht="12.75" hidden="false" customHeight="false" outlineLevel="0" collapsed="false">
      <c r="X644" s="0"/>
      <c r="Y644" s="0"/>
    </row>
    <row r="645" customFormat="false" ht="12.75" hidden="false" customHeight="false" outlineLevel="0" collapsed="false">
      <c r="X645" s="0"/>
      <c r="Y645" s="0"/>
    </row>
    <row r="646" customFormat="false" ht="12.75" hidden="false" customHeight="false" outlineLevel="0" collapsed="false">
      <c r="X646" s="0"/>
      <c r="Y646" s="0"/>
    </row>
    <row r="647" customFormat="false" ht="12.75" hidden="false" customHeight="false" outlineLevel="0" collapsed="false">
      <c r="X647" s="0"/>
      <c r="Y647" s="0"/>
    </row>
    <row r="648" customFormat="false" ht="12.75" hidden="false" customHeight="false" outlineLevel="0" collapsed="false">
      <c r="X648" s="0"/>
      <c r="Y648" s="0"/>
    </row>
    <row r="649" customFormat="false" ht="12.75" hidden="false" customHeight="false" outlineLevel="0" collapsed="false">
      <c r="X649" s="0"/>
      <c r="Y649" s="0"/>
    </row>
    <row r="650" customFormat="false" ht="12.75" hidden="false" customHeight="false" outlineLevel="0" collapsed="false">
      <c r="X650" s="0"/>
      <c r="Y650" s="0"/>
    </row>
    <row r="651" customFormat="false" ht="12.75" hidden="false" customHeight="false" outlineLevel="0" collapsed="false">
      <c r="X651" s="0"/>
      <c r="Y651" s="0"/>
    </row>
    <row r="652" customFormat="false" ht="12.75" hidden="false" customHeight="false" outlineLevel="0" collapsed="false">
      <c r="X652" s="0"/>
      <c r="Y652" s="0"/>
    </row>
    <row r="653" customFormat="false" ht="12.75" hidden="false" customHeight="false" outlineLevel="0" collapsed="false">
      <c r="X653" s="0"/>
      <c r="Y653" s="0"/>
    </row>
    <row r="654" customFormat="false" ht="12.75" hidden="false" customHeight="false" outlineLevel="0" collapsed="false">
      <c r="X654" s="0"/>
      <c r="Y654" s="0"/>
    </row>
    <row r="655" customFormat="false" ht="12.75" hidden="false" customHeight="false" outlineLevel="0" collapsed="false">
      <c r="X655" s="0"/>
      <c r="Y655" s="0"/>
    </row>
    <row r="656" customFormat="false" ht="12.75" hidden="false" customHeight="false" outlineLevel="0" collapsed="false">
      <c r="X656" s="0"/>
      <c r="Y656" s="0"/>
    </row>
    <row r="657" customFormat="false" ht="12.75" hidden="false" customHeight="false" outlineLevel="0" collapsed="false">
      <c r="X657" s="0"/>
      <c r="Y657" s="0"/>
    </row>
    <row r="658" customFormat="false" ht="12.75" hidden="false" customHeight="false" outlineLevel="0" collapsed="false">
      <c r="X658" s="0"/>
      <c r="Y658" s="0"/>
    </row>
    <row r="659" customFormat="false" ht="12.75" hidden="false" customHeight="false" outlineLevel="0" collapsed="false">
      <c r="X659" s="0"/>
      <c r="Y659" s="0"/>
    </row>
    <row r="660" customFormat="false" ht="12.75" hidden="false" customHeight="false" outlineLevel="0" collapsed="false">
      <c r="X660" s="0"/>
      <c r="Y660" s="0"/>
    </row>
    <row r="661" customFormat="false" ht="12.75" hidden="false" customHeight="false" outlineLevel="0" collapsed="false">
      <c r="X661" s="0"/>
      <c r="Y661" s="0"/>
    </row>
    <row r="662" customFormat="false" ht="12.75" hidden="false" customHeight="false" outlineLevel="0" collapsed="false">
      <c r="X662" s="0"/>
      <c r="Y662" s="0"/>
    </row>
    <row r="663" customFormat="false" ht="12.75" hidden="false" customHeight="false" outlineLevel="0" collapsed="false">
      <c r="X663" s="0"/>
      <c r="Y663" s="0"/>
    </row>
    <row r="664" customFormat="false" ht="12.75" hidden="false" customHeight="false" outlineLevel="0" collapsed="false">
      <c r="X664" s="0"/>
      <c r="Y664" s="0"/>
    </row>
    <row r="665" customFormat="false" ht="12.75" hidden="false" customHeight="false" outlineLevel="0" collapsed="false">
      <c r="X665" s="0"/>
      <c r="Y665" s="0"/>
    </row>
    <row r="666" customFormat="false" ht="12.75" hidden="false" customHeight="false" outlineLevel="0" collapsed="false">
      <c r="X666" s="0"/>
      <c r="Y666" s="0"/>
    </row>
    <row r="667" customFormat="false" ht="12.75" hidden="false" customHeight="false" outlineLevel="0" collapsed="false">
      <c r="X667" s="0"/>
      <c r="Y667" s="0"/>
    </row>
    <row r="668" customFormat="false" ht="12.75" hidden="false" customHeight="false" outlineLevel="0" collapsed="false">
      <c r="X668" s="0"/>
      <c r="Y668" s="0"/>
    </row>
    <row r="669" customFormat="false" ht="12.75" hidden="false" customHeight="false" outlineLevel="0" collapsed="false">
      <c r="X669" s="0"/>
      <c r="Y669" s="0"/>
    </row>
    <row r="670" customFormat="false" ht="12.75" hidden="false" customHeight="false" outlineLevel="0" collapsed="false">
      <c r="X670" s="0"/>
      <c r="Y670" s="0"/>
    </row>
    <row r="671" customFormat="false" ht="12.75" hidden="false" customHeight="false" outlineLevel="0" collapsed="false">
      <c r="X671" s="0"/>
      <c r="Y671" s="0"/>
    </row>
    <row r="672" customFormat="false" ht="12.75" hidden="false" customHeight="false" outlineLevel="0" collapsed="false">
      <c r="X672" s="0"/>
      <c r="Y672" s="0"/>
    </row>
    <row r="673" customFormat="false" ht="12.75" hidden="false" customHeight="false" outlineLevel="0" collapsed="false">
      <c r="X673" s="0"/>
      <c r="Y673" s="0"/>
    </row>
    <row r="674" customFormat="false" ht="12.75" hidden="false" customHeight="false" outlineLevel="0" collapsed="false">
      <c r="X674" s="0"/>
      <c r="Y674" s="0"/>
    </row>
    <row r="675" customFormat="false" ht="12.75" hidden="false" customHeight="false" outlineLevel="0" collapsed="false">
      <c r="X675" s="0"/>
      <c r="Y675" s="0"/>
    </row>
    <row r="676" customFormat="false" ht="12.75" hidden="false" customHeight="false" outlineLevel="0" collapsed="false">
      <c r="X676" s="0"/>
      <c r="Y676" s="0"/>
    </row>
    <row r="677" customFormat="false" ht="12.75" hidden="false" customHeight="false" outlineLevel="0" collapsed="false">
      <c r="X677" s="0"/>
      <c r="Y677" s="0"/>
    </row>
    <row r="678" customFormat="false" ht="12.75" hidden="false" customHeight="false" outlineLevel="0" collapsed="false">
      <c r="X678" s="0"/>
      <c r="Y678" s="0"/>
    </row>
    <row r="679" customFormat="false" ht="12.75" hidden="false" customHeight="false" outlineLevel="0" collapsed="false">
      <c r="X679" s="0"/>
      <c r="Y679" s="0"/>
    </row>
    <row r="680" customFormat="false" ht="12.75" hidden="false" customHeight="false" outlineLevel="0" collapsed="false">
      <c r="X680" s="0"/>
      <c r="Y680" s="0"/>
    </row>
    <row r="681" customFormat="false" ht="12.75" hidden="false" customHeight="false" outlineLevel="0" collapsed="false">
      <c r="X681" s="0"/>
      <c r="Y681" s="0"/>
    </row>
    <row r="682" customFormat="false" ht="12.75" hidden="false" customHeight="false" outlineLevel="0" collapsed="false">
      <c r="X682" s="0"/>
      <c r="Y682" s="0"/>
    </row>
    <row r="683" customFormat="false" ht="12.75" hidden="false" customHeight="false" outlineLevel="0" collapsed="false">
      <c r="X683" s="0"/>
      <c r="Y683" s="0"/>
    </row>
    <row r="684" customFormat="false" ht="12.75" hidden="false" customHeight="false" outlineLevel="0" collapsed="false">
      <c r="X684" s="0"/>
      <c r="Y684" s="0"/>
    </row>
    <row r="685" customFormat="false" ht="12.75" hidden="false" customHeight="false" outlineLevel="0" collapsed="false">
      <c r="X685" s="0"/>
      <c r="Y685" s="0"/>
    </row>
    <row r="686" customFormat="false" ht="12.75" hidden="false" customHeight="false" outlineLevel="0" collapsed="false">
      <c r="X686" s="0"/>
      <c r="Y686" s="0"/>
    </row>
    <row r="687" customFormat="false" ht="12.75" hidden="false" customHeight="false" outlineLevel="0" collapsed="false">
      <c r="X687" s="0"/>
      <c r="Y687" s="0"/>
    </row>
    <row r="688" customFormat="false" ht="12.75" hidden="false" customHeight="false" outlineLevel="0" collapsed="false">
      <c r="X688" s="0"/>
      <c r="Y688" s="0"/>
    </row>
    <row r="689" customFormat="false" ht="12.75" hidden="false" customHeight="false" outlineLevel="0" collapsed="false">
      <c r="X689" s="0"/>
      <c r="Y689" s="0"/>
    </row>
    <row r="690" customFormat="false" ht="12.75" hidden="false" customHeight="false" outlineLevel="0" collapsed="false">
      <c r="X690" s="0"/>
      <c r="Y690" s="0"/>
    </row>
    <row r="691" customFormat="false" ht="12.75" hidden="false" customHeight="false" outlineLevel="0" collapsed="false">
      <c r="X691" s="0"/>
      <c r="Y691" s="0"/>
    </row>
    <row r="692" customFormat="false" ht="12.75" hidden="false" customHeight="false" outlineLevel="0" collapsed="false">
      <c r="X692" s="0"/>
      <c r="Y692" s="0"/>
    </row>
    <row r="693" customFormat="false" ht="12.75" hidden="false" customHeight="false" outlineLevel="0" collapsed="false">
      <c r="X693" s="0"/>
      <c r="Y693" s="0"/>
    </row>
    <row r="694" customFormat="false" ht="12.75" hidden="false" customHeight="false" outlineLevel="0" collapsed="false">
      <c r="X694" s="0"/>
      <c r="Y694" s="0"/>
    </row>
    <row r="695" customFormat="false" ht="12.75" hidden="false" customHeight="false" outlineLevel="0" collapsed="false">
      <c r="X695" s="0"/>
      <c r="Y695" s="0"/>
    </row>
    <row r="696" customFormat="false" ht="12.75" hidden="false" customHeight="false" outlineLevel="0" collapsed="false">
      <c r="X696" s="0"/>
      <c r="Y696" s="0"/>
    </row>
    <row r="697" customFormat="false" ht="12.75" hidden="false" customHeight="false" outlineLevel="0" collapsed="false">
      <c r="X697" s="0"/>
      <c r="Y697" s="0"/>
    </row>
    <row r="698" customFormat="false" ht="12.75" hidden="false" customHeight="false" outlineLevel="0" collapsed="false">
      <c r="X698" s="0"/>
      <c r="Y698" s="0"/>
    </row>
    <row r="699" customFormat="false" ht="12.75" hidden="false" customHeight="false" outlineLevel="0" collapsed="false">
      <c r="X699" s="0"/>
      <c r="Y699" s="0"/>
    </row>
    <row r="700" customFormat="false" ht="12.75" hidden="false" customHeight="false" outlineLevel="0" collapsed="false">
      <c r="X700" s="0"/>
      <c r="Y700" s="0"/>
    </row>
    <row r="701" customFormat="false" ht="12.75" hidden="false" customHeight="false" outlineLevel="0" collapsed="false">
      <c r="X701" s="0"/>
      <c r="Y701" s="0"/>
    </row>
    <row r="702" customFormat="false" ht="12.75" hidden="false" customHeight="false" outlineLevel="0" collapsed="false">
      <c r="X702" s="0"/>
      <c r="Y702" s="0"/>
    </row>
    <row r="703" customFormat="false" ht="12.75" hidden="false" customHeight="false" outlineLevel="0" collapsed="false">
      <c r="X703" s="0"/>
      <c r="Y703" s="0"/>
    </row>
    <row r="704" customFormat="false" ht="12.75" hidden="false" customHeight="false" outlineLevel="0" collapsed="false">
      <c r="X704" s="0"/>
      <c r="Y704" s="0"/>
    </row>
    <row r="705" customFormat="false" ht="12.75" hidden="false" customHeight="false" outlineLevel="0" collapsed="false">
      <c r="X705" s="0"/>
      <c r="Y705" s="0"/>
    </row>
    <row r="706" customFormat="false" ht="12.75" hidden="false" customHeight="false" outlineLevel="0" collapsed="false">
      <c r="X706" s="0"/>
      <c r="Y706" s="0"/>
    </row>
    <row r="707" customFormat="false" ht="12.75" hidden="false" customHeight="false" outlineLevel="0" collapsed="false">
      <c r="X707" s="0"/>
      <c r="Y707" s="0"/>
    </row>
    <row r="708" customFormat="false" ht="12.75" hidden="false" customHeight="false" outlineLevel="0" collapsed="false">
      <c r="X708" s="0"/>
      <c r="Y708" s="0"/>
    </row>
    <row r="709" customFormat="false" ht="12.75" hidden="false" customHeight="false" outlineLevel="0" collapsed="false">
      <c r="X709" s="0"/>
      <c r="Y709" s="0"/>
    </row>
    <row r="710" customFormat="false" ht="12.75" hidden="false" customHeight="false" outlineLevel="0" collapsed="false">
      <c r="X710" s="0"/>
      <c r="Y710" s="0"/>
    </row>
    <row r="711" customFormat="false" ht="12.75" hidden="false" customHeight="false" outlineLevel="0" collapsed="false">
      <c r="X711" s="0"/>
      <c r="Y711" s="0"/>
    </row>
    <row r="712" customFormat="false" ht="12.75" hidden="false" customHeight="false" outlineLevel="0" collapsed="false">
      <c r="X712" s="0"/>
      <c r="Y712" s="0"/>
    </row>
    <row r="713" customFormat="false" ht="12.75" hidden="false" customHeight="false" outlineLevel="0" collapsed="false">
      <c r="X713" s="0"/>
      <c r="Y713" s="0"/>
    </row>
    <row r="714" customFormat="false" ht="12.75" hidden="false" customHeight="false" outlineLevel="0" collapsed="false">
      <c r="X714" s="0"/>
      <c r="Y714" s="0"/>
    </row>
    <row r="715" customFormat="false" ht="12.75" hidden="false" customHeight="false" outlineLevel="0" collapsed="false">
      <c r="X715" s="0"/>
      <c r="Y715" s="0"/>
    </row>
    <row r="716" customFormat="false" ht="12.75" hidden="false" customHeight="false" outlineLevel="0" collapsed="false">
      <c r="X716" s="0"/>
      <c r="Y716" s="0"/>
    </row>
    <row r="717" customFormat="false" ht="12.75" hidden="false" customHeight="false" outlineLevel="0" collapsed="false">
      <c r="X717" s="0"/>
      <c r="Y717" s="0"/>
    </row>
    <row r="718" customFormat="false" ht="12.75" hidden="false" customHeight="false" outlineLevel="0" collapsed="false">
      <c r="X718" s="0"/>
      <c r="Y718" s="0"/>
    </row>
    <row r="719" customFormat="false" ht="12.75" hidden="false" customHeight="false" outlineLevel="0" collapsed="false">
      <c r="X719" s="0"/>
      <c r="Y719" s="0"/>
    </row>
    <row r="720" customFormat="false" ht="12.75" hidden="false" customHeight="false" outlineLevel="0" collapsed="false">
      <c r="X720" s="0"/>
      <c r="Y720" s="0"/>
    </row>
    <row r="721" customFormat="false" ht="12.75" hidden="false" customHeight="false" outlineLevel="0" collapsed="false">
      <c r="X721" s="0"/>
      <c r="Y721" s="0"/>
    </row>
    <row r="722" customFormat="false" ht="12.75" hidden="false" customHeight="false" outlineLevel="0" collapsed="false">
      <c r="X722" s="0"/>
      <c r="Y722" s="0"/>
    </row>
    <row r="723" customFormat="false" ht="12.75" hidden="false" customHeight="false" outlineLevel="0" collapsed="false">
      <c r="X723" s="0"/>
      <c r="Y723" s="0"/>
    </row>
    <row r="724" customFormat="false" ht="12.75" hidden="false" customHeight="false" outlineLevel="0" collapsed="false">
      <c r="X724" s="0"/>
      <c r="Y724" s="0"/>
    </row>
    <row r="725" customFormat="false" ht="12.75" hidden="false" customHeight="false" outlineLevel="0" collapsed="false">
      <c r="X725" s="0"/>
      <c r="Y725" s="0"/>
    </row>
    <row r="726" customFormat="false" ht="12.75" hidden="false" customHeight="false" outlineLevel="0" collapsed="false">
      <c r="X726" s="0"/>
      <c r="Y726" s="0"/>
    </row>
    <row r="727" customFormat="false" ht="12.75" hidden="false" customHeight="false" outlineLevel="0" collapsed="false">
      <c r="X727" s="0"/>
      <c r="Y727" s="0"/>
    </row>
    <row r="728" customFormat="false" ht="12.75" hidden="false" customHeight="false" outlineLevel="0" collapsed="false">
      <c r="X728" s="0"/>
      <c r="Y728" s="0"/>
    </row>
    <row r="729" customFormat="false" ht="12.75" hidden="false" customHeight="false" outlineLevel="0" collapsed="false">
      <c r="X729" s="0"/>
      <c r="Y729" s="0"/>
    </row>
    <row r="730" customFormat="false" ht="12.75" hidden="false" customHeight="false" outlineLevel="0" collapsed="false">
      <c r="X730" s="0"/>
      <c r="Y730" s="0"/>
    </row>
    <row r="731" customFormat="false" ht="12.75" hidden="false" customHeight="false" outlineLevel="0" collapsed="false">
      <c r="X731" s="0"/>
      <c r="Y731" s="0"/>
    </row>
    <row r="732" customFormat="false" ht="12.75" hidden="false" customHeight="false" outlineLevel="0" collapsed="false">
      <c r="X732" s="0"/>
      <c r="Y732" s="0"/>
    </row>
    <row r="733" customFormat="false" ht="12.75" hidden="false" customHeight="false" outlineLevel="0" collapsed="false">
      <c r="X733" s="0"/>
      <c r="Y733" s="0"/>
    </row>
    <row r="734" customFormat="false" ht="12.75" hidden="false" customHeight="false" outlineLevel="0" collapsed="false">
      <c r="X734" s="0"/>
      <c r="Y734" s="0"/>
    </row>
    <row r="735" customFormat="false" ht="12.75" hidden="false" customHeight="false" outlineLevel="0" collapsed="false">
      <c r="X735" s="0"/>
      <c r="Y735" s="0"/>
    </row>
    <row r="736" customFormat="false" ht="12.75" hidden="false" customHeight="false" outlineLevel="0" collapsed="false">
      <c r="X736" s="0"/>
      <c r="Y736" s="0"/>
    </row>
    <row r="737" customFormat="false" ht="12.75" hidden="false" customHeight="false" outlineLevel="0" collapsed="false">
      <c r="X737" s="0"/>
      <c r="Y737" s="0"/>
    </row>
    <row r="738" customFormat="false" ht="12.75" hidden="false" customHeight="false" outlineLevel="0" collapsed="false">
      <c r="X738" s="0"/>
      <c r="Y738" s="0"/>
    </row>
    <row r="739" customFormat="false" ht="12.75" hidden="false" customHeight="false" outlineLevel="0" collapsed="false">
      <c r="X739" s="0"/>
      <c r="Y739" s="0"/>
    </row>
    <row r="740" customFormat="false" ht="12.75" hidden="false" customHeight="false" outlineLevel="0" collapsed="false">
      <c r="X740" s="0"/>
      <c r="Y740" s="0"/>
    </row>
    <row r="741" customFormat="false" ht="12.75" hidden="false" customHeight="false" outlineLevel="0" collapsed="false">
      <c r="X741" s="0"/>
      <c r="Y741" s="0"/>
    </row>
    <row r="742" customFormat="false" ht="12.75" hidden="false" customHeight="false" outlineLevel="0" collapsed="false">
      <c r="X742" s="0"/>
      <c r="Y742" s="0"/>
    </row>
    <row r="743" customFormat="false" ht="12.75" hidden="false" customHeight="false" outlineLevel="0" collapsed="false">
      <c r="X743" s="0"/>
      <c r="Y743" s="0"/>
    </row>
    <row r="744" customFormat="false" ht="12.75" hidden="false" customHeight="false" outlineLevel="0" collapsed="false">
      <c r="X744" s="0"/>
      <c r="Y744" s="0"/>
    </row>
    <row r="745" customFormat="false" ht="12.75" hidden="false" customHeight="false" outlineLevel="0" collapsed="false">
      <c r="X745" s="0"/>
      <c r="Y745" s="0"/>
    </row>
    <row r="746" customFormat="false" ht="12.75" hidden="false" customHeight="false" outlineLevel="0" collapsed="false">
      <c r="X746" s="0"/>
      <c r="Y746" s="0"/>
    </row>
    <row r="747" customFormat="false" ht="12.75" hidden="false" customHeight="false" outlineLevel="0" collapsed="false">
      <c r="X747" s="0"/>
      <c r="Y747" s="0"/>
    </row>
    <row r="748" customFormat="false" ht="12.75" hidden="false" customHeight="false" outlineLevel="0" collapsed="false">
      <c r="X748" s="0"/>
      <c r="Y748" s="0"/>
    </row>
    <row r="749" customFormat="false" ht="12.75" hidden="false" customHeight="false" outlineLevel="0" collapsed="false">
      <c r="X749" s="0"/>
      <c r="Y749" s="0"/>
    </row>
    <row r="750" customFormat="false" ht="12.75" hidden="false" customHeight="false" outlineLevel="0" collapsed="false">
      <c r="X750" s="0"/>
      <c r="Y750" s="0"/>
    </row>
    <row r="751" customFormat="false" ht="12.75" hidden="false" customHeight="false" outlineLevel="0" collapsed="false">
      <c r="X751" s="0"/>
      <c r="Y751" s="0"/>
    </row>
    <row r="752" customFormat="false" ht="12.75" hidden="false" customHeight="false" outlineLevel="0" collapsed="false">
      <c r="X752" s="0"/>
      <c r="Y752" s="0"/>
    </row>
    <row r="753" customFormat="false" ht="12.75" hidden="false" customHeight="false" outlineLevel="0" collapsed="false">
      <c r="X753" s="0"/>
      <c r="Y753" s="0"/>
    </row>
    <row r="754" customFormat="false" ht="12.75" hidden="false" customHeight="false" outlineLevel="0" collapsed="false">
      <c r="X754" s="0"/>
      <c r="Y754" s="0"/>
    </row>
    <row r="755" customFormat="false" ht="12.75" hidden="false" customHeight="false" outlineLevel="0" collapsed="false">
      <c r="X755" s="0"/>
      <c r="Y755" s="0"/>
    </row>
    <row r="756" customFormat="false" ht="12.75" hidden="false" customHeight="false" outlineLevel="0" collapsed="false">
      <c r="X756" s="0"/>
      <c r="Y756" s="0"/>
    </row>
    <row r="757" customFormat="false" ht="12.75" hidden="false" customHeight="false" outlineLevel="0" collapsed="false">
      <c r="X757" s="0"/>
      <c r="Y757" s="0"/>
    </row>
    <row r="758" customFormat="false" ht="12.75" hidden="false" customHeight="false" outlineLevel="0" collapsed="false">
      <c r="X758" s="0"/>
      <c r="Y758" s="0"/>
    </row>
    <row r="759" customFormat="false" ht="12.75" hidden="false" customHeight="false" outlineLevel="0" collapsed="false">
      <c r="X759" s="0"/>
      <c r="Y759" s="0"/>
    </row>
    <row r="760" customFormat="false" ht="12.75" hidden="false" customHeight="false" outlineLevel="0" collapsed="false">
      <c r="X760" s="0"/>
      <c r="Y760" s="0"/>
    </row>
    <row r="761" customFormat="false" ht="12.75" hidden="false" customHeight="false" outlineLevel="0" collapsed="false">
      <c r="X761" s="0"/>
      <c r="Y761" s="0"/>
    </row>
    <row r="762" customFormat="false" ht="12.75" hidden="false" customHeight="false" outlineLevel="0" collapsed="false">
      <c r="X762" s="0"/>
      <c r="Y762" s="0"/>
    </row>
    <row r="763" customFormat="false" ht="12.75" hidden="false" customHeight="false" outlineLevel="0" collapsed="false">
      <c r="X763" s="0"/>
      <c r="Y763" s="0"/>
    </row>
    <row r="764" customFormat="false" ht="12.75" hidden="false" customHeight="false" outlineLevel="0" collapsed="false">
      <c r="X764" s="0"/>
      <c r="Y764" s="0"/>
    </row>
    <row r="765" customFormat="false" ht="12.75" hidden="false" customHeight="false" outlineLevel="0" collapsed="false">
      <c r="X765" s="0"/>
      <c r="Y765" s="0"/>
    </row>
    <row r="766" customFormat="false" ht="12.75" hidden="false" customHeight="false" outlineLevel="0" collapsed="false">
      <c r="X766" s="0"/>
      <c r="Y766" s="0"/>
    </row>
    <row r="767" customFormat="false" ht="12.75" hidden="false" customHeight="false" outlineLevel="0" collapsed="false">
      <c r="X767" s="0"/>
      <c r="Y767" s="0"/>
    </row>
    <row r="768" customFormat="false" ht="12.75" hidden="false" customHeight="false" outlineLevel="0" collapsed="false">
      <c r="X768" s="0"/>
      <c r="Y768" s="0"/>
    </row>
    <row r="769" customFormat="false" ht="12.75" hidden="false" customHeight="false" outlineLevel="0" collapsed="false">
      <c r="X769" s="0"/>
      <c r="Y769" s="0"/>
    </row>
    <row r="770" customFormat="false" ht="12.75" hidden="false" customHeight="false" outlineLevel="0" collapsed="false">
      <c r="X770" s="0"/>
      <c r="Y770" s="0"/>
    </row>
    <row r="771" customFormat="false" ht="12.75" hidden="false" customHeight="false" outlineLevel="0" collapsed="false">
      <c r="X771" s="0"/>
      <c r="Y771" s="0"/>
    </row>
    <row r="772" customFormat="false" ht="12.75" hidden="false" customHeight="false" outlineLevel="0" collapsed="false">
      <c r="X772" s="0"/>
      <c r="Y772" s="0"/>
    </row>
    <row r="773" customFormat="false" ht="12.75" hidden="false" customHeight="false" outlineLevel="0" collapsed="false">
      <c r="X773" s="0"/>
      <c r="Y773" s="0"/>
    </row>
    <row r="774" customFormat="false" ht="12.75" hidden="false" customHeight="false" outlineLevel="0" collapsed="false">
      <c r="X774" s="0"/>
      <c r="Y774" s="0"/>
    </row>
    <row r="775" customFormat="false" ht="12.75" hidden="false" customHeight="false" outlineLevel="0" collapsed="false">
      <c r="X775" s="0"/>
      <c r="Y775" s="0"/>
    </row>
    <row r="776" customFormat="false" ht="12.75" hidden="false" customHeight="false" outlineLevel="0" collapsed="false">
      <c r="X776" s="0"/>
      <c r="Y776" s="0"/>
    </row>
    <row r="777" customFormat="false" ht="12.75" hidden="false" customHeight="false" outlineLevel="0" collapsed="false">
      <c r="X777" s="0"/>
      <c r="Y777" s="0"/>
    </row>
    <row r="778" customFormat="false" ht="12.75" hidden="false" customHeight="false" outlineLevel="0" collapsed="false">
      <c r="X778" s="0"/>
      <c r="Y778" s="0"/>
    </row>
    <row r="779" customFormat="false" ht="12.75" hidden="false" customHeight="false" outlineLevel="0" collapsed="false">
      <c r="X779" s="0"/>
      <c r="Y779" s="0"/>
    </row>
    <row r="780" customFormat="false" ht="12.75" hidden="false" customHeight="false" outlineLevel="0" collapsed="false">
      <c r="X780" s="0"/>
      <c r="Y780" s="0"/>
    </row>
    <row r="781" customFormat="false" ht="12.75" hidden="false" customHeight="false" outlineLevel="0" collapsed="false">
      <c r="X781" s="0"/>
      <c r="Y781" s="0"/>
    </row>
    <row r="782" customFormat="false" ht="12.75" hidden="false" customHeight="false" outlineLevel="0" collapsed="false">
      <c r="X782" s="0"/>
      <c r="Y782" s="0"/>
    </row>
    <row r="783" customFormat="false" ht="12.75" hidden="false" customHeight="false" outlineLevel="0" collapsed="false">
      <c r="X783" s="0"/>
      <c r="Y783" s="0"/>
    </row>
    <row r="784" customFormat="false" ht="12.75" hidden="false" customHeight="false" outlineLevel="0" collapsed="false">
      <c r="X784" s="0"/>
      <c r="Y784" s="0"/>
    </row>
    <row r="785" customFormat="false" ht="12.75" hidden="false" customHeight="false" outlineLevel="0" collapsed="false">
      <c r="X785" s="0"/>
      <c r="Y785" s="0"/>
    </row>
    <row r="786" customFormat="false" ht="12.75" hidden="false" customHeight="false" outlineLevel="0" collapsed="false">
      <c r="X786" s="0"/>
      <c r="Y786" s="0"/>
    </row>
    <row r="787" customFormat="false" ht="12.75" hidden="false" customHeight="false" outlineLevel="0" collapsed="false">
      <c r="X787" s="0"/>
      <c r="Y787" s="0"/>
    </row>
    <row r="788" customFormat="false" ht="12.75" hidden="false" customHeight="false" outlineLevel="0" collapsed="false">
      <c r="X788" s="0"/>
      <c r="Y788" s="0"/>
    </row>
    <row r="789" customFormat="false" ht="12.75" hidden="false" customHeight="false" outlineLevel="0" collapsed="false">
      <c r="X789" s="0"/>
      <c r="Y789" s="0"/>
    </row>
    <row r="790" customFormat="false" ht="12.75" hidden="false" customHeight="false" outlineLevel="0" collapsed="false">
      <c r="X790" s="0"/>
      <c r="Y790" s="0"/>
    </row>
    <row r="791" customFormat="false" ht="12.75" hidden="false" customHeight="false" outlineLevel="0" collapsed="false">
      <c r="X791" s="0"/>
      <c r="Y791" s="0"/>
    </row>
    <row r="792" customFormat="false" ht="12.75" hidden="false" customHeight="false" outlineLevel="0" collapsed="false">
      <c r="X792" s="0"/>
      <c r="Y792" s="0"/>
    </row>
    <row r="793" customFormat="false" ht="12.75" hidden="false" customHeight="false" outlineLevel="0" collapsed="false">
      <c r="X793" s="0"/>
      <c r="Y793" s="0"/>
    </row>
    <row r="794" customFormat="false" ht="12.75" hidden="false" customHeight="false" outlineLevel="0" collapsed="false">
      <c r="X794" s="0"/>
      <c r="Y794" s="0"/>
    </row>
    <row r="795" customFormat="false" ht="12.75" hidden="false" customHeight="false" outlineLevel="0" collapsed="false">
      <c r="X795" s="0"/>
      <c r="Y795" s="0"/>
    </row>
    <row r="796" customFormat="false" ht="12.75" hidden="false" customHeight="false" outlineLevel="0" collapsed="false">
      <c r="X796" s="0"/>
      <c r="Y796" s="0"/>
    </row>
    <row r="797" customFormat="false" ht="12.75" hidden="false" customHeight="false" outlineLevel="0" collapsed="false">
      <c r="X797" s="0"/>
      <c r="Y797" s="0"/>
    </row>
    <row r="798" customFormat="false" ht="12.75" hidden="false" customHeight="false" outlineLevel="0" collapsed="false">
      <c r="X798" s="0"/>
      <c r="Y798" s="0"/>
    </row>
    <row r="799" customFormat="false" ht="12.75" hidden="false" customHeight="false" outlineLevel="0" collapsed="false">
      <c r="X799" s="0"/>
      <c r="Y799" s="0"/>
    </row>
    <row r="800" customFormat="false" ht="12.75" hidden="false" customHeight="false" outlineLevel="0" collapsed="false">
      <c r="X800" s="0"/>
      <c r="Y800" s="0"/>
    </row>
    <row r="801" customFormat="false" ht="12.75" hidden="false" customHeight="false" outlineLevel="0" collapsed="false">
      <c r="X801" s="0"/>
      <c r="Y801" s="0"/>
    </row>
    <row r="802" customFormat="false" ht="12.75" hidden="false" customHeight="false" outlineLevel="0" collapsed="false">
      <c r="X802" s="0"/>
      <c r="Y802" s="0"/>
    </row>
    <row r="803" customFormat="false" ht="12.75" hidden="false" customHeight="false" outlineLevel="0" collapsed="false">
      <c r="X803" s="0"/>
      <c r="Y803" s="0"/>
    </row>
    <row r="804" customFormat="false" ht="12.75" hidden="false" customHeight="false" outlineLevel="0" collapsed="false">
      <c r="X804" s="0"/>
      <c r="Y804" s="0"/>
    </row>
    <row r="805" customFormat="false" ht="12.75" hidden="false" customHeight="false" outlineLevel="0" collapsed="false">
      <c r="X805" s="0"/>
      <c r="Y805" s="0"/>
    </row>
    <row r="806" customFormat="false" ht="12.75" hidden="false" customHeight="false" outlineLevel="0" collapsed="false">
      <c r="X806" s="0"/>
      <c r="Y806" s="0"/>
    </row>
    <row r="807" customFormat="false" ht="12.75" hidden="false" customHeight="false" outlineLevel="0" collapsed="false">
      <c r="X807" s="0"/>
      <c r="Y807" s="0"/>
    </row>
    <row r="808" customFormat="false" ht="12.75" hidden="false" customHeight="false" outlineLevel="0" collapsed="false">
      <c r="X808" s="0"/>
      <c r="Y808" s="0"/>
    </row>
    <row r="809" customFormat="false" ht="12.75" hidden="false" customHeight="false" outlineLevel="0" collapsed="false">
      <c r="X809" s="0"/>
      <c r="Y809" s="0"/>
    </row>
    <row r="810" customFormat="false" ht="12.75" hidden="false" customHeight="false" outlineLevel="0" collapsed="false">
      <c r="X810" s="0"/>
      <c r="Y810" s="0"/>
    </row>
    <row r="811" customFormat="false" ht="12.75" hidden="false" customHeight="false" outlineLevel="0" collapsed="false">
      <c r="X811" s="0"/>
      <c r="Y811" s="0"/>
    </row>
    <row r="812" customFormat="false" ht="12.75" hidden="false" customHeight="false" outlineLevel="0" collapsed="false">
      <c r="X812" s="0"/>
      <c r="Y812" s="0"/>
    </row>
    <row r="813" customFormat="false" ht="12.75" hidden="false" customHeight="false" outlineLevel="0" collapsed="false">
      <c r="X813" s="0"/>
      <c r="Y813" s="0"/>
    </row>
    <row r="814" customFormat="false" ht="12.75" hidden="false" customHeight="false" outlineLevel="0" collapsed="false">
      <c r="X814" s="0"/>
      <c r="Y814" s="0"/>
    </row>
    <row r="815" customFormat="false" ht="12.75" hidden="false" customHeight="false" outlineLevel="0" collapsed="false">
      <c r="X815" s="0"/>
      <c r="Y815" s="0"/>
    </row>
    <row r="816" customFormat="false" ht="12.75" hidden="false" customHeight="false" outlineLevel="0" collapsed="false">
      <c r="X816" s="0"/>
      <c r="Y816" s="0"/>
    </row>
    <row r="817" customFormat="false" ht="12.75" hidden="false" customHeight="false" outlineLevel="0" collapsed="false">
      <c r="X817" s="0"/>
      <c r="Y817" s="0"/>
    </row>
    <row r="818" customFormat="false" ht="12.75" hidden="false" customHeight="false" outlineLevel="0" collapsed="false">
      <c r="X818" s="0"/>
      <c r="Y818" s="0"/>
    </row>
    <row r="819" customFormat="false" ht="12.75" hidden="false" customHeight="false" outlineLevel="0" collapsed="false">
      <c r="X819" s="0"/>
      <c r="Y819" s="0"/>
    </row>
    <row r="820" customFormat="false" ht="12.75" hidden="false" customHeight="false" outlineLevel="0" collapsed="false">
      <c r="X820" s="0"/>
      <c r="Y820" s="0"/>
    </row>
    <row r="821" customFormat="false" ht="12.75" hidden="false" customHeight="false" outlineLevel="0" collapsed="false">
      <c r="X821" s="0"/>
      <c r="Y821" s="0"/>
    </row>
    <row r="822" customFormat="false" ht="12.75" hidden="false" customHeight="false" outlineLevel="0" collapsed="false">
      <c r="X822" s="0"/>
      <c r="Y822" s="0"/>
    </row>
    <row r="823" customFormat="false" ht="12.75" hidden="false" customHeight="false" outlineLevel="0" collapsed="false">
      <c r="X823" s="0"/>
      <c r="Y823" s="0"/>
    </row>
    <row r="824" customFormat="false" ht="12.75" hidden="false" customHeight="false" outlineLevel="0" collapsed="false">
      <c r="X824" s="0"/>
      <c r="Y824" s="0"/>
    </row>
    <row r="825" customFormat="false" ht="12.75" hidden="false" customHeight="false" outlineLevel="0" collapsed="false">
      <c r="X825" s="0"/>
      <c r="Y825" s="0"/>
    </row>
    <row r="826" customFormat="false" ht="12.75" hidden="false" customHeight="false" outlineLevel="0" collapsed="false">
      <c r="X826" s="0"/>
      <c r="Y826" s="0"/>
    </row>
    <row r="827" customFormat="false" ht="12.75" hidden="false" customHeight="false" outlineLevel="0" collapsed="false">
      <c r="X827" s="0"/>
      <c r="Y827" s="0"/>
    </row>
    <row r="828" customFormat="false" ht="12.75" hidden="false" customHeight="false" outlineLevel="0" collapsed="false">
      <c r="X828" s="0"/>
      <c r="Y828" s="0"/>
    </row>
    <row r="829" customFormat="false" ht="12.75" hidden="false" customHeight="false" outlineLevel="0" collapsed="false">
      <c r="X829" s="0"/>
      <c r="Y829" s="0"/>
    </row>
    <row r="830" customFormat="false" ht="12.75" hidden="false" customHeight="false" outlineLevel="0" collapsed="false">
      <c r="X830" s="0"/>
      <c r="Y830" s="0"/>
    </row>
    <row r="831" customFormat="false" ht="12.75" hidden="false" customHeight="false" outlineLevel="0" collapsed="false">
      <c r="X831" s="0"/>
      <c r="Y831" s="0"/>
    </row>
    <row r="832" customFormat="false" ht="12.75" hidden="false" customHeight="false" outlineLevel="0" collapsed="false">
      <c r="X832" s="0"/>
      <c r="Y832" s="0"/>
    </row>
    <row r="833" customFormat="false" ht="12.75" hidden="false" customHeight="false" outlineLevel="0" collapsed="false">
      <c r="X833" s="0"/>
      <c r="Y833" s="0"/>
    </row>
    <row r="834" customFormat="false" ht="12.75" hidden="false" customHeight="false" outlineLevel="0" collapsed="false">
      <c r="X834" s="0"/>
      <c r="Y834" s="0"/>
    </row>
    <row r="835" customFormat="false" ht="12.75" hidden="false" customHeight="false" outlineLevel="0" collapsed="false">
      <c r="X835" s="0"/>
      <c r="Y835" s="0"/>
    </row>
    <row r="836" customFormat="false" ht="12.75" hidden="false" customHeight="false" outlineLevel="0" collapsed="false">
      <c r="X836" s="0"/>
      <c r="Y836" s="0"/>
    </row>
    <row r="837" customFormat="false" ht="12.75" hidden="false" customHeight="false" outlineLevel="0" collapsed="false">
      <c r="X837" s="0"/>
      <c r="Y837" s="0"/>
    </row>
    <row r="838" customFormat="false" ht="12.75" hidden="false" customHeight="false" outlineLevel="0" collapsed="false">
      <c r="X838" s="0"/>
      <c r="Y838" s="0"/>
    </row>
    <row r="839" customFormat="false" ht="12.75" hidden="false" customHeight="false" outlineLevel="0" collapsed="false">
      <c r="X839" s="0"/>
      <c r="Y839" s="0"/>
    </row>
    <row r="840" customFormat="false" ht="12.75" hidden="false" customHeight="false" outlineLevel="0" collapsed="false">
      <c r="X840" s="0"/>
      <c r="Y840" s="0"/>
    </row>
    <row r="841" customFormat="false" ht="12.75" hidden="false" customHeight="false" outlineLevel="0" collapsed="false">
      <c r="X841" s="0"/>
      <c r="Y841" s="0"/>
    </row>
    <row r="842" customFormat="false" ht="12.75" hidden="false" customHeight="false" outlineLevel="0" collapsed="false">
      <c r="X842" s="0"/>
      <c r="Y842" s="0"/>
    </row>
    <row r="843" customFormat="false" ht="12.75" hidden="false" customHeight="false" outlineLevel="0" collapsed="false">
      <c r="X843" s="0"/>
      <c r="Y843" s="0"/>
    </row>
    <row r="844" customFormat="false" ht="12.75" hidden="false" customHeight="false" outlineLevel="0" collapsed="false">
      <c r="X844" s="0"/>
      <c r="Y844" s="0"/>
    </row>
    <row r="845" customFormat="false" ht="12.75" hidden="false" customHeight="false" outlineLevel="0" collapsed="false">
      <c r="X845" s="0"/>
      <c r="Y845" s="0"/>
    </row>
    <row r="846" customFormat="false" ht="12.75" hidden="false" customHeight="false" outlineLevel="0" collapsed="false">
      <c r="X846" s="0"/>
      <c r="Y846" s="0"/>
    </row>
    <row r="847" customFormat="false" ht="12.75" hidden="false" customHeight="false" outlineLevel="0" collapsed="false">
      <c r="X847" s="0"/>
      <c r="Y847" s="0"/>
    </row>
    <row r="848" customFormat="false" ht="12.75" hidden="false" customHeight="false" outlineLevel="0" collapsed="false">
      <c r="X848" s="0"/>
      <c r="Y848" s="0"/>
    </row>
    <row r="849" customFormat="false" ht="12.75" hidden="false" customHeight="false" outlineLevel="0" collapsed="false">
      <c r="X849" s="0"/>
      <c r="Y849" s="0"/>
    </row>
    <row r="850" customFormat="false" ht="12.75" hidden="false" customHeight="false" outlineLevel="0" collapsed="false">
      <c r="X850" s="0"/>
      <c r="Y850" s="0"/>
    </row>
    <row r="851" customFormat="false" ht="12.75" hidden="false" customHeight="false" outlineLevel="0" collapsed="false">
      <c r="X851" s="0"/>
      <c r="Y851" s="0"/>
    </row>
    <row r="852" customFormat="false" ht="12.75" hidden="false" customHeight="false" outlineLevel="0" collapsed="false">
      <c r="X852" s="0"/>
      <c r="Y852" s="0"/>
    </row>
    <row r="853" customFormat="false" ht="12.75" hidden="false" customHeight="false" outlineLevel="0" collapsed="false">
      <c r="X853" s="0"/>
      <c r="Y853" s="0"/>
    </row>
    <row r="854" customFormat="false" ht="12.75" hidden="false" customHeight="false" outlineLevel="0" collapsed="false">
      <c r="X854" s="0"/>
      <c r="Y854" s="0"/>
    </row>
    <row r="855" customFormat="false" ht="12.75" hidden="false" customHeight="false" outlineLevel="0" collapsed="false">
      <c r="X855" s="0"/>
      <c r="Y855" s="0"/>
    </row>
    <row r="856" customFormat="false" ht="12.75" hidden="false" customHeight="false" outlineLevel="0" collapsed="false">
      <c r="X856" s="0"/>
      <c r="Y856" s="0"/>
    </row>
    <row r="857" customFormat="false" ht="12.75" hidden="false" customHeight="false" outlineLevel="0" collapsed="false">
      <c r="X857" s="0"/>
      <c r="Y857" s="0"/>
    </row>
    <row r="858" customFormat="false" ht="12.75" hidden="false" customHeight="false" outlineLevel="0" collapsed="false">
      <c r="X858" s="0"/>
      <c r="Y858" s="0"/>
    </row>
    <row r="859" customFormat="false" ht="12.75" hidden="false" customHeight="false" outlineLevel="0" collapsed="false">
      <c r="X859" s="0"/>
      <c r="Y859" s="0"/>
    </row>
    <row r="860" customFormat="false" ht="12.75" hidden="false" customHeight="false" outlineLevel="0" collapsed="false">
      <c r="X860" s="0"/>
      <c r="Y860" s="0"/>
    </row>
    <row r="861" customFormat="false" ht="12.75" hidden="false" customHeight="false" outlineLevel="0" collapsed="false">
      <c r="X861" s="0"/>
      <c r="Y861" s="0"/>
    </row>
    <row r="862" customFormat="false" ht="12.75" hidden="false" customHeight="false" outlineLevel="0" collapsed="false">
      <c r="X862" s="0"/>
      <c r="Y862" s="0"/>
    </row>
    <row r="863" customFormat="false" ht="12.75" hidden="false" customHeight="false" outlineLevel="0" collapsed="false">
      <c r="X863" s="0"/>
      <c r="Y863" s="0"/>
    </row>
    <row r="864" customFormat="false" ht="12.75" hidden="false" customHeight="false" outlineLevel="0" collapsed="false">
      <c r="X864" s="0"/>
      <c r="Y864" s="0"/>
    </row>
    <row r="865" customFormat="false" ht="12.75" hidden="false" customHeight="false" outlineLevel="0" collapsed="false">
      <c r="X865" s="0"/>
      <c r="Y865" s="0"/>
    </row>
    <row r="866" customFormat="false" ht="12.75" hidden="false" customHeight="false" outlineLevel="0" collapsed="false">
      <c r="X866" s="0"/>
      <c r="Y866" s="0"/>
    </row>
    <row r="867" customFormat="false" ht="12.75" hidden="false" customHeight="false" outlineLevel="0" collapsed="false">
      <c r="X867" s="0"/>
      <c r="Y867" s="0"/>
    </row>
    <row r="868" customFormat="false" ht="12.75" hidden="false" customHeight="false" outlineLevel="0" collapsed="false">
      <c r="X868" s="0"/>
      <c r="Y868" s="0"/>
    </row>
    <row r="869" customFormat="false" ht="12.75" hidden="false" customHeight="false" outlineLevel="0" collapsed="false">
      <c r="X869" s="0"/>
      <c r="Y869" s="0"/>
    </row>
    <row r="870" customFormat="false" ht="12.75" hidden="false" customHeight="false" outlineLevel="0" collapsed="false">
      <c r="X870" s="0"/>
      <c r="Y870" s="0"/>
    </row>
    <row r="871" customFormat="false" ht="12.75" hidden="false" customHeight="false" outlineLevel="0" collapsed="false">
      <c r="X871" s="0"/>
      <c r="Y871" s="0"/>
    </row>
    <row r="872" customFormat="false" ht="12.75" hidden="false" customHeight="false" outlineLevel="0" collapsed="false">
      <c r="X872" s="0"/>
      <c r="Y872" s="0"/>
    </row>
    <row r="873" customFormat="false" ht="12.75" hidden="false" customHeight="false" outlineLevel="0" collapsed="false">
      <c r="X873" s="0"/>
      <c r="Y873" s="0"/>
    </row>
    <row r="874" customFormat="false" ht="12.75" hidden="false" customHeight="false" outlineLevel="0" collapsed="false">
      <c r="X874" s="0"/>
      <c r="Y874" s="0"/>
    </row>
    <row r="875" customFormat="false" ht="12.75" hidden="false" customHeight="false" outlineLevel="0" collapsed="false">
      <c r="X875" s="0"/>
      <c r="Y875" s="0"/>
    </row>
    <row r="876" customFormat="false" ht="12.75" hidden="false" customHeight="false" outlineLevel="0" collapsed="false">
      <c r="X876" s="0"/>
      <c r="Y876" s="0"/>
    </row>
    <row r="877" customFormat="false" ht="12.75" hidden="false" customHeight="false" outlineLevel="0" collapsed="false">
      <c r="X877" s="0"/>
      <c r="Y877" s="0"/>
    </row>
    <row r="878" customFormat="false" ht="12.75" hidden="false" customHeight="false" outlineLevel="0" collapsed="false">
      <c r="X878" s="0"/>
      <c r="Y878" s="0"/>
    </row>
    <row r="879" customFormat="false" ht="12.75" hidden="false" customHeight="false" outlineLevel="0" collapsed="false">
      <c r="X879" s="0"/>
      <c r="Y879" s="0"/>
    </row>
    <row r="880" customFormat="false" ht="12.75" hidden="false" customHeight="false" outlineLevel="0" collapsed="false">
      <c r="X880" s="0"/>
      <c r="Y880" s="0"/>
    </row>
    <row r="881" customFormat="false" ht="12.75" hidden="false" customHeight="false" outlineLevel="0" collapsed="false">
      <c r="X881" s="0"/>
      <c r="Y881" s="0"/>
    </row>
    <row r="882" customFormat="false" ht="12.75" hidden="false" customHeight="false" outlineLevel="0" collapsed="false">
      <c r="X882" s="0"/>
      <c r="Y882" s="0"/>
    </row>
    <row r="883" customFormat="false" ht="12.75" hidden="false" customHeight="false" outlineLevel="0" collapsed="false">
      <c r="X883" s="0"/>
      <c r="Y883" s="0"/>
    </row>
    <row r="884" customFormat="false" ht="12.75" hidden="false" customHeight="false" outlineLevel="0" collapsed="false">
      <c r="X884" s="0"/>
      <c r="Y884" s="0"/>
    </row>
    <row r="885" customFormat="false" ht="12.75" hidden="false" customHeight="false" outlineLevel="0" collapsed="false">
      <c r="X885" s="0"/>
      <c r="Y885" s="0"/>
    </row>
    <row r="886" customFormat="false" ht="12.75" hidden="false" customHeight="false" outlineLevel="0" collapsed="false">
      <c r="X886" s="0"/>
      <c r="Y886" s="0"/>
    </row>
    <row r="887" customFormat="false" ht="12.75" hidden="false" customHeight="false" outlineLevel="0" collapsed="false">
      <c r="X887" s="0"/>
      <c r="Y887" s="0"/>
    </row>
    <row r="888" customFormat="false" ht="12.75" hidden="false" customHeight="false" outlineLevel="0" collapsed="false">
      <c r="X888" s="0"/>
      <c r="Y888" s="0"/>
    </row>
    <row r="889" customFormat="false" ht="12.75" hidden="false" customHeight="false" outlineLevel="0" collapsed="false">
      <c r="X889" s="0"/>
      <c r="Y889" s="0"/>
    </row>
    <row r="890" customFormat="false" ht="12.75" hidden="false" customHeight="false" outlineLevel="0" collapsed="false">
      <c r="X890" s="0"/>
      <c r="Y890" s="0"/>
    </row>
    <row r="891" customFormat="false" ht="12.75" hidden="false" customHeight="false" outlineLevel="0" collapsed="false">
      <c r="X891" s="0"/>
      <c r="Y891" s="0"/>
    </row>
    <row r="892" customFormat="false" ht="12.75" hidden="false" customHeight="false" outlineLevel="0" collapsed="false">
      <c r="X892" s="0"/>
      <c r="Y892" s="0"/>
    </row>
    <row r="893" customFormat="false" ht="12.75" hidden="false" customHeight="false" outlineLevel="0" collapsed="false">
      <c r="X893" s="0"/>
      <c r="Y893" s="0"/>
    </row>
    <row r="894" customFormat="false" ht="12.75" hidden="false" customHeight="false" outlineLevel="0" collapsed="false">
      <c r="X894" s="0"/>
      <c r="Y894" s="0"/>
    </row>
    <row r="895" customFormat="false" ht="12.75" hidden="false" customHeight="false" outlineLevel="0" collapsed="false">
      <c r="X895" s="0"/>
      <c r="Y895" s="0"/>
    </row>
    <row r="896" customFormat="false" ht="12.75" hidden="false" customHeight="false" outlineLevel="0" collapsed="false">
      <c r="X896" s="0"/>
      <c r="Y896" s="0"/>
    </row>
    <row r="897" customFormat="false" ht="12.75" hidden="false" customHeight="false" outlineLevel="0" collapsed="false">
      <c r="X897" s="0"/>
      <c r="Y897" s="0"/>
    </row>
    <row r="898" customFormat="false" ht="12.75" hidden="false" customHeight="false" outlineLevel="0" collapsed="false">
      <c r="X898" s="0"/>
      <c r="Y898" s="0"/>
    </row>
    <row r="899" customFormat="false" ht="12.75" hidden="false" customHeight="false" outlineLevel="0" collapsed="false">
      <c r="X899" s="0"/>
      <c r="Y899" s="0"/>
    </row>
    <row r="900" customFormat="false" ht="12.75" hidden="false" customHeight="false" outlineLevel="0" collapsed="false">
      <c r="X900" s="0"/>
      <c r="Y900" s="0"/>
    </row>
    <row r="901" customFormat="false" ht="12.75" hidden="false" customHeight="false" outlineLevel="0" collapsed="false">
      <c r="X901" s="0"/>
      <c r="Y901" s="0"/>
    </row>
    <row r="902" customFormat="false" ht="12.75" hidden="false" customHeight="false" outlineLevel="0" collapsed="false">
      <c r="X902" s="0"/>
      <c r="Y902" s="0"/>
    </row>
    <row r="903" customFormat="false" ht="12.75" hidden="false" customHeight="false" outlineLevel="0" collapsed="false">
      <c r="X903" s="0"/>
      <c r="Y903" s="0"/>
    </row>
    <row r="904" customFormat="false" ht="12.75" hidden="false" customHeight="false" outlineLevel="0" collapsed="false">
      <c r="X904" s="0"/>
      <c r="Y904" s="0"/>
    </row>
    <row r="905" customFormat="false" ht="12.75" hidden="false" customHeight="false" outlineLevel="0" collapsed="false">
      <c r="X905" s="0"/>
      <c r="Y905" s="0"/>
    </row>
    <row r="906" customFormat="false" ht="12.75" hidden="false" customHeight="false" outlineLevel="0" collapsed="false">
      <c r="X906" s="0"/>
      <c r="Y906" s="0"/>
    </row>
    <row r="907" customFormat="false" ht="12.75" hidden="false" customHeight="false" outlineLevel="0" collapsed="false">
      <c r="X907" s="0"/>
      <c r="Y907" s="0"/>
    </row>
    <row r="908" customFormat="false" ht="12.75" hidden="false" customHeight="false" outlineLevel="0" collapsed="false">
      <c r="X908" s="0"/>
      <c r="Y908" s="0"/>
    </row>
    <row r="909" customFormat="false" ht="12.75" hidden="false" customHeight="false" outlineLevel="0" collapsed="false">
      <c r="X909" s="0"/>
      <c r="Y909" s="0"/>
    </row>
    <row r="910" customFormat="false" ht="12.75" hidden="false" customHeight="false" outlineLevel="0" collapsed="false">
      <c r="X910" s="0"/>
      <c r="Y910" s="0"/>
    </row>
    <row r="911" customFormat="false" ht="12.75" hidden="false" customHeight="false" outlineLevel="0" collapsed="false">
      <c r="X911" s="0"/>
      <c r="Y911" s="0"/>
    </row>
    <row r="912" customFormat="false" ht="12.75" hidden="false" customHeight="false" outlineLevel="0" collapsed="false">
      <c r="X912" s="0"/>
      <c r="Y912" s="0"/>
    </row>
    <row r="913" customFormat="false" ht="12.75" hidden="false" customHeight="false" outlineLevel="0" collapsed="false">
      <c r="X913" s="0"/>
      <c r="Y913" s="0"/>
    </row>
    <row r="914" customFormat="false" ht="12.75" hidden="false" customHeight="false" outlineLevel="0" collapsed="false">
      <c r="X914" s="0"/>
      <c r="Y914" s="0"/>
    </row>
    <row r="915" customFormat="false" ht="12.75" hidden="false" customHeight="false" outlineLevel="0" collapsed="false">
      <c r="X915" s="0"/>
      <c r="Y915" s="0"/>
    </row>
    <row r="916" customFormat="false" ht="12.75" hidden="false" customHeight="false" outlineLevel="0" collapsed="false">
      <c r="X916" s="0"/>
      <c r="Y916" s="0"/>
    </row>
    <row r="917" customFormat="false" ht="12.75" hidden="false" customHeight="false" outlineLevel="0" collapsed="false">
      <c r="X917" s="0"/>
      <c r="Y917" s="0"/>
    </row>
    <row r="918" customFormat="false" ht="12.75" hidden="false" customHeight="false" outlineLevel="0" collapsed="false">
      <c r="X918" s="0"/>
      <c r="Y918" s="0"/>
    </row>
    <row r="919" customFormat="false" ht="12.75" hidden="false" customHeight="false" outlineLevel="0" collapsed="false">
      <c r="X919" s="0"/>
      <c r="Y919" s="0"/>
    </row>
    <row r="920" customFormat="false" ht="12.75" hidden="false" customHeight="false" outlineLevel="0" collapsed="false">
      <c r="X920" s="0"/>
      <c r="Y920" s="0"/>
    </row>
    <row r="921" customFormat="false" ht="12.75" hidden="false" customHeight="false" outlineLevel="0" collapsed="false">
      <c r="X921" s="0"/>
      <c r="Y921" s="0"/>
    </row>
    <row r="922" customFormat="false" ht="12.75" hidden="false" customHeight="false" outlineLevel="0" collapsed="false">
      <c r="X922" s="0"/>
      <c r="Y922" s="0"/>
    </row>
    <row r="923" customFormat="false" ht="12.75" hidden="false" customHeight="false" outlineLevel="0" collapsed="false">
      <c r="X923" s="0"/>
      <c r="Y923" s="0"/>
    </row>
    <row r="924" customFormat="false" ht="12.75" hidden="false" customHeight="false" outlineLevel="0" collapsed="false">
      <c r="X924" s="0"/>
      <c r="Y924" s="0"/>
    </row>
    <row r="925" customFormat="false" ht="12.75" hidden="false" customHeight="false" outlineLevel="0" collapsed="false">
      <c r="X925" s="0"/>
      <c r="Y925" s="0"/>
    </row>
    <row r="926" customFormat="false" ht="12.75" hidden="false" customHeight="false" outlineLevel="0" collapsed="false">
      <c r="X926" s="0"/>
      <c r="Y926" s="0"/>
    </row>
    <row r="927" customFormat="false" ht="12.75" hidden="false" customHeight="false" outlineLevel="0" collapsed="false">
      <c r="X927" s="0"/>
      <c r="Y927" s="0"/>
    </row>
    <row r="928" customFormat="false" ht="12.75" hidden="false" customHeight="false" outlineLevel="0" collapsed="false">
      <c r="X928" s="0"/>
      <c r="Y928" s="0"/>
    </row>
    <row r="929" customFormat="false" ht="12.75" hidden="false" customHeight="false" outlineLevel="0" collapsed="false">
      <c r="X929" s="0"/>
      <c r="Y929" s="0"/>
    </row>
    <row r="930" customFormat="false" ht="12.75" hidden="false" customHeight="false" outlineLevel="0" collapsed="false">
      <c r="X930" s="0"/>
      <c r="Y930" s="0"/>
    </row>
    <row r="931" customFormat="false" ht="12.75" hidden="false" customHeight="false" outlineLevel="0" collapsed="false">
      <c r="X931" s="0"/>
      <c r="Y931" s="0"/>
    </row>
    <row r="932" customFormat="false" ht="12.75" hidden="false" customHeight="false" outlineLevel="0" collapsed="false">
      <c r="X932" s="0"/>
      <c r="Y932" s="0"/>
    </row>
    <row r="933" customFormat="false" ht="12.75" hidden="false" customHeight="false" outlineLevel="0" collapsed="false">
      <c r="X933" s="0"/>
      <c r="Y933" s="0"/>
    </row>
    <row r="934" customFormat="false" ht="12.75" hidden="false" customHeight="false" outlineLevel="0" collapsed="false">
      <c r="X934" s="0"/>
      <c r="Y934" s="0"/>
    </row>
    <row r="935" customFormat="false" ht="12.75" hidden="false" customHeight="false" outlineLevel="0" collapsed="false">
      <c r="X935" s="0"/>
      <c r="Y935" s="0"/>
    </row>
    <row r="936" customFormat="false" ht="12.75" hidden="false" customHeight="false" outlineLevel="0" collapsed="false">
      <c r="X936" s="0"/>
      <c r="Y936" s="0"/>
    </row>
    <row r="937" customFormat="false" ht="12.75" hidden="false" customHeight="false" outlineLevel="0" collapsed="false">
      <c r="X937" s="0"/>
      <c r="Y937" s="0"/>
    </row>
    <row r="938" customFormat="false" ht="12.75" hidden="false" customHeight="false" outlineLevel="0" collapsed="false">
      <c r="X938" s="0"/>
      <c r="Y938" s="0"/>
    </row>
    <row r="939" customFormat="false" ht="12.75" hidden="false" customHeight="false" outlineLevel="0" collapsed="false">
      <c r="X939" s="0"/>
      <c r="Y939" s="0"/>
    </row>
    <row r="940" customFormat="false" ht="12.75" hidden="false" customHeight="false" outlineLevel="0" collapsed="false">
      <c r="X940" s="0"/>
      <c r="Y940" s="0"/>
    </row>
    <row r="941" customFormat="false" ht="12.75" hidden="false" customHeight="false" outlineLevel="0" collapsed="false">
      <c r="X941" s="0"/>
      <c r="Y941" s="0"/>
    </row>
    <row r="942" customFormat="false" ht="12.75" hidden="false" customHeight="false" outlineLevel="0" collapsed="false">
      <c r="X942" s="0"/>
      <c r="Y942" s="0"/>
    </row>
    <row r="943" customFormat="false" ht="12.75" hidden="false" customHeight="false" outlineLevel="0" collapsed="false">
      <c r="X943" s="0"/>
      <c r="Y943" s="0"/>
    </row>
    <row r="944" customFormat="false" ht="12.75" hidden="false" customHeight="false" outlineLevel="0" collapsed="false">
      <c r="X944" s="0"/>
      <c r="Y944" s="0"/>
    </row>
    <row r="945" customFormat="false" ht="12.75" hidden="false" customHeight="false" outlineLevel="0" collapsed="false">
      <c r="X945" s="0"/>
      <c r="Y945" s="0"/>
    </row>
    <row r="946" customFormat="false" ht="12.75" hidden="false" customHeight="false" outlineLevel="0" collapsed="false">
      <c r="X946" s="0"/>
      <c r="Y946" s="0"/>
    </row>
    <row r="947" customFormat="false" ht="12.75" hidden="false" customHeight="false" outlineLevel="0" collapsed="false">
      <c r="X947" s="0"/>
      <c r="Y947" s="0"/>
    </row>
    <row r="948" customFormat="false" ht="12.75" hidden="false" customHeight="false" outlineLevel="0" collapsed="false">
      <c r="X948" s="0"/>
      <c r="Y948" s="0"/>
    </row>
    <row r="949" customFormat="false" ht="12.75" hidden="false" customHeight="false" outlineLevel="0" collapsed="false">
      <c r="X949" s="0"/>
      <c r="Y949" s="0"/>
    </row>
    <row r="950" customFormat="false" ht="12.75" hidden="false" customHeight="false" outlineLevel="0" collapsed="false">
      <c r="X950" s="0"/>
      <c r="Y950" s="0"/>
    </row>
    <row r="951" customFormat="false" ht="12.75" hidden="false" customHeight="false" outlineLevel="0" collapsed="false">
      <c r="X951" s="0"/>
      <c r="Y951" s="0"/>
    </row>
    <row r="952" customFormat="false" ht="12.75" hidden="false" customHeight="false" outlineLevel="0" collapsed="false">
      <c r="X952" s="0"/>
      <c r="Y952" s="0"/>
    </row>
    <row r="953" customFormat="false" ht="12.75" hidden="false" customHeight="false" outlineLevel="0" collapsed="false">
      <c r="X953" s="0"/>
      <c r="Y953" s="0"/>
    </row>
    <row r="954" customFormat="false" ht="12.75" hidden="false" customHeight="false" outlineLevel="0" collapsed="false">
      <c r="X954" s="0"/>
      <c r="Y954" s="0"/>
    </row>
    <row r="955" customFormat="false" ht="12.75" hidden="false" customHeight="false" outlineLevel="0" collapsed="false">
      <c r="X955" s="0"/>
      <c r="Y955" s="0"/>
    </row>
    <row r="956" customFormat="false" ht="12.75" hidden="false" customHeight="false" outlineLevel="0" collapsed="false">
      <c r="X956" s="0"/>
      <c r="Y956" s="0"/>
    </row>
    <row r="957" customFormat="false" ht="12.75" hidden="false" customHeight="false" outlineLevel="0" collapsed="false">
      <c r="X957" s="0"/>
      <c r="Y957" s="0"/>
    </row>
    <row r="958" customFormat="false" ht="12.75" hidden="false" customHeight="false" outlineLevel="0" collapsed="false">
      <c r="X958" s="0"/>
      <c r="Y958" s="0"/>
    </row>
    <row r="959" customFormat="false" ht="12.75" hidden="false" customHeight="false" outlineLevel="0" collapsed="false">
      <c r="X959" s="0"/>
      <c r="Y959" s="0"/>
    </row>
    <row r="960" customFormat="false" ht="12.75" hidden="false" customHeight="false" outlineLevel="0" collapsed="false">
      <c r="X960" s="0"/>
      <c r="Y960" s="0"/>
    </row>
    <row r="961" customFormat="false" ht="12.75" hidden="false" customHeight="false" outlineLevel="0" collapsed="false">
      <c r="X961" s="0"/>
      <c r="Y961" s="0"/>
    </row>
    <row r="962" customFormat="false" ht="12.75" hidden="false" customHeight="false" outlineLevel="0" collapsed="false">
      <c r="X962" s="0"/>
      <c r="Y962" s="0"/>
    </row>
    <row r="963" customFormat="false" ht="12.75" hidden="false" customHeight="false" outlineLevel="0" collapsed="false">
      <c r="X963" s="0"/>
      <c r="Y963" s="0"/>
    </row>
    <row r="964" customFormat="false" ht="12.75" hidden="false" customHeight="false" outlineLevel="0" collapsed="false">
      <c r="X964" s="0"/>
      <c r="Y964" s="0"/>
    </row>
    <row r="965" customFormat="false" ht="12.75" hidden="false" customHeight="false" outlineLevel="0" collapsed="false">
      <c r="X965" s="0"/>
      <c r="Y965" s="0"/>
    </row>
    <row r="966" customFormat="false" ht="12.75" hidden="false" customHeight="false" outlineLevel="0" collapsed="false">
      <c r="X966" s="0"/>
      <c r="Y966" s="0"/>
    </row>
    <row r="967" customFormat="false" ht="12.75" hidden="false" customHeight="false" outlineLevel="0" collapsed="false">
      <c r="X967" s="0"/>
      <c r="Y967" s="0"/>
    </row>
    <row r="968" customFormat="false" ht="12.75" hidden="false" customHeight="false" outlineLevel="0" collapsed="false">
      <c r="X968" s="0"/>
      <c r="Y968" s="0"/>
    </row>
    <row r="969" customFormat="false" ht="12.75" hidden="false" customHeight="false" outlineLevel="0" collapsed="false">
      <c r="X969" s="0"/>
      <c r="Y969" s="0"/>
    </row>
    <row r="970" customFormat="false" ht="12.75" hidden="false" customHeight="false" outlineLevel="0" collapsed="false">
      <c r="X970" s="0"/>
      <c r="Y970" s="0"/>
    </row>
    <row r="971" customFormat="false" ht="12.75" hidden="false" customHeight="false" outlineLevel="0" collapsed="false">
      <c r="X971" s="0"/>
      <c r="Y971" s="0"/>
    </row>
    <row r="972" customFormat="false" ht="12.75" hidden="false" customHeight="false" outlineLevel="0" collapsed="false">
      <c r="X972" s="0"/>
      <c r="Y972" s="0"/>
    </row>
    <row r="973" customFormat="false" ht="12.75" hidden="false" customHeight="false" outlineLevel="0" collapsed="false">
      <c r="X973" s="0"/>
      <c r="Y973" s="0"/>
    </row>
    <row r="974" customFormat="false" ht="12.75" hidden="false" customHeight="false" outlineLevel="0" collapsed="false">
      <c r="X974" s="0"/>
      <c r="Y974" s="0"/>
    </row>
    <row r="975" customFormat="false" ht="12.75" hidden="false" customHeight="false" outlineLevel="0" collapsed="false">
      <c r="X975" s="0"/>
      <c r="Y975" s="0"/>
    </row>
    <row r="976" customFormat="false" ht="12.75" hidden="false" customHeight="false" outlineLevel="0" collapsed="false">
      <c r="X976" s="0"/>
      <c r="Y976" s="0"/>
    </row>
    <row r="977" customFormat="false" ht="12.75" hidden="false" customHeight="false" outlineLevel="0" collapsed="false">
      <c r="X977" s="0"/>
      <c r="Y977" s="0"/>
    </row>
    <row r="978" customFormat="false" ht="12.75" hidden="false" customHeight="false" outlineLevel="0" collapsed="false">
      <c r="X978" s="0"/>
      <c r="Y978" s="0"/>
    </row>
    <row r="979" customFormat="false" ht="12.75" hidden="false" customHeight="false" outlineLevel="0" collapsed="false">
      <c r="X979" s="0"/>
      <c r="Y979" s="0"/>
    </row>
    <row r="980" customFormat="false" ht="12.75" hidden="false" customHeight="false" outlineLevel="0" collapsed="false">
      <c r="X980" s="0"/>
      <c r="Y980" s="0"/>
    </row>
    <row r="981" customFormat="false" ht="12.75" hidden="false" customHeight="false" outlineLevel="0" collapsed="false">
      <c r="X981" s="0"/>
      <c r="Y981" s="0"/>
    </row>
    <row r="982" customFormat="false" ht="12.75" hidden="false" customHeight="false" outlineLevel="0" collapsed="false">
      <c r="X982" s="0"/>
      <c r="Y982" s="0"/>
    </row>
    <row r="983" customFormat="false" ht="12.75" hidden="false" customHeight="false" outlineLevel="0" collapsed="false">
      <c r="X983" s="0"/>
      <c r="Y983" s="0"/>
    </row>
    <row r="984" customFormat="false" ht="12.75" hidden="false" customHeight="false" outlineLevel="0" collapsed="false">
      <c r="X984" s="0"/>
      <c r="Y984" s="0"/>
    </row>
    <row r="985" customFormat="false" ht="12.75" hidden="false" customHeight="false" outlineLevel="0" collapsed="false">
      <c r="X985" s="0"/>
      <c r="Y985" s="0"/>
    </row>
    <row r="986" customFormat="false" ht="12.75" hidden="false" customHeight="false" outlineLevel="0" collapsed="false">
      <c r="X986" s="0"/>
      <c r="Y986" s="0"/>
    </row>
    <row r="987" customFormat="false" ht="12.75" hidden="false" customHeight="false" outlineLevel="0" collapsed="false">
      <c r="X987" s="0"/>
      <c r="Y987" s="0"/>
    </row>
    <row r="988" customFormat="false" ht="12.75" hidden="false" customHeight="false" outlineLevel="0" collapsed="false">
      <c r="X988" s="0"/>
      <c r="Y988" s="0"/>
    </row>
    <row r="989" customFormat="false" ht="12.75" hidden="false" customHeight="false" outlineLevel="0" collapsed="false">
      <c r="X989" s="0"/>
      <c r="Y989" s="0"/>
    </row>
    <row r="990" customFormat="false" ht="12.75" hidden="false" customHeight="false" outlineLevel="0" collapsed="false">
      <c r="X990" s="0"/>
      <c r="Y990" s="0"/>
    </row>
    <row r="991" customFormat="false" ht="12.75" hidden="false" customHeight="false" outlineLevel="0" collapsed="false">
      <c r="X991" s="0"/>
      <c r="Y991" s="0"/>
    </row>
    <row r="992" customFormat="false" ht="12.75" hidden="false" customHeight="false" outlineLevel="0" collapsed="false">
      <c r="X992" s="0"/>
      <c r="Y992" s="0"/>
    </row>
    <row r="993" customFormat="false" ht="12.75" hidden="false" customHeight="false" outlineLevel="0" collapsed="false">
      <c r="X993" s="0"/>
      <c r="Y993" s="0"/>
    </row>
    <row r="994" customFormat="false" ht="12.75" hidden="false" customHeight="false" outlineLevel="0" collapsed="false">
      <c r="X994" s="0"/>
      <c r="Y994" s="0"/>
    </row>
    <row r="995" customFormat="false" ht="12.75" hidden="false" customHeight="false" outlineLevel="0" collapsed="false">
      <c r="X995" s="0"/>
      <c r="Y995" s="0"/>
    </row>
    <row r="996" customFormat="false" ht="12.75" hidden="false" customHeight="false" outlineLevel="0" collapsed="false">
      <c r="X996" s="0"/>
      <c r="Y996" s="0"/>
    </row>
    <row r="997" customFormat="false" ht="12.75" hidden="false" customHeight="false" outlineLevel="0" collapsed="false">
      <c r="X997" s="0"/>
      <c r="Y997" s="0"/>
    </row>
    <row r="998" customFormat="false" ht="12.75" hidden="false" customHeight="false" outlineLevel="0" collapsed="false">
      <c r="X998" s="0"/>
      <c r="Y998" s="0"/>
    </row>
    <row r="999" customFormat="false" ht="12.75" hidden="false" customHeight="false" outlineLevel="0" collapsed="false">
      <c r="X999" s="0"/>
      <c r="Y999" s="0"/>
    </row>
    <row r="1000" customFormat="false" ht="12.75" hidden="false" customHeight="false" outlineLevel="0" collapsed="false">
      <c r="X1000" s="0"/>
      <c r="Y1000" s="0"/>
    </row>
    <row r="1001" customFormat="false" ht="12.75" hidden="false" customHeight="false" outlineLevel="0" collapsed="false">
      <c r="Y1001" s="959"/>
    </row>
    <row r="1002" customFormat="false" ht="12.75" hidden="false" customHeight="false" outlineLevel="0" collapsed="false">
      <c r="Y1002" s="959"/>
    </row>
    <row r="1003" customFormat="false" ht="12.75" hidden="false" customHeight="false" outlineLevel="0" collapsed="false">
      <c r="Y1003" s="959"/>
    </row>
    <row r="1004" customFormat="false" ht="12.75" hidden="false" customHeight="false" outlineLevel="0" collapsed="false">
      <c r="Y1004" s="959"/>
    </row>
    <row r="1005" customFormat="false" ht="12.75" hidden="false" customHeight="false" outlineLevel="0" collapsed="false">
      <c r="Y1005" s="959"/>
    </row>
    <row r="1006" customFormat="false" ht="12.75" hidden="false" customHeight="false" outlineLevel="0" collapsed="false">
      <c r="Y1006" s="959"/>
    </row>
    <row r="1007" customFormat="false" ht="12.75" hidden="false" customHeight="false" outlineLevel="0" collapsed="false">
      <c r="Y1007" s="959"/>
    </row>
    <row r="1008" customFormat="false" ht="12.75" hidden="false" customHeight="false" outlineLevel="0" collapsed="false">
      <c r="Y1008" s="959"/>
    </row>
    <row r="1009" customFormat="false" ht="12.75" hidden="false" customHeight="false" outlineLevel="0" collapsed="false">
      <c r="Y1009" s="959"/>
    </row>
    <row r="1010" customFormat="false" ht="12.75" hidden="false" customHeight="false" outlineLevel="0" collapsed="false">
      <c r="Y1010" s="959"/>
    </row>
    <row r="1011" customFormat="false" ht="12.75" hidden="false" customHeight="false" outlineLevel="0" collapsed="false">
      <c r="Y1011" s="959"/>
    </row>
    <row r="1012" customFormat="false" ht="12.75" hidden="false" customHeight="false" outlineLevel="0" collapsed="false">
      <c r="Y1012" s="959"/>
    </row>
    <row r="1013" customFormat="false" ht="12.75" hidden="false" customHeight="false" outlineLevel="0" collapsed="false">
      <c r="Y1013" s="959"/>
    </row>
    <row r="1014" customFormat="false" ht="12.75" hidden="false" customHeight="false" outlineLevel="0" collapsed="false">
      <c r="Y1014" s="959"/>
    </row>
    <row r="1015" customFormat="false" ht="12.75" hidden="false" customHeight="false" outlineLevel="0" collapsed="false">
      <c r="Y1015" s="959"/>
    </row>
    <row r="1016" customFormat="false" ht="12.75" hidden="false" customHeight="false" outlineLevel="0" collapsed="false">
      <c r="Y1016" s="959"/>
    </row>
    <row r="1017" customFormat="false" ht="12.75" hidden="false" customHeight="false" outlineLevel="0" collapsed="false">
      <c r="Y1017" s="959"/>
    </row>
    <row r="1018" customFormat="false" ht="12.75" hidden="false" customHeight="false" outlineLevel="0" collapsed="false">
      <c r="Y1018" s="959"/>
    </row>
    <row r="1019" customFormat="false" ht="12.75" hidden="false" customHeight="false" outlineLevel="0" collapsed="false">
      <c r="Y1019" s="959"/>
    </row>
    <row r="1020" customFormat="false" ht="12.75" hidden="false" customHeight="false" outlineLevel="0" collapsed="false">
      <c r="Y1020" s="959"/>
    </row>
    <row r="1021" customFormat="false" ht="12.75" hidden="false" customHeight="false" outlineLevel="0" collapsed="false">
      <c r="Y1021" s="959"/>
    </row>
    <row r="1022" customFormat="false" ht="12.75" hidden="false" customHeight="false" outlineLevel="0" collapsed="false">
      <c r="Y1022" s="959"/>
    </row>
    <row r="1023" customFormat="false" ht="12.75" hidden="false" customHeight="false" outlineLevel="0" collapsed="false">
      <c r="Y1023" s="959"/>
    </row>
    <row r="1024" customFormat="false" ht="12.75" hidden="false" customHeight="false" outlineLevel="0" collapsed="false">
      <c r="Y1024" s="959"/>
    </row>
    <row r="1025" customFormat="false" ht="12.75" hidden="false" customHeight="false" outlineLevel="0" collapsed="false">
      <c r="Y1025" s="959"/>
    </row>
    <row r="1026" customFormat="false" ht="12.75" hidden="false" customHeight="false" outlineLevel="0" collapsed="false">
      <c r="Y1026" s="959"/>
    </row>
    <row r="1027" customFormat="false" ht="12.75" hidden="false" customHeight="false" outlineLevel="0" collapsed="false">
      <c r="Y1027" s="959"/>
    </row>
    <row r="1028" customFormat="false" ht="12.75" hidden="false" customHeight="false" outlineLevel="0" collapsed="false">
      <c r="Y1028" s="959"/>
    </row>
    <row r="1029" customFormat="false" ht="12.75" hidden="false" customHeight="false" outlineLevel="0" collapsed="false">
      <c r="Y1029" s="959"/>
    </row>
    <row r="1030" customFormat="false" ht="12.75" hidden="false" customHeight="false" outlineLevel="0" collapsed="false">
      <c r="Y1030" s="959"/>
    </row>
    <row r="1031" customFormat="false" ht="12.75" hidden="false" customHeight="false" outlineLevel="0" collapsed="false">
      <c r="Y1031" s="959"/>
    </row>
    <row r="1032" customFormat="false" ht="12.75" hidden="false" customHeight="false" outlineLevel="0" collapsed="false">
      <c r="Y1032" s="959"/>
    </row>
    <row r="1033" customFormat="false" ht="12.75" hidden="false" customHeight="false" outlineLevel="0" collapsed="false">
      <c r="Y1033" s="959"/>
    </row>
    <row r="1034" customFormat="false" ht="12.75" hidden="false" customHeight="false" outlineLevel="0" collapsed="false">
      <c r="Y1034" s="959"/>
    </row>
    <row r="1035" customFormat="false" ht="12.75" hidden="false" customHeight="false" outlineLevel="0" collapsed="false">
      <c r="Y1035" s="959"/>
    </row>
    <row r="1036" customFormat="false" ht="12.75" hidden="false" customHeight="false" outlineLevel="0" collapsed="false">
      <c r="Y1036" s="959"/>
    </row>
    <row r="1037" customFormat="false" ht="12.75" hidden="false" customHeight="false" outlineLevel="0" collapsed="false">
      <c r="Y1037" s="959"/>
    </row>
    <row r="1038" customFormat="false" ht="12.75" hidden="false" customHeight="false" outlineLevel="0" collapsed="false">
      <c r="Y1038" s="959"/>
    </row>
    <row r="1039" customFormat="false" ht="12.75" hidden="false" customHeight="false" outlineLevel="0" collapsed="false">
      <c r="Y1039" s="959"/>
    </row>
    <row r="1040" customFormat="false" ht="12.75" hidden="false" customHeight="false" outlineLevel="0" collapsed="false">
      <c r="Y1040" s="959"/>
    </row>
    <row r="1041" customFormat="false" ht="12.75" hidden="false" customHeight="false" outlineLevel="0" collapsed="false">
      <c r="Y1041" s="959"/>
    </row>
    <row r="1042" customFormat="false" ht="12.75" hidden="false" customHeight="false" outlineLevel="0" collapsed="false">
      <c r="Y1042" s="959"/>
    </row>
    <row r="1043" customFormat="false" ht="12.75" hidden="false" customHeight="false" outlineLevel="0" collapsed="false">
      <c r="Y1043" s="959"/>
    </row>
    <row r="1044" customFormat="false" ht="12.75" hidden="false" customHeight="false" outlineLevel="0" collapsed="false">
      <c r="Y1044" s="959"/>
    </row>
    <row r="1045" customFormat="false" ht="12.75" hidden="false" customHeight="false" outlineLevel="0" collapsed="false">
      <c r="Y1045" s="959"/>
    </row>
    <row r="1046" customFormat="false" ht="12.75" hidden="false" customHeight="false" outlineLevel="0" collapsed="false">
      <c r="Y1046" s="959"/>
    </row>
    <row r="1047" customFormat="false" ht="12.75" hidden="false" customHeight="false" outlineLevel="0" collapsed="false">
      <c r="Y1047" s="959"/>
    </row>
    <row r="1048" customFormat="false" ht="12.75" hidden="false" customHeight="false" outlineLevel="0" collapsed="false">
      <c r="Y1048" s="959"/>
    </row>
    <row r="1049" customFormat="false" ht="12.75" hidden="false" customHeight="false" outlineLevel="0" collapsed="false">
      <c r="Y1049" s="959"/>
    </row>
    <row r="1050" customFormat="false" ht="12.75" hidden="false" customHeight="false" outlineLevel="0" collapsed="false">
      <c r="Y1050" s="959"/>
    </row>
    <row r="1051" customFormat="false" ht="12.75" hidden="false" customHeight="false" outlineLevel="0" collapsed="false">
      <c r="Y1051" s="959"/>
    </row>
    <row r="1052" customFormat="false" ht="12.75" hidden="false" customHeight="false" outlineLevel="0" collapsed="false">
      <c r="Y1052" s="959"/>
    </row>
    <row r="1053" customFormat="false" ht="12.75" hidden="false" customHeight="false" outlineLevel="0" collapsed="false">
      <c r="Y1053" s="959"/>
    </row>
    <row r="1054" customFormat="false" ht="12.75" hidden="false" customHeight="false" outlineLevel="0" collapsed="false">
      <c r="Y1054" s="959"/>
    </row>
    <row r="1055" customFormat="false" ht="12.75" hidden="false" customHeight="false" outlineLevel="0" collapsed="false">
      <c r="Y1055" s="959"/>
    </row>
    <row r="1056" customFormat="false" ht="12.75" hidden="false" customHeight="false" outlineLevel="0" collapsed="false">
      <c r="Y1056" s="959"/>
    </row>
    <row r="1057" customFormat="false" ht="12.75" hidden="false" customHeight="false" outlineLevel="0" collapsed="false">
      <c r="Y1057" s="959"/>
    </row>
    <row r="1058" customFormat="false" ht="12.75" hidden="false" customHeight="false" outlineLevel="0" collapsed="false">
      <c r="Y1058" s="959"/>
    </row>
    <row r="1059" customFormat="false" ht="12.75" hidden="false" customHeight="false" outlineLevel="0" collapsed="false">
      <c r="Y1059" s="959"/>
    </row>
    <row r="1060" customFormat="false" ht="12.75" hidden="false" customHeight="false" outlineLevel="0" collapsed="false">
      <c r="Y1060" s="959"/>
    </row>
    <row r="1061" customFormat="false" ht="12.75" hidden="false" customHeight="false" outlineLevel="0" collapsed="false">
      <c r="Y1061" s="959"/>
    </row>
    <row r="1062" customFormat="false" ht="12.75" hidden="false" customHeight="false" outlineLevel="0" collapsed="false">
      <c r="Y1062" s="959"/>
    </row>
    <row r="1063" customFormat="false" ht="12.75" hidden="false" customHeight="false" outlineLevel="0" collapsed="false">
      <c r="Y1063" s="959"/>
    </row>
    <row r="1064" customFormat="false" ht="12.75" hidden="false" customHeight="false" outlineLevel="0" collapsed="false">
      <c r="Y1064" s="959"/>
    </row>
    <row r="1065" customFormat="false" ht="12.75" hidden="false" customHeight="false" outlineLevel="0" collapsed="false">
      <c r="Y1065" s="959"/>
    </row>
    <row r="1066" customFormat="false" ht="12.75" hidden="false" customHeight="false" outlineLevel="0" collapsed="false">
      <c r="Y1066" s="959"/>
    </row>
    <row r="1067" customFormat="false" ht="12.75" hidden="false" customHeight="false" outlineLevel="0" collapsed="false">
      <c r="Y1067" s="959"/>
    </row>
    <row r="1068" customFormat="false" ht="12.75" hidden="false" customHeight="false" outlineLevel="0" collapsed="false">
      <c r="Y1068" s="959"/>
    </row>
    <row r="1069" customFormat="false" ht="12.75" hidden="false" customHeight="false" outlineLevel="0" collapsed="false">
      <c r="Y1069" s="959"/>
    </row>
    <row r="1070" customFormat="false" ht="12.75" hidden="false" customHeight="false" outlineLevel="0" collapsed="false">
      <c r="Y1070" s="959"/>
    </row>
    <row r="1071" customFormat="false" ht="12.75" hidden="false" customHeight="false" outlineLevel="0" collapsed="false">
      <c r="Y1071" s="959"/>
    </row>
    <row r="1072" customFormat="false" ht="12.75" hidden="false" customHeight="false" outlineLevel="0" collapsed="false">
      <c r="Y1072" s="959"/>
    </row>
    <row r="1073" customFormat="false" ht="12.75" hidden="false" customHeight="false" outlineLevel="0" collapsed="false">
      <c r="Y1073" s="959"/>
    </row>
    <row r="1074" customFormat="false" ht="12.75" hidden="false" customHeight="false" outlineLevel="0" collapsed="false">
      <c r="Y1074" s="959"/>
    </row>
    <row r="1075" customFormat="false" ht="12.75" hidden="false" customHeight="false" outlineLevel="0" collapsed="false">
      <c r="Y1075" s="959"/>
    </row>
    <row r="1076" customFormat="false" ht="12.75" hidden="false" customHeight="false" outlineLevel="0" collapsed="false">
      <c r="Y1076" s="959"/>
    </row>
    <row r="1077" customFormat="false" ht="12.75" hidden="false" customHeight="false" outlineLevel="0" collapsed="false">
      <c r="Y1077" s="959"/>
    </row>
    <row r="1078" customFormat="false" ht="12.75" hidden="false" customHeight="false" outlineLevel="0" collapsed="false">
      <c r="Y1078" s="959"/>
    </row>
    <row r="1079" customFormat="false" ht="12.75" hidden="false" customHeight="false" outlineLevel="0" collapsed="false">
      <c r="Y1079" s="959"/>
    </row>
    <row r="1080" customFormat="false" ht="12.75" hidden="false" customHeight="false" outlineLevel="0" collapsed="false">
      <c r="Y1080" s="959"/>
    </row>
    <row r="1081" customFormat="false" ht="12.75" hidden="false" customHeight="false" outlineLevel="0" collapsed="false">
      <c r="Y1081" s="959"/>
    </row>
    <row r="1082" customFormat="false" ht="12.75" hidden="false" customHeight="false" outlineLevel="0" collapsed="false">
      <c r="Y1082" s="959"/>
    </row>
    <row r="1083" customFormat="false" ht="12.75" hidden="false" customHeight="false" outlineLevel="0" collapsed="false">
      <c r="Y1083" s="959"/>
    </row>
    <row r="1084" customFormat="false" ht="12.75" hidden="false" customHeight="false" outlineLevel="0" collapsed="false">
      <c r="Y1084" s="959"/>
    </row>
    <row r="1085" customFormat="false" ht="12.75" hidden="false" customHeight="false" outlineLevel="0" collapsed="false">
      <c r="Y1085" s="959"/>
    </row>
    <row r="1086" customFormat="false" ht="12.75" hidden="false" customHeight="false" outlineLevel="0" collapsed="false">
      <c r="Y1086" s="959"/>
    </row>
    <row r="1087" customFormat="false" ht="12.75" hidden="false" customHeight="false" outlineLevel="0" collapsed="false">
      <c r="Y1087" s="959"/>
    </row>
    <row r="1088" customFormat="false" ht="12.75" hidden="false" customHeight="false" outlineLevel="0" collapsed="false">
      <c r="Y1088" s="959"/>
    </row>
    <row r="1089" customFormat="false" ht="12.75" hidden="false" customHeight="false" outlineLevel="0" collapsed="false">
      <c r="Y1089" s="959"/>
    </row>
    <row r="1090" customFormat="false" ht="12.75" hidden="false" customHeight="false" outlineLevel="0" collapsed="false">
      <c r="Y1090" s="959"/>
    </row>
    <row r="1091" customFormat="false" ht="12.75" hidden="false" customHeight="false" outlineLevel="0" collapsed="false">
      <c r="Y1091" s="959"/>
    </row>
    <row r="1092" customFormat="false" ht="12.75" hidden="false" customHeight="false" outlineLevel="0" collapsed="false">
      <c r="Y1092" s="959"/>
    </row>
    <row r="1093" customFormat="false" ht="12.75" hidden="false" customHeight="false" outlineLevel="0" collapsed="false">
      <c r="Y1093" s="959"/>
    </row>
    <row r="1094" customFormat="false" ht="12.75" hidden="false" customHeight="false" outlineLevel="0" collapsed="false">
      <c r="Y1094" s="959"/>
    </row>
    <row r="1095" customFormat="false" ht="12.75" hidden="false" customHeight="false" outlineLevel="0" collapsed="false">
      <c r="Y1095" s="959"/>
    </row>
    <row r="1096" customFormat="false" ht="12.75" hidden="false" customHeight="false" outlineLevel="0" collapsed="false">
      <c r="Y1096" s="959"/>
    </row>
    <row r="1097" customFormat="false" ht="12.75" hidden="false" customHeight="false" outlineLevel="0" collapsed="false">
      <c r="Y1097" s="959"/>
    </row>
    <row r="1098" customFormat="false" ht="12.75" hidden="false" customHeight="false" outlineLevel="0" collapsed="false">
      <c r="Y1098" s="959"/>
    </row>
    <row r="1099" customFormat="false" ht="12.75" hidden="false" customHeight="false" outlineLevel="0" collapsed="false">
      <c r="Y1099" s="959"/>
    </row>
    <row r="1100" customFormat="false" ht="12.75" hidden="false" customHeight="false" outlineLevel="0" collapsed="false">
      <c r="Y1100" s="959"/>
    </row>
    <row r="1101" customFormat="false" ht="12.75" hidden="false" customHeight="false" outlineLevel="0" collapsed="false">
      <c r="Y1101" s="959"/>
    </row>
    <row r="1102" customFormat="false" ht="12.75" hidden="false" customHeight="false" outlineLevel="0" collapsed="false">
      <c r="Y1102" s="959"/>
    </row>
    <row r="1103" customFormat="false" ht="12.75" hidden="false" customHeight="false" outlineLevel="0" collapsed="false">
      <c r="Y1103" s="959"/>
    </row>
    <row r="1104" customFormat="false" ht="12.75" hidden="false" customHeight="false" outlineLevel="0" collapsed="false">
      <c r="Y1104" s="959"/>
    </row>
    <row r="1105" customFormat="false" ht="12.75" hidden="false" customHeight="false" outlineLevel="0" collapsed="false">
      <c r="Y1105" s="959"/>
    </row>
    <row r="1106" customFormat="false" ht="12.75" hidden="false" customHeight="false" outlineLevel="0" collapsed="false">
      <c r="Y1106" s="959"/>
    </row>
    <row r="1107" customFormat="false" ht="12.75" hidden="false" customHeight="false" outlineLevel="0" collapsed="false">
      <c r="Y1107" s="959"/>
    </row>
    <row r="1108" customFormat="false" ht="12.75" hidden="false" customHeight="false" outlineLevel="0" collapsed="false">
      <c r="Y1108" s="959"/>
    </row>
    <row r="1109" customFormat="false" ht="12.75" hidden="false" customHeight="false" outlineLevel="0" collapsed="false">
      <c r="Y1109" s="959"/>
    </row>
    <row r="1110" customFormat="false" ht="12.75" hidden="false" customHeight="false" outlineLevel="0" collapsed="false">
      <c r="Y1110" s="959"/>
    </row>
    <row r="1111" customFormat="false" ht="12.75" hidden="false" customHeight="false" outlineLevel="0" collapsed="false">
      <c r="Y1111" s="959"/>
    </row>
    <row r="1112" customFormat="false" ht="12.75" hidden="false" customHeight="false" outlineLevel="0" collapsed="false">
      <c r="Y1112" s="959"/>
    </row>
    <row r="1113" customFormat="false" ht="12.75" hidden="false" customHeight="false" outlineLevel="0" collapsed="false">
      <c r="Y1113" s="959"/>
    </row>
    <row r="1114" customFormat="false" ht="12.75" hidden="false" customHeight="false" outlineLevel="0" collapsed="false">
      <c r="Y1114" s="959"/>
    </row>
    <row r="1115" customFormat="false" ht="12.75" hidden="false" customHeight="false" outlineLevel="0" collapsed="false">
      <c r="Y1115" s="959"/>
    </row>
    <row r="1116" customFormat="false" ht="12.75" hidden="false" customHeight="false" outlineLevel="0" collapsed="false">
      <c r="Y1116" s="959"/>
    </row>
    <row r="1117" customFormat="false" ht="12.75" hidden="false" customHeight="false" outlineLevel="0" collapsed="false">
      <c r="Y1117" s="959"/>
    </row>
    <row r="1118" customFormat="false" ht="12.75" hidden="false" customHeight="false" outlineLevel="0" collapsed="false">
      <c r="Y1118" s="959"/>
    </row>
    <row r="1119" customFormat="false" ht="12.75" hidden="false" customHeight="false" outlineLevel="0" collapsed="false">
      <c r="Y1119" s="959"/>
    </row>
    <row r="1120" customFormat="false" ht="12.75" hidden="false" customHeight="false" outlineLevel="0" collapsed="false">
      <c r="Y1120" s="959"/>
    </row>
    <row r="1121" customFormat="false" ht="12.75" hidden="false" customHeight="false" outlineLevel="0" collapsed="false">
      <c r="Y1121" s="959"/>
    </row>
    <row r="1122" customFormat="false" ht="12.75" hidden="false" customHeight="false" outlineLevel="0" collapsed="false">
      <c r="Y1122" s="959"/>
    </row>
    <row r="1123" customFormat="false" ht="12.75" hidden="false" customHeight="false" outlineLevel="0" collapsed="false">
      <c r="Y1123" s="959"/>
    </row>
    <row r="1124" customFormat="false" ht="12.75" hidden="false" customHeight="false" outlineLevel="0" collapsed="false">
      <c r="Y1124" s="959"/>
    </row>
    <row r="1125" customFormat="false" ht="12.75" hidden="false" customHeight="false" outlineLevel="0" collapsed="false">
      <c r="Y1125" s="959"/>
    </row>
    <row r="1126" customFormat="false" ht="12.75" hidden="false" customHeight="false" outlineLevel="0" collapsed="false">
      <c r="Y1126" s="959"/>
    </row>
    <row r="1127" customFormat="false" ht="12.75" hidden="false" customHeight="false" outlineLevel="0" collapsed="false">
      <c r="Y1127" s="959"/>
    </row>
    <row r="1128" customFormat="false" ht="12.75" hidden="false" customHeight="false" outlineLevel="0" collapsed="false">
      <c r="Y1128" s="959"/>
    </row>
    <row r="1129" customFormat="false" ht="12.75" hidden="false" customHeight="false" outlineLevel="0" collapsed="false">
      <c r="Y1129" s="959"/>
    </row>
    <row r="1130" customFormat="false" ht="12.75" hidden="false" customHeight="false" outlineLevel="0" collapsed="false">
      <c r="Y1130" s="959"/>
    </row>
    <row r="1131" customFormat="false" ht="12.75" hidden="false" customHeight="false" outlineLevel="0" collapsed="false">
      <c r="Y1131" s="959"/>
    </row>
    <row r="1132" customFormat="false" ht="12.75" hidden="false" customHeight="false" outlineLevel="0" collapsed="false">
      <c r="Y1132" s="959"/>
    </row>
    <row r="1133" customFormat="false" ht="12.75" hidden="false" customHeight="false" outlineLevel="0" collapsed="false">
      <c r="Y1133" s="959"/>
    </row>
    <row r="1134" customFormat="false" ht="12.75" hidden="false" customHeight="false" outlineLevel="0" collapsed="false">
      <c r="Y1134" s="959"/>
    </row>
    <row r="1135" customFormat="false" ht="12.75" hidden="false" customHeight="false" outlineLevel="0" collapsed="false">
      <c r="Y1135" s="959"/>
    </row>
    <row r="1136" customFormat="false" ht="12.75" hidden="false" customHeight="false" outlineLevel="0" collapsed="false">
      <c r="Y1136" s="959"/>
    </row>
    <row r="1137" customFormat="false" ht="12.75" hidden="false" customHeight="false" outlineLevel="0" collapsed="false">
      <c r="Y1137" s="959"/>
    </row>
    <row r="1138" customFormat="false" ht="12.75" hidden="false" customHeight="false" outlineLevel="0" collapsed="false">
      <c r="Y1138" s="959"/>
    </row>
    <row r="1139" customFormat="false" ht="12.75" hidden="false" customHeight="false" outlineLevel="0" collapsed="false">
      <c r="Y1139" s="959"/>
    </row>
    <row r="1140" customFormat="false" ht="12.75" hidden="false" customHeight="false" outlineLevel="0" collapsed="false">
      <c r="Y1140" s="959"/>
    </row>
    <row r="1141" customFormat="false" ht="12.75" hidden="false" customHeight="false" outlineLevel="0" collapsed="false">
      <c r="Y1141" s="959"/>
    </row>
    <row r="1142" customFormat="false" ht="12.75" hidden="false" customHeight="false" outlineLevel="0" collapsed="false">
      <c r="Y1142" s="959"/>
    </row>
    <row r="1143" customFormat="false" ht="12.75" hidden="false" customHeight="false" outlineLevel="0" collapsed="false">
      <c r="Y1143" s="959"/>
    </row>
    <row r="1144" customFormat="false" ht="12.75" hidden="false" customHeight="false" outlineLevel="0" collapsed="false">
      <c r="Y1144" s="959"/>
    </row>
    <row r="1145" customFormat="false" ht="12.75" hidden="false" customHeight="false" outlineLevel="0" collapsed="false">
      <c r="Y1145" s="959"/>
    </row>
    <row r="1146" customFormat="false" ht="12.75" hidden="false" customHeight="false" outlineLevel="0" collapsed="false">
      <c r="Y1146" s="959"/>
    </row>
    <row r="1147" customFormat="false" ht="12.75" hidden="false" customHeight="false" outlineLevel="0" collapsed="false">
      <c r="Y1147" s="959"/>
    </row>
    <row r="1148" customFormat="false" ht="12.75" hidden="false" customHeight="false" outlineLevel="0" collapsed="false">
      <c r="Y1148" s="959"/>
    </row>
    <row r="1149" customFormat="false" ht="12.75" hidden="false" customHeight="false" outlineLevel="0" collapsed="false">
      <c r="Y1149" s="959"/>
    </row>
    <row r="1150" customFormat="false" ht="12.75" hidden="false" customHeight="false" outlineLevel="0" collapsed="false">
      <c r="Y1150" s="959"/>
    </row>
    <row r="1151" customFormat="false" ht="12.75" hidden="false" customHeight="false" outlineLevel="0" collapsed="false">
      <c r="Y1151" s="959"/>
    </row>
    <row r="1152" customFormat="false" ht="12.75" hidden="false" customHeight="false" outlineLevel="0" collapsed="false">
      <c r="Y1152" s="959"/>
    </row>
    <row r="1153" customFormat="false" ht="12.75" hidden="false" customHeight="false" outlineLevel="0" collapsed="false">
      <c r="Y1153" s="959"/>
    </row>
    <row r="1154" customFormat="false" ht="12.75" hidden="false" customHeight="false" outlineLevel="0" collapsed="false">
      <c r="Y1154" s="959"/>
    </row>
    <row r="1155" customFormat="false" ht="12.75" hidden="false" customHeight="false" outlineLevel="0" collapsed="false">
      <c r="Y1155" s="959"/>
    </row>
    <row r="1156" customFormat="false" ht="12.75" hidden="false" customHeight="false" outlineLevel="0" collapsed="false">
      <c r="Y1156" s="959"/>
    </row>
    <row r="1157" customFormat="false" ht="12.75" hidden="false" customHeight="false" outlineLevel="0" collapsed="false">
      <c r="Y1157" s="959"/>
    </row>
    <row r="1158" customFormat="false" ht="12.75" hidden="false" customHeight="false" outlineLevel="0" collapsed="false">
      <c r="Y1158" s="959"/>
    </row>
    <row r="1159" customFormat="false" ht="12.75" hidden="false" customHeight="false" outlineLevel="0" collapsed="false">
      <c r="Y1159" s="959"/>
    </row>
    <row r="1160" customFormat="false" ht="12.75" hidden="false" customHeight="false" outlineLevel="0" collapsed="false">
      <c r="Y1160" s="959"/>
    </row>
    <row r="1161" customFormat="false" ht="12.75" hidden="false" customHeight="false" outlineLevel="0" collapsed="false">
      <c r="Y1161" s="959"/>
    </row>
    <row r="1162" customFormat="false" ht="12.75" hidden="false" customHeight="false" outlineLevel="0" collapsed="false">
      <c r="Y1162" s="959"/>
    </row>
    <row r="1163" customFormat="false" ht="12.75" hidden="false" customHeight="false" outlineLevel="0" collapsed="false">
      <c r="Y1163" s="959"/>
    </row>
    <row r="1164" customFormat="false" ht="12.75" hidden="false" customHeight="false" outlineLevel="0" collapsed="false">
      <c r="Y1164" s="959"/>
    </row>
    <row r="1165" customFormat="false" ht="12.75" hidden="false" customHeight="false" outlineLevel="0" collapsed="false">
      <c r="Y1165" s="959"/>
    </row>
    <row r="1166" customFormat="false" ht="12.75" hidden="false" customHeight="false" outlineLevel="0" collapsed="false">
      <c r="Y1166" s="959"/>
    </row>
    <row r="1167" customFormat="false" ht="12.75" hidden="false" customHeight="false" outlineLevel="0" collapsed="false">
      <c r="Y1167" s="959"/>
    </row>
    <row r="1168" customFormat="false" ht="12.75" hidden="false" customHeight="false" outlineLevel="0" collapsed="false">
      <c r="Y1168" s="959"/>
    </row>
    <row r="1169" customFormat="false" ht="12.75" hidden="false" customHeight="false" outlineLevel="0" collapsed="false">
      <c r="Y1169" s="959"/>
    </row>
    <row r="1170" customFormat="false" ht="12.75" hidden="false" customHeight="false" outlineLevel="0" collapsed="false">
      <c r="Y1170" s="959"/>
    </row>
    <row r="1171" customFormat="false" ht="12.75" hidden="false" customHeight="false" outlineLevel="0" collapsed="false">
      <c r="Y1171" s="959"/>
    </row>
    <row r="1172" customFormat="false" ht="12.75" hidden="false" customHeight="false" outlineLevel="0" collapsed="false">
      <c r="Y1172" s="959"/>
    </row>
    <row r="1173" customFormat="false" ht="12.75" hidden="false" customHeight="false" outlineLevel="0" collapsed="false">
      <c r="Y1173" s="959"/>
    </row>
    <row r="1174" customFormat="false" ht="12.75" hidden="false" customHeight="false" outlineLevel="0" collapsed="false">
      <c r="Y1174" s="959"/>
    </row>
    <row r="1175" customFormat="false" ht="12.75" hidden="false" customHeight="false" outlineLevel="0" collapsed="false">
      <c r="Y1175" s="959"/>
    </row>
    <row r="1176" customFormat="false" ht="12.75" hidden="false" customHeight="false" outlineLevel="0" collapsed="false">
      <c r="Y1176" s="959"/>
    </row>
    <row r="1177" customFormat="false" ht="12.75" hidden="false" customHeight="false" outlineLevel="0" collapsed="false">
      <c r="Y1177" s="959"/>
    </row>
    <row r="1178" customFormat="false" ht="12.75" hidden="false" customHeight="false" outlineLevel="0" collapsed="false">
      <c r="Y1178" s="959"/>
    </row>
    <row r="1179" customFormat="false" ht="12.75" hidden="false" customHeight="false" outlineLevel="0" collapsed="false">
      <c r="Y1179" s="959"/>
    </row>
    <row r="1180" customFormat="false" ht="12.75" hidden="false" customHeight="false" outlineLevel="0" collapsed="false">
      <c r="Y1180" s="959"/>
    </row>
    <row r="1181" customFormat="false" ht="12.75" hidden="false" customHeight="false" outlineLevel="0" collapsed="false">
      <c r="Y1181" s="959"/>
    </row>
    <row r="1182" customFormat="false" ht="12.75" hidden="false" customHeight="false" outlineLevel="0" collapsed="false">
      <c r="Y1182" s="959"/>
    </row>
    <row r="1183" customFormat="false" ht="12.75" hidden="false" customHeight="false" outlineLevel="0" collapsed="false">
      <c r="Y1183" s="959"/>
    </row>
    <row r="1184" customFormat="false" ht="12.75" hidden="false" customHeight="false" outlineLevel="0" collapsed="false">
      <c r="Y1184" s="959"/>
    </row>
    <row r="1185" customFormat="false" ht="12.75" hidden="false" customHeight="false" outlineLevel="0" collapsed="false">
      <c r="Y1185" s="959"/>
    </row>
    <row r="1186" customFormat="false" ht="12.75" hidden="false" customHeight="false" outlineLevel="0" collapsed="false">
      <c r="Y1186" s="959"/>
    </row>
    <row r="1187" customFormat="false" ht="12.75" hidden="false" customHeight="false" outlineLevel="0" collapsed="false">
      <c r="Y1187" s="959"/>
    </row>
    <row r="1188" customFormat="false" ht="12.75" hidden="false" customHeight="false" outlineLevel="0" collapsed="false">
      <c r="Y1188" s="959"/>
    </row>
    <row r="1189" customFormat="false" ht="12.75" hidden="false" customHeight="false" outlineLevel="0" collapsed="false">
      <c r="Y1189" s="959"/>
    </row>
    <row r="1190" customFormat="false" ht="12.75" hidden="false" customHeight="false" outlineLevel="0" collapsed="false">
      <c r="Y1190" s="959"/>
    </row>
    <row r="1191" customFormat="false" ht="12.75" hidden="false" customHeight="false" outlineLevel="0" collapsed="false">
      <c r="Y1191" s="959"/>
    </row>
    <row r="1192" customFormat="false" ht="12.75" hidden="false" customHeight="false" outlineLevel="0" collapsed="false">
      <c r="Y1192" s="959"/>
    </row>
    <row r="1193" customFormat="false" ht="12.75" hidden="false" customHeight="false" outlineLevel="0" collapsed="false">
      <c r="Y1193" s="959"/>
    </row>
    <row r="1194" customFormat="false" ht="12.75" hidden="false" customHeight="false" outlineLevel="0" collapsed="false">
      <c r="Y1194" s="959"/>
    </row>
    <row r="1195" customFormat="false" ht="12.75" hidden="false" customHeight="false" outlineLevel="0" collapsed="false">
      <c r="Y1195" s="959"/>
    </row>
    <row r="1196" customFormat="false" ht="12.75" hidden="false" customHeight="false" outlineLevel="0" collapsed="false">
      <c r="Y1196" s="959"/>
    </row>
    <row r="1197" customFormat="false" ht="12.75" hidden="false" customHeight="false" outlineLevel="0" collapsed="false">
      <c r="Y1197" s="959"/>
    </row>
    <row r="1198" customFormat="false" ht="12.75" hidden="false" customHeight="false" outlineLevel="0" collapsed="false">
      <c r="Y1198" s="959"/>
    </row>
    <row r="1199" customFormat="false" ht="12.75" hidden="false" customHeight="false" outlineLevel="0" collapsed="false">
      <c r="Y1199" s="959"/>
    </row>
    <row r="1200" customFormat="false" ht="12.75" hidden="false" customHeight="false" outlineLevel="0" collapsed="false">
      <c r="Y1200" s="959"/>
    </row>
    <row r="1201" customFormat="false" ht="12.75" hidden="false" customHeight="false" outlineLevel="0" collapsed="false">
      <c r="Y1201" s="959"/>
    </row>
    <row r="1202" customFormat="false" ht="12.75" hidden="false" customHeight="false" outlineLevel="0" collapsed="false">
      <c r="Y1202" s="959"/>
    </row>
    <row r="1203" customFormat="false" ht="12.75" hidden="false" customHeight="false" outlineLevel="0" collapsed="false">
      <c r="Y1203" s="959"/>
    </row>
    <row r="1204" customFormat="false" ht="12.75" hidden="false" customHeight="false" outlineLevel="0" collapsed="false">
      <c r="Y1204" s="959"/>
    </row>
    <row r="1205" customFormat="false" ht="12.75" hidden="false" customHeight="false" outlineLevel="0" collapsed="false">
      <c r="Y1205" s="959"/>
    </row>
    <row r="1206" customFormat="false" ht="12.75" hidden="false" customHeight="false" outlineLevel="0" collapsed="false">
      <c r="Y1206" s="959"/>
    </row>
    <row r="1207" customFormat="false" ht="12.75" hidden="false" customHeight="false" outlineLevel="0" collapsed="false">
      <c r="Y1207" s="959"/>
    </row>
    <row r="1208" customFormat="false" ht="12.75" hidden="false" customHeight="false" outlineLevel="0" collapsed="false">
      <c r="Y1208" s="959"/>
    </row>
    <row r="1209" customFormat="false" ht="12.75" hidden="false" customHeight="false" outlineLevel="0" collapsed="false">
      <c r="Y1209" s="959"/>
    </row>
    <row r="1210" customFormat="false" ht="12.75" hidden="false" customHeight="false" outlineLevel="0" collapsed="false">
      <c r="Y1210" s="959"/>
    </row>
    <row r="1211" customFormat="false" ht="12.75" hidden="false" customHeight="false" outlineLevel="0" collapsed="false">
      <c r="Y1211" s="959"/>
    </row>
    <row r="1212" customFormat="false" ht="12.75" hidden="false" customHeight="false" outlineLevel="0" collapsed="false">
      <c r="Y1212" s="959"/>
    </row>
    <row r="1213" customFormat="false" ht="12.75" hidden="false" customHeight="false" outlineLevel="0" collapsed="false">
      <c r="Y1213" s="959"/>
    </row>
    <row r="1214" customFormat="false" ht="12.75" hidden="false" customHeight="false" outlineLevel="0" collapsed="false">
      <c r="Y1214" s="959"/>
    </row>
    <row r="1215" customFormat="false" ht="12.75" hidden="false" customHeight="false" outlineLevel="0" collapsed="false">
      <c r="Y1215" s="959"/>
    </row>
    <row r="1216" customFormat="false" ht="12.75" hidden="false" customHeight="false" outlineLevel="0" collapsed="false">
      <c r="Y1216" s="959"/>
    </row>
    <row r="1217" customFormat="false" ht="12.75" hidden="false" customHeight="false" outlineLevel="0" collapsed="false">
      <c r="Y1217" s="959"/>
    </row>
    <row r="1218" customFormat="false" ht="12.75" hidden="false" customHeight="false" outlineLevel="0" collapsed="false">
      <c r="Y1218" s="959"/>
    </row>
    <row r="1219" customFormat="false" ht="12.75" hidden="false" customHeight="false" outlineLevel="0" collapsed="false">
      <c r="Y1219" s="959"/>
    </row>
    <row r="1220" customFormat="false" ht="12.75" hidden="false" customHeight="false" outlineLevel="0" collapsed="false">
      <c r="Y1220" s="959"/>
    </row>
    <row r="1221" customFormat="false" ht="12.75" hidden="false" customHeight="false" outlineLevel="0" collapsed="false">
      <c r="Y1221" s="959"/>
    </row>
    <row r="1222" customFormat="false" ht="12.75" hidden="false" customHeight="false" outlineLevel="0" collapsed="false">
      <c r="Y1222" s="959"/>
    </row>
    <row r="1223" customFormat="false" ht="12.75" hidden="false" customHeight="false" outlineLevel="0" collapsed="false">
      <c r="Y1223" s="959"/>
    </row>
    <row r="1224" customFormat="false" ht="12.75" hidden="false" customHeight="false" outlineLevel="0" collapsed="false">
      <c r="Y1224" s="959"/>
    </row>
    <row r="1225" customFormat="false" ht="12.75" hidden="false" customHeight="false" outlineLevel="0" collapsed="false">
      <c r="Y1225" s="959"/>
    </row>
    <row r="1226" customFormat="false" ht="12.75" hidden="false" customHeight="false" outlineLevel="0" collapsed="false">
      <c r="Y1226" s="959"/>
    </row>
    <row r="1227" customFormat="false" ht="12.75" hidden="false" customHeight="false" outlineLevel="0" collapsed="false">
      <c r="Y1227" s="959"/>
    </row>
    <row r="1228" customFormat="false" ht="12.75" hidden="false" customHeight="false" outlineLevel="0" collapsed="false">
      <c r="Y1228" s="959"/>
    </row>
    <row r="1229" customFormat="false" ht="12.75" hidden="false" customHeight="false" outlineLevel="0" collapsed="false">
      <c r="Y1229" s="959"/>
    </row>
    <row r="1230" customFormat="false" ht="12.75" hidden="false" customHeight="false" outlineLevel="0" collapsed="false">
      <c r="Y1230" s="959"/>
    </row>
    <row r="1231" customFormat="false" ht="12.75" hidden="false" customHeight="false" outlineLevel="0" collapsed="false">
      <c r="Y1231" s="959"/>
    </row>
    <row r="1232" customFormat="false" ht="12.75" hidden="false" customHeight="false" outlineLevel="0" collapsed="false">
      <c r="Y1232" s="959"/>
    </row>
    <row r="1233" customFormat="false" ht="12.75" hidden="false" customHeight="false" outlineLevel="0" collapsed="false">
      <c r="Y1233" s="959"/>
    </row>
    <row r="1234" customFormat="false" ht="12.75" hidden="false" customHeight="false" outlineLevel="0" collapsed="false">
      <c r="Y1234" s="959"/>
    </row>
    <row r="1235" customFormat="false" ht="12.75" hidden="false" customHeight="false" outlineLevel="0" collapsed="false">
      <c r="Y1235" s="959"/>
    </row>
    <row r="1236" customFormat="false" ht="12.75" hidden="false" customHeight="false" outlineLevel="0" collapsed="false">
      <c r="Y1236" s="959"/>
    </row>
    <row r="1237" customFormat="false" ht="12.75" hidden="false" customHeight="false" outlineLevel="0" collapsed="false">
      <c r="Y1237" s="959"/>
    </row>
    <row r="1238" customFormat="false" ht="12.75" hidden="false" customHeight="false" outlineLevel="0" collapsed="false">
      <c r="Y1238" s="959"/>
    </row>
    <row r="1239" customFormat="false" ht="12.75" hidden="false" customHeight="false" outlineLevel="0" collapsed="false">
      <c r="Y1239" s="959"/>
    </row>
    <row r="1240" customFormat="false" ht="12.75" hidden="false" customHeight="false" outlineLevel="0" collapsed="false">
      <c r="Y1240" s="959"/>
    </row>
    <row r="1241" customFormat="false" ht="12.75" hidden="false" customHeight="false" outlineLevel="0" collapsed="false">
      <c r="Y1241" s="959"/>
    </row>
    <row r="1242" customFormat="false" ht="12.75" hidden="false" customHeight="false" outlineLevel="0" collapsed="false">
      <c r="Y1242" s="959"/>
    </row>
    <row r="1243" customFormat="false" ht="12.75" hidden="false" customHeight="false" outlineLevel="0" collapsed="false">
      <c r="Y1243" s="959"/>
    </row>
    <row r="1244" customFormat="false" ht="12.75" hidden="false" customHeight="false" outlineLevel="0" collapsed="false">
      <c r="Y1244" s="959"/>
    </row>
    <row r="1245" customFormat="false" ht="12.75" hidden="false" customHeight="false" outlineLevel="0" collapsed="false">
      <c r="Y1245" s="959"/>
    </row>
    <row r="1246" customFormat="false" ht="12.75" hidden="false" customHeight="false" outlineLevel="0" collapsed="false">
      <c r="Y1246" s="959"/>
    </row>
    <row r="1247" customFormat="false" ht="12.75" hidden="false" customHeight="false" outlineLevel="0" collapsed="false">
      <c r="Y1247" s="959"/>
    </row>
    <row r="1248" customFormat="false" ht="12.75" hidden="false" customHeight="false" outlineLevel="0" collapsed="false">
      <c r="Y1248" s="959"/>
    </row>
    <row r="1249" customFormat="false" ht="12.75" hidden="false" customHeight="false" outlineLevel="0" collapsed="false">
      <c r="Y1249" s="959"/>
    </row>
    <row r="1250" customFormat="false" ht="12.75" hidden="false" customHeight="false" outlineLevel="0" collapsed="false">
      <c r="Y1250" s="959"/>
    </row>
    <row r="1251" customFormat="false" ht="12.75" hidden="false" customHeight="false" outlineLevel="0" collapsed="false">
      <c r="Y1251" s="959"/>
    </row>
    <row r="1252" customFormat="false" ht="12.75" hidden="false" customHeight="false" outlineLevel="0" collapsed="false">
      <c r="Y1252" s="959"/>
    </row>
    <row r="1253" customFormat="false" ht="12.75" hidden="false" customHeight="false" outlineLevel="0" collapsed="false">
      <c r="Y1253" s="959"/>
    </row>
    <row r="1254" customFormat="false" ht="12.75" hidden="false" customHeight="false" outlineLevel="0" collapsed="false">
      <c r="Y1254" s="959"/>
    </row>
    <row r="1255" customFormat="false" ht="12.75" hidden="false" customHeight="false" outlineLevel="0" collapsed="false">
      <c r="Y1255" s="959"/>
    </row>
    <row r="1256" customFormat="false" ht="12.75" hidden="false" customHeight="false" outlineLevel="0" collapsed="false">
      <c r="Y1256" s="959"/>
    </row>
    <row r="1257" customFormat="false" ht="12.75" hidden="false" customHeight="false" outlineLevel="0" collapsed="false">
      <c r="Y1257" s="959"/>
    </row>
    <row r="1258" customFormat="false" ht="12.75" hidden="false" customHeight="false" outlineLevel="0" collapsed="false">
      <c r="Y1258" s="959"/>
    </row>
    <row r="1259" customFormat="false" ht="12.75" hidden="false" customHeight="false" outlineLevel="0" collapsed="false">
      <c r="Y1259" s="959"/>
    </row>
    <row r="1260" customFormat="false" ht="12.75" hidden="false" customHeight="false" outlineLevel="0" collapsed="false">
      <c r="Y1260" s="959"/>
    </row>
    <row r="1261" customFormat="false" ht="12.75" hidden="false" customHeight="false" outlineLevel="0" collapsed="false">
      <c r="Y1261" s="959"/>
    </row>
    <row r="1262" customFormat="false" ht="12.75" hidden="false" customHeight="false" outlineLevel="0" collapsed="false">
      <c r="Y1262" s="959"/>
    </row>
    <row r="1263" customFormat="false" ht="12.75" hidden="false" customHeight="false" outlineLevel="0" collapsed="false">
      <c r="Y1263" s="959"/>
    </row>
    <row r="1264" customFormat="false" ht="12.75" hidden="false" customHeight="false" outlineLevel="0" collapsed="false">
      <c r="Y1264" s="959"/>
    </row>
    <row r="1265" customFormat="false" ht="12.75" hidden="false" customHeight="false" outlineLevel="0" collapsed="false">
      <c r="Y1265" s="959"/>
    </row>
    <row r="1266" customFormat="false" ht="12.75" hidden="false" customHeight="false" outlineLevel="0" collapsed="false">
      <c r="Y1266" s="959"/>
    </row>
    <row r="1267" customFormat="false" ht="12.75" hidden="false" customHeight="false" outlineLevel="0" collapsed="false">
      <c r="Y1267" s="959"/>
    </row>
    <row r="1268" customFormat="false" ht="12.75" hidden="false" customHeight="false" outlineLevel="0" collapsed="false">
      <c r="Y1268" s="959"/>
    </row>
    <row r="1269" customFormat="false" ht="12.75" hidden="false" customHeight="false" outlineLevel="0" collapsed="false">
      <c r="Y1269" s="959"/>
    </row>
    <row r="1270" customFormat="false" ht="12.75" hidden="false" customHeight="false" outlineLevel="0" collapsed="false">
      <c r="Y1270" s="959"/>
    </row>
    <row r="1271" customFormat="false" ht="12.75" hidden="false" customHeight="false" outlineLevel="0" collapsed="false">
      <c r="Y1271" s="959"/>
    </row>
    <row r="1272" customFormat="false" ht="12.75" hidden="false" customHeight="false" outlineLevel="0" collapsed="false">
      <c r="Y1272" s="959"/>
    </row>
    <row r="1273" customFormat="false" ht="12.75" hidden="false" customHeight="false" outlineLevel="0" collapsed="false">
      <c r="Y1273" s="959"/>
    </row>
    <row r="1274" customFormat="false" ht="12.75" hidden="false" customHeight="false" outlineLevel="0" collapsed="false">
      <c r="Y1274" s="959"/>
    </row>
    <row r="1275" customFormat="false" ht="12.75" hidden="false" customHeight="false" outlineLevel="0" collapsed="false">
      <c r="Y1275" s="959"/>
    </row>
    <row r="1276" customFormat="false" ht="12.75" hidden="false" customHeight="false" outlineLevel="0" collapsed="false">
      <c r="Y1276" s="959"/>
    </row>
    <row r="1277" customFormat="false" ht="12.75" hidden="false" customHeight="false" outlineLevel="0" collapsed="false">
      <c r="Y1277" s="959"/>
    </row>
    <row r="1278" customFormat="false" ht="12.75" hidden="false" customHeight="false" outlineLevel="0" collapsed="false">
      <c r="Y1278" s="959"/>
    </row>
    <row r="1279" customFormat="false" ht="12.75" hidden="false" customHeight="false" outlineLevel="0" collapsed="false">
      <c r="Y1279" s="959"/>
    </row>
    <row r="1280" customFormat="false" ht="12.75" hidden="false" customHeight="false" outlineLevel="0" collapsed="false">
      <c r="Y1280" s="959"/>
    </row>
    <row r="1281" customFormat="false" ht="12.75" hidden="false" customHeight="false" outlineLevel="0" collapsed="false">
      <c r="Y1281" s="959"/>
    </row>
    <row r="1282" customFormat="false" ht="12.75" hidden="false" customHeight="false" outlineLevel="0" collapsed="false">
      <c r="Y1282" s="959"/>
    </row>
    <row r="1283" customFormat="false" ht="12.75" hidden="false" customHeight="false" outlineLevel="0" collapsed="false">
      <c r="Y1283" s="959"/>
    </row>
    <row r="1284" customFormat="false" ht="12.75" hidden="false" customHeight="false" outlineLevel="0" collapsed="false">
      <c r="Y1284" s="959"/>
    </row>
    <row r="1285" customFormat="false" ht="12.75" hidden="false" customHeight="false" outlineLevel="0" collapsed="false">
      <c r="Y1285" s="959"/>
    </row>
    <row r="1286" customFormat="false" ht="12.75" hidden="false" customHeight="false" outlineLevel="0" collapsed="false">
      <c r="Y1286" s="959"/>
    </row>
    <row r="1287" customFormat="false" ht="12.75" hidden="false" customHeight="false" outlineLevel="0" collapsed="false">
      <c r="Y1287" s="959"/>
    </row>
    <row r="1288" customFormat="false" ht="12.75" hidden="false" customHeight="false" outlineLevel="0" collapsed="false">
      <c r="Y1288" s="959"/>
    </row>
    <row r="1289" customFormat="false" ht="12.75" hidden="false" customHeight="false" outlineLevel="0" collapsed="false">
      <c r="Y1289" s="959"/>
    </row>
    <row r="1290" customFormat="false" ht="12.75" hidden="false" customHeight="false" outlineLevel="0" collapsed="false">
      <c r="Y1290" s="959"/>
    </row>
    <row r="1291" customFormat="false" ht="12.75" hidden="false" customHeight="false" outlineLevel="0" collapsed="false">
      <c r="Y1291" s="959"/>
    </row>
    <row r="1292" customFormat="false" ht="12.75" hidden="false" customHeight="false" outlineLevel="0" collapsed="false">
      <c r="Y1292" s="959"/>
    </row>
    <row r="1293" customFormat="false" ht="12.75" hidden="false" customHeight="false" outlineLevel="0" collapsed="false">
      <c r="Y1293" s="959"/>
    </row>
    <row r="1294" customFormat="false" ht="12.75" hidden="false" customHeight="false" outlineLevel="0" collapsed="false">
      <c r="Y1294" s="959"/>
    </row>
    <row r="1295" customFormat="false" ht="12.75" hidden="false" customHeight="false" outlineLevel="0" collapsed="false">
      <c r="Y1295" s="959"/>
    </row>
    <row r="1296" customFormat="false" ht="12.75" hidden="false" customHeight="false" outlineLevel="0" collapsed="false">
      <c r="Y1296" s="959"/>
    </row>
    <row r="1297" customFormat="false" ht="12.75" hidden="false" customHeight="false" outlineLevel="0" collapsed="false">
      <c r="Y1297" s="959"/>
    </row>
    <row r="1298" customFormat="false" ht="12.75" hidden="false" customHeight="false" outlineLevel="0" collapsed="false">
      <c r="Y1298" s="959"/>
    </row>
    <row r="1299" customFormat="false" ht="12.75" hidden="false" customHeight="false" outlineLevel="0" collapsed="false">
      <c r="Y1299" s="959"/>
    </row>
    <row r="1300" customFormat="false" ht="12.75" hidden="false" customHeight="false" outlineLevel="0" collapsed="false">
      <c r="Y1300" s="959"/>
    </row>
    <row r="1301" customFormat="false" ht="12.75" hidden="false" customHeight="false" outlineLevel="0" collapsed="false">
      <c r="Y1301" s="959"/>
    </row>
    <row r="1302" customFormat="false" ht="12.75" hidden="false" customHeight="false" outlineLevel="0" collapsed="false">
      <c r="Y1302" s="959"/>
    </row>
    <row r="1303" customFormat="false" ht="12.75" hidden="false" customHeight="false" outlineLevel="0" collapsed="false">
      <c r="Y1303" s="959"/>
    </row>
    <row r="1304" customFormat="false" ht="12.75" hidden="false" customHeight="false" outlineLevel="0" collapsed="false">
      <c r="Y1304" s="959"/>
    </row>
    <row r="1305" customFormat="false" ht="12.75" hidden="false" customHeight="false" outlineLevel="0" collapsed="false">
      <c r="Y1305" s="959"/>
    </row>
    <row r="1306" customFormat="false" ht="12.75" hidden="false" customHeight="false" outlineLevel="0" collapsed="false">
      <c r="Y1306" s="959"/>
    </row>
    <row r="1307" customFormat="false" ht="12.75" hidden="false" customHeight="false" outlineLevel="0" collapsed="false">
      <c r="Y1307" s="959"/>
    </row>
    <row r="1308" customFormat="false" ht="12.75" hidden="false" customHeight="false" outlineLevel="0" collapsed="false">
      <c r="Y1308" s="959"/>
    </row>
    <row r="1309" customFormat="false" ht="12.75" hidden="false" customHeight="false" outlineLevel="0" collapsed="false">
      <c r="Y1309" s="959"/>
    </row>
    <row r="1310" customFormat="false" ht="12.75" hidden="false" customHeight="false" outlineLevel="0" collapsed="false">
      <c r="Y1310" s="959"/>
    </row>
    <row r="1311" customFormat="false" ht="12.75" hidden="false" customHeight="false" outlineLevel="0" collapsed="false">
      <c r="Y1311" s="959"/>
    </row>
    <row r="1312" customFormat="false" ht="12.75" hidden="false" customHeight="false" outlineLevel="0" collapsed="false">
      <c r="Y1312" s="959"/>
    </row>
    <row r="1313" customFormat="false" ht="12.75" hidden="false" customHeight="false" outlineLevel="0" collapsed="false">
      <c r="Y1313" s="959"/>
    </row>
    <row r="1314" customFormat="false" ht="12.75" hidden="false" customHeight="false" outlineLevel="0" collapsed="false">
      <c r="Y1314" s="959"/>
    </row>
    <row r="1315" customFormat="false" ht="12.75" hidden="false" customHeight="false" outlineLevel="0" collapsed="false">
      <c r="Y1315" s="959"/>
    </row>
    <row r="1316" customFormat="false" ht="12.75" hidden="false" customHeight="false" outlineLevel="0" collapsed="false">
      <c r="Y1316" s="959"/>
    </row>
    <row r="1317" customFormat="false" ht="12.75" hidden="false" customHeight="false" outlineLevel="0" collapsed="false">
      <c r="Y1317" s="959"/>
    </row>
    <row r="1318" customFormat="false" ht="12.75" hidden="false" customHeight="false" outlineLevel="0" collapsed="false">
      <c r="Y1318" s="959"/>
    </row>
    <row r="1319" customFormat="false" ht="12.75" hidden="false" customHeight="false" outlineLevel="0" collapsed="false">
      <c r="Y1319" s="959"/>
    </row>
    <row r="1320" customFormat="false" ht="12.75" hidden="false" customHeight="false" outlineLevel="0" collapsed="false">
      <c r="Y1320" s="959"/>
    </row>
    <row r="1321" customFormat="false" ht="12.75" hidden="false" customHeight="false" outlineLevel="0" collapsed="false">
      <c r="Y1321" s="959"/>
    </row>
    <row r="1322" customFormat="false" ht="12.75" hidden="false" customHeight="false" outlineLevel="0" collapsed="false">
      <c r="Y1322" s="959"/>
    </row>
    <row r="1323" customFormat="false" ht="12.75" hidden="false" customHeight="false" outlineLevel="0" collapsed="false">
      <c r="Y1323" s="959"/>
    </row>
    <row r="1324" customFormat="false" ht="12.75" hidden="false" customHeight="false" outlineLevel="0" collapsed="false">
      <c r="Y1324" s="959"/>
    </row>
    <row r="1325" customFormat="false" ht="12.75" hidden="false" customHeight="false" outlineLevel="0" collapsed="false">
      <c r="Y1325" s="959"/>
    </row>
    <row r="1326" customFormat="false" ht="12.75" hidden="false" customHeight="false" outlineLevel="0" collapsed="false">
      <c r="Y1326" s="959"/>
    </row>
    <row r="1327" customFormat="false" ht="12.75" hidden="false" customHeight="false" outlineLevel="0" collapsed="false">
      <c r="Y1327" s="959"/>
    </row>
    <row r="1328" customFormat="false" ht="12.75" hidden="false" customHeight="false" outlineLevel="0" collapsed="false">
      <c r="Y1328" s="959"/>
    </row>
    <row r="1329" customFormat="false" ht="12.75" hidden="false" customHeight="false" outlineLevel="0" collapsed="false">
      <c r="Y1329" s="959"/>
    </row>
    <row r="1330" customFormat="false" ht="12.75" hidden="false" customHeight="false" outlineLevel="0" collapsed="false">
      <c r="Y1330" s="959"/>
    </row>
    <row r="1331" customFormat="false" ht="12.75" hidden="false" customHeight="false" outlineLevel="0" collapsed="false">
      <c r="Y1331" s="959"/>
    </row>
    <row r="1332" customFormat="false" ht="12.75" hidden="false" customHeight="false" outlineLevel="0" collapsed="false">
      <c r="Y1332" s="959"/>
    </row>
    <row r="1333" customFormat="false" ht="12.75" hidden="false" customHeight="false" outlineLevel="0" collapsed="false">
      <c r="Y1333" s="959"/>
    </row>
    <row r="1334" customFormat="false" ht="12.75" hidden="false" customHeight="false" outlineLevel="0" collapsed="false">
      <c r="Y1334" s="959"/>
    </row>
    <row r="1335" customFormat="false" ht="12.75" hidden="false" customHeight="false" outlineLevel="0" collapsed="false">
      <c r="Y1335" s="959"/>
    </row>
    <row r="1336" customFormat="false" ht="12.75" hidden="false" customHeight="false" outlineLevel="0" collapsed="false">
      <c r="Y1336" s="959"/>
    </row>
    <row r="1337" customFormat="false" ht="12.75" hidden="false" customHeight="false" outlineLevel="0" collapsed="false">
      <c r="Y1337" s="959"/>
    </row>
    <row r="1338" customFormat="false" ht="12.75" hidden="false" customHeight="false" outlineLevel="0" collapsed="false">
      <c r="Y1338" s="959"/>
    </row>
    <row r="1339" customFormat="false" ht="12.75" hidden="false" customHeight="false" outlineLevel="0" collapsed="false">
      <c r="Y1339" s="959"/>
    </row>
    <row r="1340" customFormat="false" ht="12.75" hidden="false" customHeight="false" outlineLevel="0" collapsed="false">
      <c r="Y1340" s="959"/>
    </row>
    <row r="1341" customFormat="false" ht="12.75" hidden="false" customHeight="false" outlineLevel="0" collapsed="false">
      <c r="Y1341" s="959"/>
    </row>
    <row r="1342" customFormat="false" ht="12.75" hidden="false" customHeight="false" outlineLevel="0" collapsed="false">
      <c r="Y1342" s="959"/>
    </row>
    <row r="1343" customFormat="false" ht="12.75" hidden="false" customHeight="false" outlineLevel="0" collapsed="false">
      <c r="Y1343" s="959"/>
    </row>
    <row r="1344" customFormat="false" ht="12.75" hidden="false" customHeight="false" outlineLevel="0" collapsed="false">
      <c r="Y1344" s="959"/>
    </row>
    <row r="1345" customFormat="false" ht="12.75" hidden="false" customHeight="false" outlineLevel="0" collapsed="false">
      <c r="Y1345" s="959"/>
    </row>
    <row r="1346" customFormat="false" ht="12.75" hidden="false" customHeight="false" outlineLevel="0" collapsed="false">
      <c r="Y1346" s="959"/>
    </row>
    <row r="1347" customFormat="false" ht="12.75" hidden="false" customHeight="false" outlineLevel="0" collapsed="false">
      <c r="Y1347" s="959"/>
    </row>
    <row r="1348" customFormat="false" ht="12.75" hidden="false" customHeight="false" outlineLevel="0" collapsed="false">
      <c r="Y1348" s="959"/>
    </row>
    <row r="1349" customFormat="false" ht="12.75" hidden="false" customHeight="false" outlineLevel="0" collapsed="false">
      <c r="Y1349" s="959"/>
    </row>
    <row r="1350" customFormat="false" ht="12.75" hidden="false" customHeight="false" outlineLevel="0" collapsed="false">
      <c r="Y1350" s="959"/>
    </row>
    <row r="1351" customFormat="false" ht="12.75" hidden="false" customHeight="false" outlineLevel="0" collapsed="false">
      <c r="Y1351" s="959"/>
    </row>
    <row r="1352" customFormat="false" ht="12.75" hidden="false" customHeight="false" outlineLevel="0" collapsed="false">
      <c r="Y1352" s="959"/>
    </row>
    <row r="1353" customFormat="false" ht="12.75" hidden="false" customHeight="false" outlineLevel="0" collapsed="false">
      <c r="Y1353" s="959"/>
    </row>
    <row r="1354" customFormat="false" ht="12.75" hidden="false" customHeight="false" outlineLevel="0" collapsed="false">
      <c r="Y1354" s="959"/>
    </row>
    <row r="1355" customFormat="false" ht="12.75" hidden="false" customHeight="false" outlineLevel="0" collapsed="false">
      <c r="Y1355" s="959"/>
    </row>
    <row r="1356" customFormat="false" ht="12.75" hidden="false" customHeight="false" outlineLevel="0" collapsed="false">
      <c r="Y1356" s="959"/>
    </row>
    <row r="1357" customFormat="false" ht="12.75" hidden="false" customHeight="false" outlineLevel="0" collapsed="false">
      <c r="Y1357" s="959"/>
    </row>
    <row r="1358" customFormat="false" ht="12.75" hidden="false" customHeight="false" outlineLevel="0" collapsed="false">
      <c r="Y1358" s="959"/>
    </row>
    <row r="1359" customFormat="false" ht="12.75" hidden="false" customHeight="false" outlineLevel="0" collapsed="false">
      <c r="Y1359" s="959"/>
    </row>
    <row r="1360" customFormat="false" ht="12.75" hidden="false" customHeight="false" outlineLevel="0" collapsed="false">
      <c r="Y1360" s="959"/>
    </row>
    <row r="1361" customFormat="false" ht="12.75" hidden="false" customHeight="false" outlineLevel="0" collapsed="false">
      <c r="Y1361" s="959"/>
    </row>
    <row r="1362" customFormat="false" ht="12.75" hidden="false" customHeight="false" outlineLevel="0" collapsed="false">
      <c r="Y1362" s="959"/>
    </row>
    <row r="1363" customFormat="false" ht="12.75" hidden="false" customHeight="false" outlineLevel="0" collapsed="false">
      <c r="Y1363" s="959"/>
    </row>
    <row r="1364" customFormat="false" ht="12.75" hidden="false" customHeight="false" outlineLevel="0" collapsed="false">
      <c r="Y1364" s="959"/>
    </row>
    <row r="1365" customFormat="false" ht="12.75" hidden="false" customHeight="false" outlineLevel="0" collapsed="false">
      <c r="Y1365" s="959"/>
    </row>
    <row r="1366" customFormat="false" ht="12.75" hidden="false" customHeight="false" outlineLevel="0" collapsed="false">
      <c r="Y1366" s="959"/>
    </row>
    <row r="1367" customFormat="false" ht="12.75" hidden="false" customHeight="false" outlineLevel="0" collapsed="false">
      <c r="Y1367" s="95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1998-01-05T21:30:57Z</dcterms:created>
  <dc:creator>jzuffer</dc:creator>
  <dc:description>- Oracle 8i ODBC QueryFix Applied</dc:description>
  <dc:language>en-US</dc:language>
  <cp:lastModifiedBy>fsturm</cp:lastModifiedBy>
  <cp:lastPrinted>2001-09-06T18:04:39Z</cp:lastPrinted>
  <dcterms:modified xsi:type="dcterms:W3CDTF">2001-09-07T11:22:02Z</dcterms:modified>
  <cp:revision>0</cp:revision>
  <dc:subject/>
  <dc:title/>
</cp:coreProperties>
</file>