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y1" sheetId="1" state="visible" r:id="rId3"/>
    <sheet name="May2" sheetId="2" state="visible" r:id="rId4"/>
    <sheet name="May3" sheetId="3" state="visible" r:id="rId5"/>
    <sheet name="May4" sheetId="4" state="visible" r:id="rId6"/>
    <sheet name="May5" sheetId="5" state="visible" r:id="rId7"/>
    <sheet name="May6" sheetId="6" state="visible" r:id="rId8"/>
    <sheet name="May7" sheetId="7" state="visible" r:id="rId9"/>
    <sheet name="May8" sheetId="8" state="visible" r:id="rId10"/>
    <sheet name="May9" sheetId="9" state="visible" r:id="rId11"/>
    <sheet name="May10" sheetId="10" state="visible" r:id="rId12"/>
    <sheet name="May11" sheetId="11" state="visible" r:id="rId13"/>
    <sheet name="May12" sheetId="12" state="visible" r:id="rId14"/>
    <sheet name="May13" sheetId="13" state="visible" r:id="rId15"/>
    <sheet name="May14" sheetId="14" state="visible" r:id="rId16"/>
  </sheets>
  <externalReferences>
    <externalReference r:id="rId17"/>
  </externalReferences>
  <definedNames>
    <definedName function="false" hidden="false" name="Bogey" vbProcedure="false">'[1]Bogey &amp; Gas Price'!$A$3:$B$33</definedName>
    <definedName function="false" hidden="false" name="DaDate" vbProcedure="false">'[1]P&amp;L DA purchases'!$A$7:$A$65536</definedName>
    <definedName function="false" hidden="false" name="DaMw" vbProcedure="false">'[1]P&amp;L DA purchases'!$C$7:$C$65536</definedName>
    <definedName function="false" hidden="false" name="DaPrice" vbProcedure="false">'[1]P&amp;L DA purchases'!$D$7:$D$65536</definedName>
    <definedName function="false" hidden="false" name="Gas" vbProcedure="false">'[1]Bogey &amp; Gas Price'!$A$3:$E$33</definedName>
    <definedName function="false" hidden="false" name="RTDate" vbProcedure="false">'[1]P&amp;L RT Purchases'!$A$7:$A$65536</definedName>
    <definedName function="false" hidden="false" name="RtMw" vbProcedure="false">'[1]P&amp;L RT Purchases'!$C$7:$C$65536</definedName>
    <definedName function="false" hidden="false" name="RTPrice" vbProcedure="false">'[1]P&amp;L RT Purchases'!$D$7:$D$65536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<sst xmlns="http://schemas.openxmlformats.org/spreadsheetml/2006/main" count="1222" uniqueCount="36">
  <si>
    <t xml:space="preserve">Profit Sharing Summary</t>
  </si>
  <si>
    <t xml:space="preserve">Operation Day:</t>
  </si>
  <si>
    <t xml:space="preserve">Gen Cost Reference</t>
  </si>
  <si>
    <t xml:space="preserve">Gross Savings</t>
  </si>
  <si>
    <t xml:space="preserve">Net Share of Savings (Per Agreement)</t>
  </si>
  <si>
    <t xml:space="preserve">Costs by each party</t>
  </si>
  <si>
    <t xml:space="preserve">Net Profit/Savings Summary</t>
  </si>
  <si>
    <t xml:space="preserve">MDEA Gross Savings</t>
  </si>
  <si>
    <t xml:space="preserve">EPMI Share</t>
  </si>
  <si>
    <t xml:space="preserve">MDEA Share</t>
  </si>
  <si>
    <t xml:space="preserve">Per Mwh</t>
  </si>
  <si>
    <t xml:space="preserve">Cost * Mwh</t>
  </si>
  <si>
    <t xml:space="preserve">Day-Ahead</t>
  </si>
  <si>
    <t xml:space="preserve">Day-Ahead Gen</t>
  </si>
  <si>
    <t xml:space="preserve">(BEFORE EPMI Share)</t>
  </si>
  <si>
    <t xml:space="preserve">40% Pk,$1 OffPk</t>
  </si>
  <si>
    <t xml:space="preserve">60% Share Pk*</t>
  </si>
  <si>
    <t xml:space="preserve">40% Share Pk</t>
  </si>
  <si>
    <t xml:space="preserve">60% Share Pk</t>
  </si>
  <si>
    <t xml:space="preserve">(EPMI to bill MDEA)</t>
  </si>
  <si>
    <t xml:space="preserve">EPMI</t>
  </si>
  <si>
    <t xml:space="preserve">MDEA</t>
  </si>
  <si>
    <t xml:space="preserve">Date</t>
  </si>
  <si>
    <t xml:space="preserve">Hour</t>
  </si>
  <si>
    <t xml:space="preserve">Qty</t>
  </si>
  <si>
    <t xml:space="preserve">Delivered Market Price</t>
  </si>
  <si>
    <t xml:space="preserve">Gas Cdale</t>
  </si>
  <si>
    <t xml:space="preserve">Gas Yazoo City</t>
  </si>
  <si>
    <t xml:space="preserve">Gen Cost</t>
  </si>
  <si>
    <t xml:space="preserve">Mkt vs. Gen Cost (per Mwh)</t>
  </si>
  <si>
    <t xml:space="preserve">Per Mwh Savings * Mwhs</t>
  </si>
  <si>
    <t xml:space="preserve">(Profit)</t>
  </si>
  <si>
    <t xml:space="preserve">(Savings)</t>
  </si>
  <si>
    <t xml:space="preserve">match value</t>
  </si>
  <si>
    <t xml:space="preserve">Day-Ahead Transactions</t>
  </si>
  <si>
    <t xml:space="preserve">Real-Time Transactions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</si>
</sst>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mmmm\ d&quot;, &quot;yyyy"/>
    <numFmt numFmtId="167" formatCode="[$-409]d\-mmm"/>
    <numFmt numFmtId="168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4">
    <dxf>
      <font>
        <name val="Arial"/>
        <family val="0"/>
        <b val="1"/>
        <i val="0"/>
        <color rgb="FFFFFFFF"/>
      </font>
    </dxf>
    <dxf>
      <font>
        <name val="Arial"/>
        <family val="0"/>
        <b val="1"/>
        <i val="0"/>
        <color rgb="FFFFFFFF"/>
      </font>
    </dxf>
    <dxf>
      <font>
        <name val="Arial"/>
        <family val="0"/>
        <b val="1"/>
        <i val="0"/>
        <color rgb="FFFFFFFF"/>
      </font>
    </dxf>
    <dxf>
      <font>
        <name val="Arial"/>
        <family val="0"/>
        <b val="1"/>
        <i val="0"/>
        <color rgb="FFFFFFFF"/>
      </font>
    </dxf>
    <dxf>
      <font>
        <name val="Arial"/>
        <family val="0"/>
        <b val="1"/>
        <i val="0"/>
        <color rgb="FFFFFFFF"/>
      </font>
    </dxf>
    <dxf>
      <font>
        <name val="Arial"/>
        <family val="0"/>
        <b val="1"/>
        <i val="0"/>
        <color rgb="FFFFFFFF"/>
      </font>
    </dxf>
    <dxf>
      <font>
        <name val="Arial"/>
        <family val="0"/>
        <b val="1"/>
        <i val="0"/>
        <color rgb="FFFFFFFF"/>
      </font>
    </dxf>
    <dxf>
      <font>
        <name val="Arial"/>
        <family val="0"/>
        <b val="1"/>
        <i val="0"/>
        <color rgb="FFFFFFFF"/>
      </font>
    </dxf>
    <dxf>
      <font>
        <name val="Arial"/>
        <family val="0"/>
        <b val="1"/>
        <i val="0"/>
        <color rgb="FFFFFFFF"/>
      </font>
    </dxf>
    <dxf>
      <font>
        <name val="Arial"/>
        <family val="0"/>
        <b val="1"/>
        <i val="0"/>
        <color rgb="FFFFFFFF"/>
      </font>
    </dxf>
    <dxf>
      <font>
        <name val="Arial"/>
        <family val="0"/>
        <b val="1"/>
        <i val="0"/>
        <color rgb="FFFFFFFF"/>
      </font>
    </dxf>
    <dxf>
      <font>
        <name val="Arial"/>
        <family val="0"/>
        <b val="1"/>
        <i val="0"/>
        <color rgb="FFFFFFFF"/>
      </font>
    </dxf>
    <dxf>
      <font>
        <name val="Arial"/>
        <family val="0"/>
        <b val="1"/>
        <i val="0"/>
        <color rgb="FFFFFFFF"/>
      </font>
    </dxf>
    <dxf>
      <font>
        <name val="Arial"/>
        <family val="0"/>
        <b val="1"/>
        <i val="0"/>
        <color rgb="FF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externalLink" Target="externalLinks/externalLink1.xml"/><Relationship Id="rId1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MDEA%20Profit%20Shar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 Report"/>
      <sheetName val="P&amp;L"/>
      <sheetName val="P&amp;L DA purchases"/>
      <sheetName val="P&amp;L RT Purchases"/>
      <sheetName val="Bogey &amp; Gas Pric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9921875" defaultRowHeight="12.75" customHeight="true" zeroHeight="false" outlineLevelRow="0" outlineLevelCol="0"/>
  <cols>
    <col collapsed="false" customWidth="true" hidden="false" outlineLevel="0" max="1" min="1" style="0" width="6.56"/>
    <col collapsed="false" customWidth="true" hidden="false" outlineLevel="0" max="3" min="3" style="0" width="11.85"/>
    <col collapsed="false" customWidth="true" hidden="false" outlineLevel="0" max="4" min="4" style="1" width="24.13"/>
    <col collapsed="false" customWidth="true" hidden="false" outlineLevel="0" max="6" min="5" style="0" width="14.41"/>
    <col collapsed="false" customWidth="true" hidden="false" outlineLevel="0" max="7" min="7" style="0" width="14.56"/>
    <col collapsed="false" customWidth="true" hidden="false" outlineLevel="0" max="8" min="8" style="0" width="29.13"/>
    <col collapsed="false" customWidth="true" hidden="false" outlineLevel="0" max="9" min="9" style="0" width="26.7"/>
    <col collapsed="false" customWidth="true" hidden="false" outlineLevel="0" max="10" min="10" style="0" width="17.28"/>
    <col collapsed="false" customWidth="true" hidden="false" outlineLevel="0" max="11" min="11" style="0" width="14.41"/>
    <col collapsed="false" customWidth="true" hidden="false" outlineLevel="0" max="13" min="12" style="0" width="26.56"/>
    <col collapsed="false" customWidth="true" hidden="false" outlineLevel="0" max="14" min="14" style="2" width="15.28"/>
    <col collapsed="false" customWidth="true" hidden="false" outlineLevel="0" max="15" min="15" style="0" width="15.28"/>
    <col collapsed="false" customWidth="true" hidden="false" outlineLevel="0" max="16" min="16" style="2" width="15.28"/>
    <col collapsed="false" customWidth="true" hidden="false" outlineLevel="0" max="17" min="17" style="0" width="17.56"/>
    <col collapsed="false" customWidth="true" hidden="false" outlineLevel="0" max="18" min="18" style="2" width="2.56"/>
    <col collapsed="false" customWidth="true" hidden="false" outlineLevel="0" max="19" min="19" style="0" width="12.42"/>
    <col collapsed="false" customWidth="true" hidden="false" outlineLevel="0" max="20" min="20" style="1" width="14.56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3" t="s">
        <v>1</v>
      </c>
      <c r="B2" s="3"/>
      <c r="C2" s="4" t="n">
        <v>37012</v>
      </c>
      <c r="D2" s="5"/>
    </row>
    <row r="3" customFormat="false" ht="12.75" hidden="false" customHeight="false" outlineLevel="0" collapsed="false">
      <c r="A3" s="6"/>
      <c r="B3" s="6"/>
      <c r="C3" s="6"/>
      <c r="D3" s="7"/>
      <c r="E3" s="8" t="s">
        <v>2</v>
      </c>
      <c r="F3" s="8"/>
      <c r="G3" s="8"/>
      <c r="H3" s="9" t="s">
        <v>3</v>
      </c>
      <c r="I3" s="9"/>
      <c r="J3" s="9" t="s">
        <v>4</v>
      </c>
      <c r="K3" s="9"/>
      <c r="L3" s="9"/>
      <c r="M3" s="9"/>
      <c r="N3" s="10" t="s">
        <v>5</v>
      </c>
      <c r="O3" s="10"/>
      <c r="P3" s="10"/>
      <c r="Q3" s="10"/>
      <c r="R3" s="11"/>
      <c r="S3" s="10" t="s">
        <v>6</v>
      </c>
      <c r="T3" s="10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C4" s="12"/>
      <c r="E4" s="13"/>
      <c r="F4" s="14"/>
      <c r="G4" s="15"/>
      <c r="H4" s="16" t="s">
        <v>7</v>
      </c>
      <c r="I4" s="17" t="s">
        <v>7</v>
      </c>
      <c r="J4" s="16" t="s">
        <v>8</v>
      </c>
      <c r="K4" s="18" t="s">
        <v>9</v>
      </c>
      <c r="L4" s="18" t="s">
        <v>8</v>
      </c>
      <c r="M4" s="17" t="s">
        <v>9</v>
      </c>
      <c r="N4" s="19" t="s">
        <v>10</v>
      </c>
      <c r="O4" s="19"/>
      <c r="P4" s="19" t="s">
        <v>11</v>
      </c>
      <c r="Q4" s="19"/>
      <c r="R4" s="11"/>
      <c r="S4" s="20"/>
      <c r="T4" s="21"/>
    </row>
    <row r="5" customFormat="false" ht="12.75" hidden="false" customHeight="false" outlineLevel="0" collapsed="false">
      <c r="E5" s="16" t="s">
        <v>12</v>
      </c>
      <c r="F5" s="18" t="s">
        <v>12</v>
      </c>
      <c r="G5" s="17" t="s">
        <v>13</v>
      </c>
      <c r="H5" s="16" t="s">
        <v>14</v>
      </c>
      <c r="I5" s="17" t="s">
        <v>14</v>
      </c>
      <c r="J5" s="22" t="s">
        <v>15</v>
      </c>
      <c r="K5" s="18" t="s">
        <v>16</v>
      </c>
      <c r="L5" s="18" t="s">
        <v>17</v>
      </c>
      <c r="M5" s="17" t="s">
        <v>18</v>
      </c>
      <c r="N5" s="23"/>
      <c r="O5" s="15"/>
      <c r="P5" s="22"/>
      <c r="Q5" s="24" t="s">
        <v>19</v>
      </c>
      <c r="R5" s="11"/>
      <c r="S5" s="16" t="s">
        <v>20</v>
      </c>
      <c r="T5" s="25" t="s">
        <v>21</v>
      </c>
    </row>
    <row r="6" customFormat="false" ht="12.75" hidden="false" customHeight="false" outlineLevel="0" collapsed="false">
      <c r="A6" s="26" t="s">
        <v>22</v>
      </c>
      <c r="B6" s="27" t="s">
        <v>23</v>
      </c>
      <c r="C6" s="27" t="s">
        <v>24</v>
      </c>
      <c r="D6" s="28" t="s">
        <v>25</v>
      </c>
      <c r="E6" s="22" t="s">
        <v>26</v>
      </c>
      <c r="F6" s="5" t="s">
        <v>27</v>
      </c>
      <c r="G6" s="25" t="s">
        <v>28</v>
      </c>
      <c r="H6" s="22" t="s">
        <v>29</v>
      </c>
      <c r="I6" s="25" t="s">
        <v>30</v>
      </c>
      <c r="J6" s="22" t="s">
        <v>10</v>
      </c>
      <c r="K6" s="5" t="s">
        <v>10</v>
      </c>
      <c r="L6" s="5" t="s">
        <v>30</v>
      </c>
      <c r="M6" s="25" t="s">
        <v>30</v>
      </c>
      <c r="N6" s="22" t="s">
        <v>20</v>
      </c>
      <c r="O6" s="25" t="s">
        <v>21</v>
      </c>
      <c r="P6" s="22" t="s">
        <v>20</v>
      </c>
      <c r="Q6" s="29" t="s">
        <v>21</v>
      </c>
      <c r="R6" s="5"/>
      <c r="S6" s="22" t="s">
        <v>31</v>
      </c>
      <c r="T6" s="25" t="s">
        <v>32</v>
      </c>
      <c r="U6" s="30"/>
      <c r="V6" s="30"/>
    </row>
    <row r="7" customFormat="false" ht="12.75" hidden="false" customHeight="false" outlineLevel="0" collapsed="false">
      <c r="A7" s="31" t="n">
        <v>37012</v>
      </c>
      <c r="B7" s="32" t="n">
        <v>1</v>
      </c>
      <c r="C7" s="33" t="n">
        <v>15</v>
      </c>
      <c r="D7" s="34" t="n">
        <v>22</v>
      </c>
      <c r="E7" s="35" t="n">
        <v>5.01</v>
      </c>
      <c r="F7" s="35" t="n">
        <v>5.25</v>
      </c>
      <c r="G7" s="36" t="n">
        <v>65.2</v>
      </c>
      <c r="H7" s="37" t="n">
        <f aca="false">IF(C7&gt;0,G7-D7,"")</f>
        <v>43.2</v>
      </c>
      <c r="I7" s="38" t="n">
        <f aca="false">IF(C7&gt;0,H7*ABS(C7),"")</f>
        <v>648</v>
      </c>
      <c r="J7" s="39" t="n">
        <f aca="false">IF(C7=0,"",1)</f>
        <v>1</v>
      </c>
      <c r="K7" s="40" t="n">
        <f aca="false">IF(C7=0,"",G7-(D7+1))</f>
        <v>42.2</v>
      </c>
      <c r="L7" s="40" t="n">
        <f aca="false">IF(C7=0,"",C7*J7)</f>
        <v>15</v>
      </c>
      <c r="M7" s="21" t="n">
        <f aca="false">IF(C7=0,"",C7*K7)</f>
        <v>633</v>
      </c>
      <c r="N7" s="41" t="n">
        <f aca="false">IF(C7=0,"",D7)</f>
        <v>22</v>
      </c>
      <c r="O7" s="42" t="n">
        <f aca="false">IF(C7=0,"",D7+1)</f>
        <v>23</v>
      </c>
      <c r="P7" s="40" t="n">
        <f aca="false">IF(C7=0,"",N7*C7)</f>
        <v>330</v>
      </c>
      <c r="Q7" s="43" t="n">
        <f aca="false">IF(C7=0,"",O7*C7)</f>
        <v>345</v>
      </c>
      <c r="R7" s="44"/>
      <c r="S7" s="45" t="n">
        <f aca="false">IF(C7=0,"",L7)</f>
        <v>15</v>
      </c>
      <c r="T7" s="46" t="n">
        <f aca="false">IF(C7=0,"",M7)</f>
        <v>633</v>
      </c>
    </row>
    <row r="8" customFormat="false" ht="12.75" hidden="false" customHeight="false" outlineLevel="0" collapsed="false">
      <c r="A8" s="47" t="n">
        <v>37012</v>
      </c>
      <c r="B8" s="12" t="n">
        <v>2</v>
      </c>
      <c r="C8" s="48" t="n">
        <v>12</v>
      </c>
      <c r="D8" s="49" t="n">
        <v>22</v>
      </c>
      <c r="E8" s="50" t="n">
        <v>5.01</v>
      </c>
      <c r="F8" s="50" t="n">
        <v>5.25</v>
      </c>
      <c r="G8" s="51" t="n">
        <v>65.2</v>
      </c>
      <c r="H8" s="52" t="n">
        <f aca="false">IF(C8&gt;0,G8-D8,"")</f>
        <v>43.2</v>
      </c>
      <c r="I8" s="53" t="n">
        <f aca="false">IF(C8&gt;0,H8*ABS(C8),"")</f>
        <v>518.4</v>
      </c>
      <c r="J8" s="54" t="n">
        <f aca="false">IF(C8=0,"",1)</f>
        <v>1</v>
      </c>
      <c r="K8" s="44" t="n">
        <f aca="false">IF(C8=0,"",G8-(D8+1))</f>
        <v>42.2</v>
      </c>
      <c r="L8" s="44" t="n">
        <f aca="false">IF(C8=0,"",C8*J8)</f>
        <v>12</v>
      </c>
      <c r="M8" s="55" t="n">
        <f aca="false">IF(C8=0,"",C8*K8)</f>
        <v>506.4</v>
      </c>
      <c r="N8" s="56" t="n">
        <f aca="false">IF(C8=0,"",D8)</f>
        <v>22</v>
      </c>
      <c r="O8" s="57" t="n">
        <f aca="false">IF(C8=0,"",D8+1)</f>
        <v>23</v>
      </c>
      <c r="P8" s="44" t="n">
        <f aca="false">IF(C8=0,"",N8*C8)</f>
        <v>264</v>
      </c>
      <c r="Q8" s="58" t="n">
        <f aca="false">IF(C8=0,"",O8*C8)</f>
        <v>276</v>
      </c>
      <c r="R8" s="44"/>
      <c r="S8" s="59" t="n">
        <f aca="false">IF(C8=0,"",L8)</f>
        <v>12</v>
      </c>
      <c r="T8" s="60" t="n">
        <f aca="false">IF(C8=0,"",M8)</f>
        <v>506.4</v>
      </c>
    </row>
    <row r="9" customFormat="false" ht="12.75" hidden="false" customHeight="false" outlineLevel="0" collapsed="false">
      <c r="A9" s="47" t="n">
        <v>37012</v>
      </c>
      <c r="B9" s="12" t="n">
        <v>3</v>
      </c>
      <c r="C9" s="48" t="n">
        <v>12</v>
      </c>
      <c r="D9" s="49" t="n">
        <v>22</v>
      </c>
      <c r="E9" s="50" t="n">
        <v>5.01</v>
      </c>
      <c r="F9" s="50" t="n">
        <v>5.25</v>
      </c>
      <c r="G9" s="51" t="n">
        <v>65.2</v>
      </c>
      <c r="H9" s="52" t="n">
        <f aca="false">IF(C9&gt;0,G9-D9,"")</f>
        <v>43.2</v>
      </c>
      <c r="I9" s="53" t="n">
        <f aca="false">IF(C9&gt;0,H9*ABS(C9),"")</f>
        <v>518.4</v>
      </c>
      <c r="J9" s="54" t="n">
        <f aca="false">IF(C9=0,"",1)</f>
        <v>1</v>
      </c>
      <c r="K9" s="44" t="n">
        <f aca="false">IF(C9=0,"",G9-(D9+1))</f>
        <v>42.2</v>
      </c>
      <c r="L9" s="44" t="n">
        <f aca="false">IF(C9=0,"",C9*J9)</f>
        <v>12</v>
      </c>
      <c r="M9" s="55" t="n">
        <f aca="false">IF(C9=0,"",C9*K9)</f>
        <v>506.4</v>
      </c>
      <c r="N9" s="56" t="n">
        <f aca="false">IF(C9=0,"",D9)</f>
        <v>22</v>
      </c>
      <c r="O9" s="57" t="n">
        <f aca="false">IF(C9=0,"",D9+1)</f>
        <v>23</v>
      </c>
      <c r="P9" s="44" t="n">
        <f aca="false">IF(C9=0,"",N9*C9)</f>
        <v>264</v>
      </c>
      <c r="Q9" s="58" t="n">
        <f aca="false">IF(C9=0,"",O9*C9)</f>
        <v>276</v>
      </c>
      <c r="R9" s="44"/>
      <c r="S9" s="59" t="n">
        <f aca="false">IF(C9=0,"",L9)</f>
        <v>12</v>
      </c>
      <c r="T9" s="60" t="n">
        <f aca="false">IF(C9=0,"",M9)</f>
        <v>506.4</v>
      </c>
    </row>
    <row r="10" customFormat="false" ht="12.75" hidden="false" customHeight="false" outlineLevel="0" collapsed="false">
      <c r="A10" s="47" t="n">
        <v>37012</v>
      </c>
      <c r="B10" s="12" t="n">
        <v>4</v>
      </c>
      <c r="C10" s="48" t="n">
        <v>12</v>
      </c>
      <c r="D10" s="49" t="n">
        <v>22</v>
      </c>
      <c r="E10" s="50" t="n">
        <v>5.01</v>
      </c>
      <c r="F10" s="50" t="n">
        <v>5.25</v>
      </c>
      <c r="G10" s="51" t="n">
        <v>65.2</v>
      </c>
      <c r="H10" s="52" t="n">
        <f aca="false">IF(C10&gt;0,G10-D10,"")</f>
        <v>43.2</v>
      </c>
      <c r="I10" s="53" t="n">
        <f aca="false">IF(C10&gt;0,H10*ABS(C10),"")</f>
        <v>518.4</v>
      </c>
      <c r="J10" s="54" t="n">
        <f aca="false">IF(C10=0,"",1)</f>
        <v>1</v>
      </c>
      <c r="K10" s="44" t="n">
        <f aca="false">IF(C10=0,"",G10-(D10+1))</f>
        <v>42.2</v>
      </c>
      <c r="L10" s="44" t="n">
        <f aca="false">IF(C10=0,"",C10*J10)</f>
        <v>12</v>
      </c>
      <c r="M10" s="55" t="n">
        <f aca="false">IF(C10=0,"",C10*K10)</f>
        <v>506.4</v>
      </c>
      <c r="N10" s="56" t="n">
        <f aca="false">IF(C10=0,"",D10)</f>
        <v>22</v>
      </c>
      <c r="O10" s="57" t="n">
        <f aca="false">IF(C10=0,"",D10+1)</f>
        <v>23</v>
      </c>
      <c r="P10" s="44" t="n">
        <f aca="false">IF(C10=0,"",N10*C10)</f>
        <v>264</v>
      </c>
      <c r="Q10" s="58" t="n">
        <f aca="false">IF(C10=0,"",O10*C10)</f>
        <v>276</v>
      </c>
      <c r="R10" s="44"/>
      <c r="S10" s="59" t="n">
        <f aca="false">IF(C10=0,"",L10)</f>
        <v>12</v>
      </c>
      <c r="T10" s="60" t="n">
        <f aca="false">IF(C10=0,"",M10)</f>
        <v>506.4</v>
      </c>
    </row>
    <row r="11" customFormat="false" ht="12.75" hidden="false" customHeight="false" outlineLevel="0" collapsed="false">
      <c r="A11" s="47" t="n">
        <v>37012</v>
      </c>
      <c r="B11" s="12" t="n">
        <v>5</v>
      </c>
      <c r="C11" s="48" t="n">
        <v>13</v>
      </c>
      <c r="D11" s="49" t="n">
        <v>22</v>
      </c>
      <c r="E11" s="50" t="n">
        <v>5.01</v>
      </c>
      <c r="F11" s="50" t="n">
        <v>5.25</v>
      </c>
      <c r="G11" s="51" t="n">
        <v>65.2</v>
      </c>
      <c r="H11" s="52" t="n">
        <f aca="false">IF(C11&gt;0,G11-D11,"")</f>
        <v>43.2</v>
      </c>
      <c r="I11" s="53" t="n">
        <f aca="false">IF(C11&gt;0,H11*ABS(C11),"")</f>
        <v>561.6</v>
      </c>
      <c r="J11" s="54" t="n">
        <f aca="false">IF(C11=0,"",1)</f>
        <v>1</v>
      </c>
      <c r="K11" s="44" t="n">
        <f aca="false">IF(C11=0,"",G11-(D11+1))</f>
        <v>42.2</v>
      </c>
      <c r="L11" s="44" t="n">
        <f aca="false">IF(C11=0,"",C11*J11)</f>
        <v>13</v>
      </c>
      <c r="M11" s="55" t="n">
        <f aca="false">IF(C11=0,"",C11*K11)</f>
        <v>548.6</v>
      </c>
      <c r="N11" s="56" t="n">
        <f aca="false">IF(C11=0,"",D11)</f>
        <v>22</v>
      </c>
      <c r="O11" s="57" t="n">
        <f aca="false">IF(C11=0,"",D11+1)</f>
        <v>23</v>
      </c>
      <c r="P11" s="44" t="n">
        <f aca="false">IF(C11=0,"",N11*C11)</f>
        <v>286</v>
      </c>
      <c r="Q11" s="58" t="n">
        <f aca="false">IF(C11=0,"",O11*C11)</f>
        <v>299</v>
      </c>
      <c r="R11" s="44"/>
      <c r="S11" s="59" t="n">
        <f aca="false">IF(C11=0,"",L11)</f>
        <v>13</v>
      </c>
      <c r="T11" s="60" t="n">
        <f aca="false">IF(C11=0,"",M11)</f>
        <v>548.6</v>
      </c>
    </row>
    <row r="12" customFormat="false" ht="12.75" hidden="false" customHeight="false" outlineLevel="0" collapsed="false">
      <c r="A12" s="47" t="n">
        <v>37012</v>
      </c>
      <c r="B12" s="12" t="n">
        <v>6</v>
      </c>
      <c r="C12" s="48" t="n">
        <v>16</v>
      </c>
      <c r="D12" s="49" t="n">
        <v>22</v>
      </c>
      <c r="E12" s="50" t="n">
        <v>5.01</v>
      </c>
      <c r="F12" s="50" t="n">
        <v>5.25</v>
      </c>
      <c r="G12" s="51" t="n">
        <v>65.2</v>
      </c>
      <c r="H12" s="52" t="n">
        <f aca="false">IF(C12&gt;0,G12-D12,"")</f>
        <v>43.2</v>
      </c>
      <c r="I12" s="53" t="n">
        <f aca="false">IF(C12&gt;0,H12*ABS(C12),"")</f>
        <v>691.2</v>
      </c>
      <c r="J12" s="54" t="n">
        <f aca="false">IF(C12=0,"",1)</f>
        <v>1</v>
      </c>
      <c r="K12" s="44" t="n">
        <f aca="false">IF(C12=0,"",G12-(D12+1))</f>
        <v>42.2</v>
      </c>
      <c r="L12" s="44" t="n">
        <f aca="false">IF(C12=0,"",C12*J12)</f>
        <v>16</v>
      </c>
      <c r="M12" s="55" t="n">
        <f aca="false">IF(C12=0,"",C12*K12)</f>
        <v>675.2</v>
      </c>
      <c r="N12" s="56" t="n">
        <f aca="false">IF(C12=0,"",D12)</f>
        <v>22</v>
      </c>
      <c r="O12" s="57" t="n">
        <f aca="false">IF(C12=0,"",D12+1)</f>
        <v>23</v>
      </c>
      <c r="P12" s="44" t="n">
        <f aca="false">IF(C12=0,"",N12*C12)</f>
        <v>352</v>
      </c>
      <c r="Q12" s="58" t="n">
        <f aca="false">IF(C12=0,"",O12*C12)</f>
        <v>368</v>
      </c>
      <c r="R12" s="44"/>
      <c r="S12" s="59" t="n">
        <f aca="false">IF(C12=0,"",L12)</f>
        <v>16</v>
      </c>
      <c r="T12" s="60" t="n">
        <f aca="false">IF(C12=0,"",M12)</f>
        <v>675.2</v>
      </c>
    </row>
    <row r="13" customFormat="false" ht="12.75" hidden="false" customHeight="false" outlineLevel="0" collapsed="false">
      <c r="A13" s="47" t="n">
        <v>37012</v>
      </c>
      <c r="B13" s="12" t="n">
        <v>7</v>
      </c>
      <c r="C13" s="48" t="n">
        <v>0</v>
      </c>
      <c r="D13" s="49" t="n">
        <v>0</v>
      </c>
      <c r="E13" s="50" t="n">
        <v>5.01</v>
      </c>
      <c r="F13" s="50" t="n">
        <v>5.25</v>
      </c>
      <c r="G13" s="51" t="n">
        <v>65.2</v>
      </c>
      <c r="H13" s="52" t="str">
        <f aca="false">IF(C13&gt;0,G13-D13,"")</f>
        <v/>
      </c>
      <c r="I13" s="53" t="str">
        <f aca="false">IF(C13&gt;0,H13*ABS(C13),"")</f>
        <v/>
      </c>
      <c r="J13" s="54" t="str">
        <f aca="false">IF($C13=0,"",$H13*0.4)</f>
        <v/>
      </c>
      <c r="K13" s="49" t="str">
        <f aca="false">IF($C13=0,"",$H13*0.6)</f>
        <v/>
      </c>
      <c r="L13" s="49" t="str">
        <f aca="false">IF(C13=0,"",J13*$C13)</f>
        <v/>
      </c>
      <c r="M13" s="55" t="str">
        <f aca="false">IF(C13=0,"",C13*K13)</f>
        <v/>
      </c>
      <c r="N13" s="56" t="str">
        <f aca="false">IF(C13=0,"",D13)</f>
        <v/>
      </c>
      <c r="O13" s="57" t="str">
        <f aca="false">IF(C13=0,"",D13+J13)</f>
        <v/>
      </c>
      <c r="P13" s="44" t="str">
        <f aca="false">IF(C13=0,"",N13*C13)</f>
        <v/>
      </c>
      <c r="Q13" s="58" t="str">
        <f aca="false">IF(C13=0,"",O13*C13)</f>
        <v/>
      </c>
      <c r="R13" s="44"/>
      <c r="S13" s="59" t="str">
        <f aca="false">IF(C13=0,"",L13)</f>
        <v/>
      </c>
      <c r="T13" s="60" t="str">
        <f aca="false">IF(C13=0,"",M13)</f>
        <v/>
      </c>
    </row>
    <row r="14" customFormat="false" ht="12.75" hidden="false" customHeight="false" outlineLevel="0" collapsed="false">
      <c r="A14" s="47" t="n">
        <v>37012</v>
      </c>
      <c r="B14" s="12" t="n">
        <v>8</v>
      </c>
      <c r="C14" s="48" t="n">
        <v>0</v>
      </c>
      <c r="D14" s="49" t="n">
        <v>0</v>
      </c>
      <c r="E14" s="50" t="n">
        <v>5.01</v>
      </c>
      <c r="F14" s="50" t="n">
        <v>5.25</v>
      </c>
      <c r="G14" s="51" t="n">
        <v>65.2</v>
      </c>
      <c r="H14" s="52" t="str">
        <f aca="false">IF(C14&gt;0,G14-D14,"")</f>
        <v/>
      </c>
      <c r="I14" s="53" t="str">
        <f aca="false">IF(C14&gt;0,H14*ABS(C14),"")</f>
        <v/>
      </c>
      <c r="J14" s="54" t="str">
        <f aca="false">IF($C14=0,"",$H14*0.4)</f>
        <v/>
      </c>
      <c r="K14" s="49" t="str">
        <f aca="false">IF($C14=0,"",$H14*0.6)</f>
        <v/>
      </c>
      <c r="L14" s="49" t="str">
        <f aca="false">IF(C14=0,"",J14*$C14)</f>
        <v/>
      </c>
      <c r="M14" s="55" t="str">
        <f aca="false">IF(C14=0,"",C14*K14)</f>
        <v/>
      </c>
      <c r="N14" s="56" t="str">
        <f aca="false">IF(C14=0,"",D14)</f>
        <v/>
      </c>
      <c r="O14" s="57" t="str">
        <f aca="false">IF(C14=0,"",D14+J14)</f>
        <v/>
      </c>
      <c r="P14" s="44" t="str">
        <f aca="false">IF(C14=0,"",N14*C14)</f>
        <v/>
      </c>
      <c r="Q14" s="58" t="str">
        <f aca="false">IF(C14=0,"",O14*C14)</f>
        <v/>
      </c>
      <c r="R14" s="44"/>
      <c r="S14" s="59" t="str">
        <f aca="false">IF(C14=0,"",L14)</f>
        <v/>
      </c>
      <c r="T14" s="60" t="str">
        <f aca="false">IF(C14=0,"",M14)</f>
        <v/>
      </c>
    </row>
    <row r="15" customFormat="false" ht="12.75" hidden="false" customHeight="false" outlineLevel="0" collapsed="false">
      <c r="A15" s="47" t="n">
        <v>37012</v>
      </c>
      <c r="B15" s="12" t="n">
        <v>9</v>
      </c>
      <c r="C15" s="48" t="n">
        <v>0</v>
      </c>
      <c r="D15" s="49" t="n">
        <v>0</v>
      </c>
      <c r="E15" s="50" t="n">
        <v>5.01</v>
      </c>
      <c r="F15" s="50" t="n">
        <v>5.25</v>
      </c>
      <c r="G15" s="51" t="n">
        <v>65.2</v>
      </c>
      <c r="H15" s="52" t="str">
        <f aca="false">IF(C15&gt;0,G15-D15,"")</f>
        <v/>
      </c>
      <c r="I15" s="53" t="str">
        <f aca="false">IF(C15&gt;0,H15*ABS(C15),"")</f>
        <v/>
      </c>
      <c r="J15" s="54" t="str">
        <f aca="false">IF($C15=0,"",$H15*0.4)</f>
        <v/>
      </c>
      <c r="K15" s="49" t="str">
        <f aca="false">IF($C15=0,"",$H15*0.6)</f>
        <v/>
      </c>
      <c r="L15" s="49" t="str">
        <f aca="false">IF(C15=0,"",J15*$C15)</f>
        <v/>
      </c>
      <c r="M15" s="55" t="str">
        <f aca="false">IF(C15=0,"",C15*K15)</f>
        <v/>
      </c>
      <c r="N15" s="56" t="str">
        <f aca="false">IF(C15=0,"",D15)</f>
        <v/>
      </c>
      <c r="O15" s="57" t="str">
        <f aca="false">IF(C15=0,"",D15+J15)</f>
        <v/>
      </c>
      <c r="P15" s="44" t="str">
        <f aca="false">IF(C15=0,"",N15*C15)</f>
        <v/>
      </c>
      <c r="Q15" s="58" t="str">
        <f aca="false">IF(C15=0,"",O15*C15)</f>
        <v/>
      </c>
      <c r="R15" s="44"/>
      <c r="S15" s="59" t="str">
        <f aca="false">IF(C15=0,"",L15)</f>
        <v/>
      </c>
      <c r="T15" s="60" t="str">
        <f aca="false">IF(C15=0,"",M15)</f>
        <v/>
      </c>
    </row>
    <row r="16" customFormat="false" ht="12.75" hidden="false" customHeight="false" outlineLevel="0" collapsed="false">
      <c r="A16" s="47" t="n">
        <v>37012</v>
      </c>
      <c r="B16" s="12" t="n">
        <v>10</v>
      </c>
      <c r="C16" s="48" t="n">
        <v>0</v>
      </c>
      <c r="D16" s="49" t="n">
        <v>0</v>
      </c>
      <c r="E16" s="50" t="n">
        <v>5.01</v>
      </c>
      <c r="F16" s="50" t="n">
        <v>5.25</v>
      </c>
      <c r="G16" s="51" t="n">
        <v>65.2</v>
      </c>
      <c r="H16" s="52" t="str">
        <f aca="false">IF(C16&gt;0,G16-D16,"")</f>
        <v/>
      </c>
      <c r="I16" s="53" t="str">
        <f aca="false">IF(C16&gt;0,H16*ABS(C16),"")</f>
        <v/>
      </c>
      <c r="J16" s="54" t="str">
        <f aca="false">IF($C16=0,"",$H16*0.4)</f>
        <v/>
      </c>
      <c r="K16" s="49" t="str">
        <f aca="false">IF($C16=0,"",$H16*0.6)</f>
        <v/>
      </c>
      <c r="L16" s="49" t="str">
        <f aca="false">IF(C16=0,"",J16*$C16)</f>
        <v/>
      </c>
      <c r="M16" s="55" t="str">
        <f aca="false">IF(C16=0,"",C16*K16)</f>
        <v/>
      </c>
      <c r="N16" s="56" t="str">
        <f aca="false">IF(C16=0,"",D16)</f>
        <v/>
      </c>
      <c r="O16" s="57" t="str">
        <f aca="false">IF(C16=0,"",D16+J16)</f>
        <v/>
      </c>
      <c r="P16" s="44" t="str">
        <f aca="false">IF(C16=0,"",N16*C16)</f>
        <v/>
      </c>
      <c r="Q16" s="58" t="str">
        <f aca="false">IF(C16=0,"",O16*C16)</f>
        <v/>
      </c>
      <c r="R16" s="44"/>
      <c r="S16" s="59" t="str">
        <f aca="false">IF(C16=0,"",L16)</f>
        <v/>
      </c>
      <c r="T16" s="60" t="str">
        <f aca="false">IF(C16=0,"",M16)</f>
        <v/>
      </c>
    </row>
    <row r="17" customFormat="false" ht="12.75" hidden="false" customHeight="false" outlineLevel="0" collapsed="false">
      <c r="A17" s="47" t="n">
        <v>37012</v>
      </c>
      <c r="B17" s="12" t="n">
        <v>11</v>
      </c>
      <c r="C17" s="48" t="n">
        <v>0</v>
      </c>
      <c r="D17" s="49" t="n">
        <v>0</v>
      </c>
      <c r="E17" s="50" t="n">
        <v>5.01</v>
      </c>
      <c r="F17" s="50" t="n">
        <v>5.25</v>
      </c>
      <c r="G17" s="51" t="n">
        <v>65.2</v>
      </c>
      <c r="H17" s="52" t="str">
        <f aca="false">IF(C17&gt;0,G17-D17,"")</f>
        <v/>
      </c>
      <c r="I17" s="53" t="str">
        <f aca="false">IF(C17&gt;0,H17*ABS(C17),"")</f>
        <v/>
      </c>
      <c r="J17" s="54" t="str">
        <f aca="false">IF($C17=0,"",$H17*0.4)</f>
        <v/>
      </c>
      <c r="K17" s="49" t="str">
        <f aca="false">IF($C17=0,"",$H17*0.6)</f>
        <v/>
      </c>
      <c r="L17" s="49" t="str">
        <f aca="false">IF(C17=0,"",J17*$C17)</f>
        <v/>
      </c>
      <c r="M17" s="55" t="str">
        <f aca="false">IF(C17=0,"",C17*K17)</f>
        <v/>
      </c>
      <c r="N17" s="56" t="str">
        <f aca="false">IF(C17=0,"",D17)</f>
        <v/>
      </c>
      <c r="O17" s="57" t="str">
        <f aca="false">IF(C17=0,"",D17+J17)</f>
        <v/>
      </c>
      <c r="P17" s="44" t="str">
        <f aca="false">IF(C17=0,"",N17*C17)</f>
        <v/>
      </c>
      <c r="Q17" s="58" t="str">
        <f aca="false">IF(C17=0,"",O17*C17)</f>
        <v/>
      </c>
      <c r="R17" s="44"/>
      <c r="S17" s="59" t="str">
        <f aca="false">IF(C17=0,"",L17)</f>
        <v/>
      </c>
      <c r="T17" s="60" t="str">
        <f aca="false">IF(C17=0,"",M17)</f>
        <v/>
      </c>
    </row>
    <row r="18" customFormat="false" ht="12.75" hidden="false" customHeight="false" outlineLevel="0" collapsed="false">
      <c r="A18" s="47" t="n">
        <v>37012</v>
      </c>
      <c r="B18" s="12" t="n">
        <v>12</v>
      </c>
      <c r="C18" s="48" t="n">
        <v>0</v>
      </c>
      <c r="D18" s="49" t="n">
        <v>0</v>
      </c>
      <c r="E18" s="50" t="n">
        <v>5.01</v>
      </c>
      <c r="F18" s="50" t="n">
        <v>5.25</v>
      </c>
      <c r="G18" s="51" t="n">
        <v>65.2</v>
      </c>
      <c r="H18" s="52" t="str">
        <f aca="false">IF(C18&gt;0,G18-D18,"")</f>
        <v/>
      </c>
      <c r="I18" s="53" t="str">
        <f aca="false">IF(C18&gt;0,H18*ABS(C18),"")</f>
        <v/>
      </c>
      <c r="J18" s="54" t="str">
        <f aca="false">IF($C18=0,"",$H18*0.4)</f>
        <v/>
      </c>
      <c r="K18" s="49" t="str">
        <f aca="false">IF($C18=0,"",$H18*0.6)</f>
        <v/>
      </c>
      <c r="L18" s="49" t="str">
        <f aca="false">IF(C18=0,"",J18*$C18)</f>
        <v/>
      </c>
      <c r="M18" s="55" t="str">
        <f aca="false">IF(C18=0,"",C18*K18)</f>
        <v/>
      </c>
      <c r="N18" s="56" t="str">
        <f aca="false">IF(C18=0,"",D18)</f>
        <v/>
      </c>
      <c r="O18" s="57" t="str">
        <f aca="false">IF(C18=0,"",D18+J18)</f>
        <v/>
      </c>
      <c r="P18" s="44" t="str">
        <f aca="false">IF(C18=0,"",N18*C18)</f>
        <v/>
      </c>
      <c r="Q18" s="58" t="str">
        <f aca="false">IF(C18=0,"",O18*C18)</f>
        <v/>
      </c>
      <c r="R18" s="44"/>
      <c r="S18" s="59" t="str">
        <f aca="false">IF(C18=0,"",L18)</f>
        <v/>
      </c>
      <c r="T18" s="60" t="str">
        <f aca="false">IF(C18=0,"",M18)</f>
        <v/>
      </c>
    </row>
    <row r="19" customFormat="false" ht="12.75" hidden="false" customHeight="false" outlineLevel="0" collapsed="false">
      <c r="A19" s="47" t="n">
        <v>37012</v>
      </c>
      <c r="B19" s="12" t="n">
        <v>13</v>
      </c>
      <c r="C19" s="48" t="n">
        <v>0</v>
      </c>
      <c r="D19" s="49" t="n">
        <v>0</v>
      </c>
      <c r="E19" s="50" t="n">
        <v>5.01</v>
      </c>
      <c r="F19" s="50" t="n">
        <v>5.25</v>
      </c>
      <c r="G19" s="51" t="n">
        <v>65.2</v>
      </c>
      <c r="H19" s="52" t="str">
        <f aca="false">IF(C19&gt;0,G19-D19,"")</f>
        <v/>
      </c>
      <c r="I19" s="53" t="str">
        <f aca="false">IF(C19&gt;0,H19*ABS(C19),"")</f>
        <v/>
      </c>
      <c r="J19" s="54" t="str">
        <f aca="false">IF($C19=0,"",$H19*0.4)</f>
        <v/>
      </c>
      <c r="K19" s="49" t="str">
        <f aca="false">IF($C19=0,"",$H19*0.6)</f>
        <v/>
      </c>
      <c r="L19" s="49" t="str">
        <f aca="false">IF(C19=0,"",J19*$C19)</f>
        <v/>
      </c>
      <c r="M19" s="55" t="str">
        <f aca="false">IF(C19=0,"",C19*K19)</f>
        <v/>
      </c>
      <c r="N19" s="56" t="str">
        <f aca="false">IF(C19=0,"",D19)</f>
        <v/>
      </c>
      <c r="O19" s="57" t="str">
        <f aca="false">IF(C19=0,"",D19+J19)</f>
        <v/>
      </c>
      <c r="P19" s="44" t="str">
        <f aca="false">IF(C19=0,"",N19*C19)</f>
        <v/>
      </c>
      <c r="Q19" s="58" t="str">
        <f aca="false">IF(C19=0,"",O19*C19)</f>
        <v/>
      </c>
      <c r="R19" s="44"/>
      <c r="S19" s="59" t="str">
        <f aca="false">IF(C19=0,"",L19)</f>
        <v/>
      </c>
      <c r="T19" s="60" t="str">
        <f aca="false">IF(C19=0,"",M19)</f>
        <v/>
      </c>
    </row>
    <row r="20" customFormat="false" ht="12.75" hidden="false" customHeight="false" outlineLevel="0" collapsed="false">
      <c r="A20" s="47" t="n">
        <v>37012</v>
      </c>
      <c r="B20" s="12" t="n">
        <v>14</v>
      </c>
      <c r="C20" s="48" t="n">
        <v>0</v>
      </c>
      <c r="D20" s="49" t="n">
        <v>0</v>
      </c>
      <c r="E20" s="50" t="n">
        <v>5.01</v>
      </c>
      <c r="F20" s="50" t="n">
        <v>5.25</v>
      </c>
      <c r="G20" s="51" t="n">
        <v>65.2</v>
      </c>
      <c r="H20" s="52" t="str">
        <f aca="false">IF(C20&gt;0,G20-D20,"")</f>
        <v/>
      </c>
      <c r="I20" s="53" t="str">
        <f aca="false">IF(C20&gt;0,H20*ABS(C20),"")</f>
        <v/>
      </c>
      <c r="J20" s="54" t="str">
        <f aca="false">IF($C20=0,"",$H20*0.4)</f>
        <v/>
      </c>
      <c r="K20" s="49" t="str">
        <f aca="false">IF($C20=0,"",$H20*0.6)</f>
        <v/>
      </c>
      <c r="L20" s="49" t="str">
        <f aca="false">IF(C20=0,"",J20*$C20)</f>
        <v/>
      </c>
      <c r="M20" s="55" t="str">
        <f aca="false">IF(C20=0,"",C20*K20)</f>
        <v/>
      </c>
      <c r="N20" s="56" t="str">
        <f aca="false">IF(C20=0,"",D20)</f>
        <v/>
      </c>
      <c r="O20" s="57" t="str">
        <f aca="false">IF(C20=0,"",D20+J20)</f>
        <v/>
      </c>
      <c r="P20" s="44" t="str">
        <f aca="false">IF(C20=0,"",N20*C20)</f>
        <v/>
      </c>
      <c r="Q20" s="58" t="str">
        <f aca="false">IF(C20=0,"",O20*C20)</f>
        <v/>
      </c>
      <c r="R20" s="44"/>
      <c r="S20" s="59" t="str">
        <f aca="false">IF(C20=0,"",L20)</f>
        <v/>
      </c>
      <c r="T20" s="60" t="str">
        <f aca="false">IF(C20=0,"",M20)</f>
        <v/>
      </c>
    </row>
    <row r="21" customFormat="false" ht="12.75" hidden="false" customHeight="false" outlineLevel="0" collapsed="false">
      <c r="A21" s="47" t="n">
        <v>37012</v>
      </c>
      <c r="B21" s="12" t="n">
        <v>15</v>
      </c>
      <c r="C21" s="48" t="n">
        <v>0</v>
      </c>
      <c r="D21" s="49" t="n">
        <v>0</v>
      </c>
      <c r="E21" s="50" t="n">
        <v>5.01</v>
      </c>
      <c r="F21" s="50" t="n">
        <v>5.25</v>
      </c>
      <c r="G21" s="51" t="n">
        <v>65.2</v>
      </c>
      <c r="H21" s="52" t="str">
        <f aca="false">IF(C21&gt;0,G21-D21,"")</f>
        <v/>
      </c>
      <c r="I21" s="53" t="str">
        <f aca="false">IF(C21&gt;0,H21*ABS(C21),"")</f>
        <v/>
      </c>
      <c r="J21" s="54" t="str">
        <f aca="false">IF($C21=0,"",$H21*0.4)</f>
        <v/>
      </c>
      <c r="K21" s="49" t="str">
        <f aca="false">IF($C21=0,"",$H21*0.6)</f>
        <v/>
      </c>
      <c r="L21" s="49" t="str">
        <f aca="false">IF(C21=0,"",J21*$C21)</f>
        <v/>
      </c>
      <c r="M21" s="55" t="str">
        <f aca="false">IF(C21=0,"",C21*K21)</f>
        <v/>
      </c>
      <c r="N21" s="56" t="str">
        <f aca="false">IF(C21=0,"",D21)</f>
        <v/>
      </c>
      <c r="O21" s="57" t="str">
        <f aca="false">IF(C21=0,"",D21+J21)</f>
        <v/>
      </c>
      <c r="P21" s="44" t="str">
        <f aca="false">IF(C21=0,"",N21*C21)</f>
        <v/>
      </c>
      <c r="Q21" s="58" t="str">
        <f aca="false">IF(C21=0,"",O21*C21)</f>
        <v/>
      </c>
      <c r="R21" s="44"/>
      <c r="S21" s="59" t="str">
        <f aca="false">IF(C21=0,"",L21)</f>
        <v/>
      </c>
      <c r="T21" s="60" t="str">
        <f aca="false">IF(C21=0,"",M21)</f>
        <v/>
      </c>
    </row>
    <row r="22" customFormat="false" ht="12.75" hidden="false" customHeight="false" outlineLevel="0" collapsed="false">
      <c r="A22" s="47" t="n">
        <v>37012</v>
      </c>
      <c r="B22" s="12" t="n">
        <v>16</v>
      </c>
      <c r="C22" s="48" t="n">
        <v>7</v>
      </c>
      <c r="D22" s="49" t="n">
        <v>60.42</v>
      </c>
      <c r="E22" s="50" t="n">
        <v>5.01</v>
      </c>
      <c r="F22" s="50" t="n">
        <v>5.25</v>
      </c>
      <c r="G22" s="51" t="n">
        <v>65.2</v>
      </c>
      <c r="H22" s="52" t="n">
        <f aca="false">IF(C22&gt;0,G22-D22,"")</f>
        <v>4.78</v>
      </c>
      <c r="I22" s="53" t="n">
        <f aca="false">IF(C22&gt;0,H22*ABS(C22),"")</f>
        <v>33.46</v>
      </c>
      <c r="J22" s="54" t="n">
        <f aca="false">IF($C22=0,"",$H22*0.4)</f>
        <v>1.912</v>
      </c>
      <c r="K22" s="49" t="n">
        <f aca="false">IF($C22=0,"",$H22*0.6)</f>
        <v>2.868</v>
      </c>
      <c r="L22" s="49" t="n">
        <f aca="false">IF(C22=0,"",J22*$C22)</f>
        <v>13.384</v>
      </c>
      <c r="M22" s="55" t="n">
        <f aca="false">IF(C22=0,"",C22*K22)</f>
        <v>20.076</v>
      </c>
      <c r="N22" s="56" t="n">
        <f aca="false">IF(C22=0,"",D22)</f>
        <v>60.42</v>
      </c>
      <c r="O22" s="57" t="n">
        <f aca="false">IF(C22=0,"",D22+J22)</f>
        <v>62.332</v>
      </c>
      <c r="P22" s="44" t="n">
        <f aca="false">IF(C22=0,"",N22*C22)</f>
        <v>422.94</v>
      </c>
      <c r="Q22" s="58" t="n">
        <f aca="false">IF(C22=0,"",O22*C22)</f>
        <v>436.324</v>
      </c>
      <c r="R22" s="44"/>
      <c r="S22" s="59" t="n">
        <f aca="false">IF(C22=0,"",L22)</f>
        <v>13.384</v>
      </c>
      <c r="T22" s="60" t="n">
        <f aca="false">IF(C22=0,"",M22)</f>
        <v>20.076</v>
      </c>
    </row>
    <row r="23" customFormat="false" ht="12.75" hidden="false" customHeight="false" outlineLevel="0" collapsed="false">
      <c r="A23" s="47" t="n">
        <v>37012</v>
      </c>
      <c r="B23" s="12" t="n">
        <v>17</v>
      </c>
      <c r="C23" s="48" t="n">
        <v>7</v>
      </c>
      <c r="D23" s="49" t="n">
        <v>60.42</v>
      </c>
      <c r="E23" s="50" t="n">
        <v>5.01</v>
      </c>
      <c r="F23" s="50" t="n">
        <v>5.25</v>
      </c>
      <c r="G23" s="51" t="n">
        <v>65.2</v>
      </c>
      <c r="H23" s="52" t="n">
        <f aca="false">IF(C23&gt;0,G23-D23,"")</f>
        <v>4.78</v>
      </c>
      <c r="I23" s="53" t="n">
        <f aca="false">IF(C23&gt;0,H23*ABS(C23),"")</f>
        <v>33.46</v>
      </c>
      <c r="J23" s="54" t="n">
        <f aca="false">IF($C23=0,"",$H23*0.4)</f>
        <v>1.912</v>
      </c>
      <c r="K23" s="49" t="n">
        <f aca="false">IF($C23=0,"",$H23*0.6)</f>
        <v>2.868</v>
      </c>
      <c r="L23" s="49" t="n">
        <f aca="false">IF(C23=0,"",J23*$C23)</f>
        <v>13.384</v>
      </c>
      <c r="M23" s="55" t="n">
        <f aca="false">IF(C23=0,"",C23*K23)</f>
        <v>20.076</v>
      </c>
      <c r="N23" s="56" t="n">
        <f aca="false">IF(C23=0,"",D23)</f>
        <v>60.42</v>
      </c>
      <c r="O23" s="57" t="n">
        <f aca="false">IF(C23=0,"",D23+J23)</f>
        <v>62.332</v>
      </c>
      <c r="P23" s="44" t="n">
        <f aca="false">IF(C23=0,"",N23*C23)</f>
        <v>422.94</v>
      </c>
      <c r="Q23" s="58" t="n">
        <f aca="false">IF(C23=0,"",O23*C23)</f>
        <v>436.324</v>
      </c>
      <c r="R23" s="44"/>
      <c r="S23" s="59" t="n">
        <f aca="false">IF(C23=0,"",L23)</f>
        <v>13.384</v>
      </c>
      <c r="T23" s="60" t="n">
        <f aca="false">IF(C23=0,"",M23)</f>
        <v>20.076</v>
      </c>
    </row>
    <row r="24" customFormat="false" ht="12.75" hidden="false" customHeight="false" outlineLevel="0" collapsed="false">
      <c r="A24" s="47" t="n">
        <v>37012</v>
      </c>
      <c r="B24" s="12" t="n">
        <v>18</v>
      </c>
      <c r="C24" s="48" t="n">
        <v>7</v>
      </c>
      <c r="D24" s="49" t="n">
        <v>60.42</v>
      </c>
      <c r="E24" s="50" t="n">
        <v>5.01</v>
      </c>
      <c r="F24" s="50" t="n">
        <v>5.25</v>
      </c>
      <c r="G24" s="51" t="n">
        <v>65.2</v>
      </c>
      <c r="H24" s="52" t="n">
        <f aca="false">IF(C24&gt;0,G24-D24,"")</f>
        <v>4.78</v>
      </c>
      <c r="I24" s="53" t="n">
        <f aca="false">IF(C24&gt;0,H24*ABS(C24),"")</f>
        <v>33.46</v>
      </c>
      <c r="J24" s="54" t="n">
        <f aca="false">IF($C24=0,"",$H24*0.4)</f>
        <v>1.912</v>
      </c>
      <c r="K24" s="49" t="n">
        <f aca="false">IF($C24=0,"",$H24*0.6)</f>
        <v>2.868</v>
      </c>
      <c r="L24" s="49" t="n">
        <f aca="false">IF(C24=0,"",J24*$C24)</f>
        <v>13.384</v>
      </c>
      <c r="M24" s="55" t="n">
        <f aca="false">IF(C24=0,"",C24*K24)</f>
        <v>20.076</v>
      </c>
      <c r="N24" s="56" t="n">
        <f aca="false">IF(C24=0,"",D24)</f>
        <v>60.42</v>
      </c>
      <c r="O24" s="57" t="n">
        <f aca="false">IF(C24=0,"",D24+J24)</f>
        <v>62.332</v>
      </c>
      <c r="P24" s="44" t="n">
        <f aca="false">IF(C24=0,"",N24*C24)</f>
        <v>422.94</v>
      </c>
      <c r="Q24" s="58" t="n">
        <f aca="false">IF(C24=0,"",O24*C24)</f>
        <v>436.324</v>
      </c>
      <c r="R24" s="44"/>
      <c r="S24" s="59" t="n">
        <f aca="false">IF(C24=0,"",L24)</f>
        <v>13.384</v>
      </c>
      <c r="T24" s="60" t="n">
        <f aca="false">IF(C24=0,"",M24)</f>
        <v>20.076</v>
      </c>
    </row>
    <row r="25" customFormat="false" ht="12.75" hidden="false" customHeight="false" outlineLevel="0" collapsed="false">
      <c r="A25" s="47" t="n">
        <v>37012</v>
      </c>
      <c r="B25" s="12" t="n">
        <v>19</v>
      </c>
      <c r="C25" s="48" t="n">
        <v>7</v>
      </c>
      <c r="D25" s="49" t="n">
        <v>60.42</v>
      </c>
      <c r="E25" s="50" t="n">
        <v>5.01</v>
      </c>
      <c r="F25" s="50" t="n">
        <v>5.25</v>
      </c>
      <c r="G25" s="51" t="n">
        <v>65.2</v>
      </c>
      <c r="H25" s="52" t="n">
        <f aca="false">IF(C25&gt;0,G25-D25,"")</f>
        <v>4.78</v>
      </c>
      <c r="I25" s="53" t="n">
        <f aca="false">IF(C25&gt;0,H25*ABS(C25),"")</f>
        <v>33.46</v>
      </c>
      <c r="J25" s="54" t="n">
        <f aca="false">IF($C25=0,"",$H25*0.4)</f>
        <v>1.912</v>
      </c>
      <c r="K25" s="49" t="n">
        <f aca="false">IF($C25=0,"",$H25*0.6)</f>
        <v>2.868</v>
      </c>
      <c r="L25" s="49" t="n">
        <f aca="false">IF(C25=0,"",J25*$C25)</f>
        <v>13.384</v>
      </c>
      <c r="M25" s="55" t="n">
        <f aca="false">IF(C25=0,"",C25*K25)</f>
        <v>20.076</v>
      </c>
      <c r="N25" s="56" t="n">
        <f aca="false">IF(C25=0,"",D25)</f>
        <v>60.42</v>
      </c>
      <c r="O25" s="57" t="n">
        <f aca="false">IF(C25=0,"",D25+J25)</f>
        <v>62.332</v>
      </c>
      <c r="P25" s="44" t="n">
        <f aca="false">IF(C25=0,"",N25*C25)</f>
        <v>422.94</v>
      </c>
      <c r="Q25" s="58" t="n">
        <f aca="false">IF(C25=0,"",O25*C25)</f>
        <v>436.324</v>
      </c>
      <c r="R25" s="44"/>
      <c r="S25" s="59" t="n">
        <f aca="false">IF(C25=0,"",L25)</f>
        <v>13.384</v>
      </c>
      <c r="T25" s="60" t="n">
        <f aca="false">IF(C25=0,"",M25)</f>
        <v>20.076</v>
      </c>
    </row>
    <row r="26" customFormat="false" ht="12.75" hidden="false" customHeight="false" outlineLevel="0" collapsed="false">
      <c r="A26" s="47" t="n">
        <v>37012</v>
      </c>
      <c r="B26" s="12" t="n">
        <v>20</v>
      </c>
      <c r="C26" s="48" t="n">
        <v>7</v>
      </c>
      <c r="D26" s="49" t="n">
        <v>60.42</v>
      </c>
      <c r="E26" s="50" t="n">
        <v>5.01</v>
      </c>
      <c r="F26" s="50" t="n">
        <v>5.25</v>
      </c>
      <c r="G26" s="51" t="n">
        <v>65.2</v>
      </c>
      <c r="H26" s="52" t="n">
        <f aca="false">IF(C26&gt;0,G26-D26,"")</f>
        <v>4.78</v>
      </c>
      <c r="I26" s="53" t="n">
        <f aca="false">IF(C26&gt;0,H26*ABS(C26),"")</f>
        <v>33.46</v>
      </c>
      <c r="J26" s="54" t="n">
        <f aca="false">IF($C26=0,"",$H26*0.4)</f>
        <v>1.912</v>
      </c>
      <c r="K26" s="49" t="n">
        <f aca="false">IF($C26=0,"",$H26*0.6)</f>
        <v>2.868</v>
      </c>
      <c r="L26" s="49" t="n">
        <f aca="false">IF(C26=0,"",J26*$C26)</f>
        <v>13.384</v>
      </c>
      <c r="M26" s="55" t="n">
        <f aca="false">IF(C26=0,"",C26*K26)</f>
        <v>20.076</v>
      </c>
      <c r="N26" s="56" t="n">
        <f aca="false">IF(C26=0,"",D26)</f>
        <v>60.42</v>
      </c>
      <c r="O26" s="57" t="n">
        <f aca="false">IF(C26=0,"",D26+J26)</f>
        <v>62.332</v>
      </c>
      <c r="P26" s="44" t="n">
        <f aca="false">IF(C26=0,"",N26*C26)</f>
        <v>422.94</v>
      </c>
      <c r="Q26" s="58" t="n">
        <f aca="false">IF(C26=0,"",O26*C26)</f>
        <v>436.324</v>
      </c>
      <c r="R26" s="44"/>
      <c r="S26" s="59" t="n">
        <f aca="false">IF(C26=0,"",L26)</f>
        <v>13.384</v>
      </c>
      <c r="T26" s="60" t="n">
        <f aca="false">IF(C26=0,"",M26)</f>
        <v>20.076</v>
      </c>
    </row>
    <row r="27" customFormat="false" ht="12.75" hidden="false" customHeight="false" outlineLevel="0" collapsed="false">
      <c r="A27" s="47" t="n">
        <v>37012</v>
      </c>
      <c r="B27" s="12" t="n">
        <v>21</v>
      </c>
      <c r="C27" s="48" t="n">
        <v>0</v>
      </c>
      <c r="D27" s="49" t="n">
        <v>0</v>
      </c>
      <c r="E27" s="50" t="n">
        <v>5.01</v>
      </c>
      <c r="F27" s="50" t="n">
        <v>5.25</v>
      </c>
      <c r="G27" s="51" t="n">
        <v>65.2</v>
      </c>
      <c r="H27" s="52" t="str">
        <f aca="false">IF(C27&gt;0,G27-D27,"")</f>
        <v/>
      </c>
      <c r="I27" s="53" t="str">
        <f aca="false">IF(C27&gt;0,H27*ABS(C27),"")</f>
        <v/>
      </c>
      <c r="J27" s="54" t="str">
        <f aca="false">IF($C27=0,"",$H27*0.4)</f>
        <v/>
      </c>
      <c r="K27" s="49" t="str">
        <f aca="false">IF($C27=0,"",$H27*0.6)</f>
        <v/>
      </c>
      <c r="L27" s="49" t="str">
        <f aca="false">IF(C27=0,"",J27*$C27)</f>
        <v/>
      </c>
      <c r="M27" s="55" t="str">
        <f aca="false">IF(C27=0,"",C27*K27)</f>
        <v/>
      </c>
      <c r="N27" s="56" t="str">
        <f aca="false">IF(C27=0,"",D27)</f>
        <v/>
      </c>
      <c r="O27" s="57" t="str">
        <f aca="false">IF(C27=0,"",D27+J27)</f>
        <v/>
      </c>
      <c r="P27" s="44" t="str">
        <f aca="false">IF(C27=0,"",N27*C27)</f>
        <v/>
      </c>
      <c r="Q27" s="58" t="str">
        <f aca="false">IF(C27=0,"",O27*C27)</f>
        <v/>
      </c>
      <c r="R27" s="44"/>
      <c r="S27" s="59" t="str">
        <f aca="false">IF(C27=0,"",L27)</f>
        <v/>
      </c>
      <c r="T27" s="60" t="str">
        <f aca="false">IF(C27=0,"",M27)</f>
        <v/>
      </c>
    </row>
    <row r="28" customFormat="false" ht="12.75" hidden="false" customHeight="false" outlineLevel="0" collapsed="false">
      <c r="A28" s="47" t="n">
        <v>37012</v>
      </c>
      <c r="B28" s="12" t="n">
        <v>22</v>
      </c>
      <c r="C28" s="48" t="n">
        <v>0</v>
      </c>
      <c r="D28" s="49" t="n">
        <v>0</v>
      </c>
      <c r="E28" s="50" t="n">
        <v>5.01</v>
      </c>
      <c r="F28" s="50" t="n">
        <v>5.25</v>
      </c>
      <c r="G28" s="51" t="n">
        <v>65.2</v>
      </c>
      <c r="H28" s="52" t="str">
        <f aca="false">IF(C28&gt;0,G28-D28,"")</f>
        <v/>
      </c>
      <c r="I28" s="53" t="str">
        <f aca="false">IF(C28&gt;0,H28*ABS(C28),"")</f>
        <v/>
      </c>
      <c r="J28" s="54" t="str">
        <f aca="false">IF($C28=0,"",$H28*0.4)</f>
        <v/>
      </c>
      <c r="K28" s="49" t="str">
        <f aca="false">IF($C28=0,"",$H28*0.6)</f>
        <v/>
      </c>
      <c r="L28" s="49" t="str">
        <f aca="false">IF(C28=0,"",J28*$C28)</f>
        <v/>
      </c>
      <c r="M28" s="55" t="str">
        <f aca="false">IF(C28=0,"",C28*K28)</f>
        <v/>
      </c>
      <c r="N28" s="56" t="str">
        <f aca="false">IF(C28=0,"",D28)</f>
        <v/>
      </c>
      <c r="O28" s="57" t="str">
        <f aca="false">IF(C28=0,"",D28+J28)</f>
        <v/>
      </c>
      <c r="P28" s="44" t="str">
        <f aca="false">IF(C28=0,"",N28*C28)</f>
        <v/>
      </c>
      <c r="Q28" s="58" t="str">
        <f aca="false">IF(C28=0,"",O28*C28)</f>
        <v/>
      </c>
      <c r="R28" s="44"/>
      <c r="S28" s="59" t="str">
        <f aca="false">IF(C28=0,"",L28)</f>
        <v/>
      </c>
      <c r="T28" s="60" t="str">
        <f aca="false">IF(C28=0,"",M28)</f>
        <v/>
      </c>
    </row>
    <row r="29" customFormat="false" ht="12.75" hidden="false" customHeight="false" outlineLevel="0" collapsed="false">
      <c r="A29" s="47" t="n">
        <v>37012</v>
      </c>
      <c r="B29" s="12" t="n">
        <v>23</v>
      </c>
      <c r="C29" s="48" t="n">
        <v>25</v>
      </c>
      <c r="D29" s="49" t="n">
        <v>59</v>
      </c>
      <c r="E29" s="50" t="n">
        <v>5.01</v>
      </c>
      <c r="F29" s="50" t="n">
        <v>5.25</v>
      </c>
      <c r="G29" s="51" t="n">
        <v>65.2</v>
      </c>
      <c r="H29" s="52" t="n">
        <f aca="false">IF(C29&gt;0,G29-D29,"")</f>
        <v>6.2</v>
      </c>
      <c r="I29" s="53" t="n">
        <f aca="false">IF(C29&gt;0,H29*ABS(C29),"")</f>
        <v>155</v>
      </c>
      <c r="J29" s="54" t="n">
        <f aca="false">IF(C29=0,"",1)</f>
        <v>1</v>
      </c>
      <c r="K29" s="44" t="n">
        <f aca="false">IF(C29=0,"",G29-(D29+1))</f>
        <v>5.2</v>
      </c>
      <c r="L29" s="44" t="n">
        <f aca="false">IF(C29=0,"",C29*J29)</f>
        <v>25</v>
      </c>
      <c r="M29" s="55" t="n">
        <f aca="false">IF(C29=0,"",C29*K29)</f>
        <v>130</v>
      </c>
      <c r="N29" s="56" t="n">
        <f aca="false">IF(C29=0,"",D29)</f>
        <v>59</v>
      </c>
      <c r="O29" s="57" t="n">
        <f aca="false">IF(C29=0,"",D29+1)</f>
        <v>60</v>
      </c>
      <c r="P29" s="44" t="n">
        <f aca="false">IF(C29=0,"",N29*C29)</f>
        <v>1475</v>
      </c>
      <c r="Q29" s="58" t="n">
        <f aca="false">IF(C29=0,"",O29*C29)</f>
        <v>1500</v>
      </c>
      <c r="R29" s="44"/>
      <c r="S29" s="59" t="n">
        <f aca="false">IF(C29=0,"",L29)</f>
        <v>25</v>
      </c>
      <c r="T29" s="60" t="n">
        <f aca="false">IF(C29=0,"",M29)</f>
        <v>130</v>
      </c>
    </row>
    <row r="30" customFormat="false" ht="12.75" hidden="false" customHeight="false" outlineLevel="0" collapsed="false">
      <c r="A30" s="61" t="n">
        <v>37012</v>
      </c>
      <c r="B30" s="62" t="n">
        <v>24</v>
      </c>
      <c r="C30" s="63" t="n">
        <v>20</v>
      </c>
      <c r="D30" s="64" t="n">
        <v>58</v>
      </c>
      <c r="E30" s="65" t="n">
        <v>5.01</v>
      </c>
      <c r="F30" s="65" t="n">
        <v>5.25</v>
      </c>
      <c r="G30" s="66" t="n">
        <v>65.2</v>
      </c>
      <c r="H30" s="67" t="n">
        <f aca="false">IF(C30&gt;0,G30-D30,"")</f>
        <v>7.2</v>
      </c>
      <c r="I30" s="68" t="n">
        <f aca="false">IF(C30&gt;0,H30*ABS(C30),"")</f>
        <v>144</v>
      </c>
      <c r="J30" s="69" t="n">
        <f aca="false">IF(C30=0,"",1)</f>
        <v>1</v>
      </c>
      <c r="K30" s="70" t="n">
        <f aca="false">IF(C30=0,"",G30-(D30+1))</f>
        <v>6.2</v>
      </c>
      <c r="L30" s="70" t="n">
        <f aca="false">IF(C30=0,"",C30*J30)</f>
        <v>20</v>
      </c>
      <c r="M30" s="71" t="n">
        <f aca="false">IF(C30=0,"",C30*K30)</f>
        <v>124</v>
      </c>
      <c r="N30" s="72" t="n">
        <f aca="false">IF(C30=0,"",D30)</f>
        <v>58</v>
      </c>
      <c r="O30" s="73" t="n">
        <f aca="false">IF(C30=0,"",D30+1)</f>
        <v>59</v>
      </c>
      <c r="P30" s="70" t="n">
        <f aca="false">IF(C30=0,"",N30*C30)</f>
        <v>1160</v>
      </c>
      <c r="Q30" s="74" t="n">
        <f aca="false">IF(C30=0,"",O30*C30)</f>
        <v>1180</v>
      </c>
      <c r="R30" s="44"/>
      <c r="S30" s="75" t="n">
        <f aca="false">IF(C30=0,"",L30)</f>
        <v>20</v>
      </c>
      <c r="T30" s="76" t="n">
        <f aca="false">IF(C30=0,"",M30)</f>
        <v>124</v>
      </c>
    </row>
    <row r="31" customFormat="false" ht="4.5" hidden="false" customHeight="true" outlineLevel="0" collapsed="false">
      <c r="E31" s="77"/>
      <c r="F31" s="77"/>
      <c r="G31" s="77"/>
      <c r="I31" s="78"/>
      <c r="Q31" s="2"/>
      <c r="S31" s="2"/>
    </row>
    <row r="32" customFormat="false" ht="12.75" hidden="false" customHeight="false" outlineLevel="0" collapsed="false">
      <c r="K32" s="79"/>
      <c r="L32" s="79"/>
      <c r="M32" s="79"/>
      <c r="N32" s="80"/>
      <c r="O32" s="79"/>
      <c r="P32" s="80"/>
      <c r="Q32" s="81" t="n">
        <v>6701.62</v>
      </c>
      <c r="R32" s="82"/>
      <c r="S32" s="81" t="n">
        <v>191.92</v>
      </c>
      <c r="T32" s="81" t="n">
        <v>3730.38</v>
      </c>
    </row>
    <row r="34" customFormat="false" ht="12.75" hidden="true" customHeight="false" outlineLevel="0" collapsed="false">
      <c r="B34" s="0" t="s">
        <v>33</v>
      </c>
      <c r="C34" s="0" t="n">
        <v>1</v>
      </c>
    </row>
  </sheetData>
  <mergeCells count="9">
    <mergeCell ref="A1:C1"/>
    <mergeCell ref="A2:B2"/>
    <mergeCell ref="E3:G3"/>
    <mergeCell ref="H3:I3"/>
    <mergeCell ref="J3:M3"/>
    <mergeCell ref="N3:Q3"/>
    <mergeCell ref="S3:T3"/>
    <mergeCell ref="N4:O4"/>
    <mergeCell ref="P4:Q4"/>
  </mergeCells>
  <conditionalFormatting sqref="H3:H5 E3:G6 I3:J6 U1:IV65536 A5:C65536 A1:C2 D1:D30 D31:N65536 K4:N6 H8:H30 I7:I30 J7:K12 P4:T65536 J29:K30 L7:N30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67" activeCellId="0" sqref="Q67"/>
    </sheetView>
  </sheetViews>
  <sheetFormatPr defaultColWidth="9.9921875" defaultRowHeight="12.75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3" min="3" style="0" width="13.14"/>
    <col collapsed="false" customWidth="true" hidden="false" outlineLevel="0" max="4" min="4" style="1" width="23.99"/>
    <col collapsed="false" customWidth="true" hidden="false" outlineLevel="0" max="7" min="5" style="0" width="14.41"/>
    <col collapsed="false" customWidth="true" hidden="false" outlineLevel="0" max="8" min="8" style="0" width="28.99"/>
    <col collapsed="false" customWidth="true" hidden="false" outlineLevel="0" max="9" min="9" style="0" width="26.56"/>
    <col collapsed="false" customWidth="true" hidden="false" outlineLevel="0" max="10" min="10" style="0" width="17.14"/>
    <col collapsed="false" customWidth="true" hidden="false" outlineLevel="0" max="11" min="11" style="0" width="14.28"/>
    <col collapsed="false" customWidth="true" hidden="false" outlineLevel="0" max="13" min="12" style="0" width="26.56"/>
    <col collapsed="false" customWidth="true" hidden="false" outlineLevel="0" max="14" min="14" style="2" width="15.28"/>
    <col collapsed="false" customWidth="true" hidden="false" outlineLevel="0" max="15" min="15" style="0" width="15.28"/>
    <col collapsed="false" customWidth="true" hidden="false" outlineLevel="0" max="16" min="16" style="2" width="15.28"/>
    <col collapsed="false" customWidth="true" hidden="false" outlineLevel="0" max="17" min="17" style="0" width="17.56"/>
    <col collapsed="false" customWidth="true" hidden="false" outlineLevel="0" max="18" min="18" style="2" width="2.56"/>
    <col collapsed="false" customWidth="true" hidden="false" outlineLevel="0" max="19" min="19" style="0" width="12.42"/>
    <col collapsed="false" customWidth="true" hidden="false" outlineLevel="0" max="20" min="20" style="1" width="14.56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3" t="s">
        <v>1</v>
      </c>
      <c r="B2" s="3"/>
      <c r="C2" s="83" t="n">
        <v>37021</v>
      </c>
      <c r="D2" s="5"/>
    </row>
    <row r="3" customFormat="false" ht="12.75" hidden="false" customHeight="false" outlineLevel="0" collapsed="false">
      <c r="A3" s="6"/>
      <c r="B3" s="6"/>
      <c r="C3" s="84" t="n">
        <v>37020</v>
      </c>
      <c r="D3" s="7"/>
      <c r="E3" s="8" t="s">
        <v>2</v>
      </c>
      <c r="F3" s="8"/>
      <c r="G3" s="8"/>
      <c r="H3" s="9" t="s">
        <v>3</v>
      </c>
      <c r="I3" s="9"/>
      <c r="J3" s="9" t="s">
        <v>4</v>
      </c>
      <c r="K3" s="9"/>
      <c r="L3" s="9"/>
      <c r="M3" s="9"/>
      <c r="N3" s="10" t="s">
        <v>5</v>
      </c>
      <c r="O3" s="10"/>
      <c r="P3" s="10"/>
      <c r="Q3" s="10"/>
      <c r="R3" s="11"/>
      <c r="S3" s="10" t="s">
        <v>6</v>
      </c>
      <c r="T3" s="10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B4" s="85" t="s">
        <v>34</v>
      </c>
      <c r="C4" s="85"/>
      <c r="D4" s="85"/>
      <c r="E4" s="13"/>
      <c r="F4" s="14"/>
      <c r="G4" s="15"/>
      <c r="H4" s="16" t="s">
        <v>7</v>
      </c>
      <c r="I4" s="17" t="s">
        <v>7</v>
      </c>
      <c r="J4" s="16" t="s">
        <v>8</v>
      </c>
      <c r="K4" s="18" t="s">
        <v>9</v>
      </c>
      <c r="L4" s="18" t="s">
        <v>8</v>
      </c>
      <c r="M4" s="17" t="s">
        <v>9</v>
      </c>
      <c r="N4" s="19" t="s">
        <v>10</v>
      </c>
      <c r="O4" s="19"/>
      <c r="P4" s="19" t="s">
        <v>11</v>
      </c>
      <c r="Q4" s="19"/>
      <c r="R4" s="11"/>
      <c r="S4" s="20"/>
      <c r="T4" s="21"/>
    </row>
    <row r="5" customFormat="false" ht="12.75" hidden="false" customHeight="false" outlineLevel="0" collapsed="false">
      <c r="E5" s="16" t="s">
        <v>12</v>
      </c>
      <c r="F5" s="18" t="s">
        <v>12</v>
      </c>
      <c r="G5" s="17" t="s">
        <v>13</v>
      </c>
      <c r="H5" s="16" t="s">
        <v>14</v>
      </c>
      <c r="I5" s="17" t="s">
        <v>14</v>
      </c>
      <c r="J5" s="22" t="s">
        <v>15</v>
      </c>
      <c r="K5" s="18" t="s">
        <v>16</v>
      </c>
      <c r="L5" s="18" t="s">
        <v>17</v>
      </c>
      <c r="M5" s="17" t="s">
        <v>18</v>
      </c>
      <c r="N5" s="23"/>
      <c r="O5" s="15"/>
      <c r="P5" s="22"/>
      <c r="Q5" s="24" t="s">
        <v>19</v>
      </c>
      <c r="R5" s="11"/>
      <c r="S5" s="16" t="s">
        <v>20</v>
      </c>
      <c r="T5" s="25" t="s">
        <v>21</v>
      </c>
    </row>
    <row r="6" customFormat="false" ht="12.75" hidden="false" customHeight="false" outlineLevel="0" collapsed="false">
      <c r="A6" s="26" t="s">
        <v>22</v>
      </c>
      <c r="B6" s="27" t="s">
        <v>23</v>
      </c>
      <c r="C6" s="27" t="s">
        <v>24</v>
      </c>
      <c r="D6" s="28" t="s">
        <v>25</v>
      </c>
      <c r="E6" s="22" t="s">
        <v>26</v>
      </c>
      <c r="F6" s="5" t="s">
        <v>27</v>
      </c>
      <c r="G6" s="25" t="s">
        <v>28</v>
      </c>
      <c r="H6" s="22" t="s">
        <v>29</v>
      </c>
      <c r="I6" s="25" t="s">
        <v>30</v>
      </c>
      <c r="J6" s="22" t="s">
        <v>10</v>
      </c>
      <c r="K6" s="5" t="s">
        <v>10</v>
      </c>
      <c r="L6" s="5" t="s">
        <v>30</v>
      </c>
      <c r="M6" s="25" t="s">
        <v>30</v>
      </c>
      <c r="N6" s="22" t="s">
        <v>20</v>
      </c>
      <c r="O6" s="25" t="s">
        <v>21</v>
      </c>
      <c r="P6" s="22" t="s">
        <v>20</v>
      </c>
      <c r="Q6" s="29" t="s">
        <v>21</v>
      </c>
      <c r="R6" s="5"/>
      <c r="S6" s="22" t="s">
        <v>31</v>
      </c>
      <c r="T6" s="25" t="s">
        <v>32</v>
      </c>
      <c r="U6" s="30"/>
      <c r="V6" s="30"/>
    </row>
    <row r="7" customFormat="false" ht="12.75" hidden="false" customHeight="false" outlineLevel="0" collapsed="false">
      <c r="A7" s="31" t="n">
        <v>37021</v>
      </c>
      <c r="B7" s="32" t="n">
        <v>1</v>
      </c>
      <c r="C7" s="33" t="n">
        <v>15</v>
      </c>
      <c r="D7" s="46" t="n">
        <v>16.5</v>
      </c>
      <c r="E7" s="35" t="n">
        <v>4.38</v>
      </c>
      <c r="F7" s="35" t="n">
        <v>4.38</v>
      </c>
      <c r="G7" s="36" t="n">
        <v>61.7</v>
      </c>
      <c r="H7" s="37" t="n">
        <v>45.2</v>
      </c>
      <c r="I7" s="38" t="n">
        <v>678</v>
      </c>
      <c r="J7" s="39" t="n">
        <v>1</v>
      </c>
      <c r="K7" s="40" t="n">
        <v>44.2</v>
      </c>
      <c r="L7" s="40" t="n">
        <v>15</v>
      </c>
      <c r="M7" s="21" t="n">
        <v>663</v>
      </c>
      <c r="N7" s="41" t="n">
        <v>16.5</v>
      </c>
      <c r="O7" s="42" t="n">
        <v>17.5</v>
      </c>
      <c r="P7" s="40" t="n">
        <v>247.5</v>
      </c>
      <c r="Q7" s="43" t="n">
        <v>262.5</v>
      </c>
      <c r="R7" s="44"/>
      <c r="S7" s="45" t="n">
        <v>15</v>
      </c>
      <c r="T7" s="46" t="n">
        <v>663</v>
      </c>
    </row>
    <row r="8" customFormat="false" ht="12.75" hidden="false" customHeight="false" outlineLevel="0" collapsed="false">
      <c r="A8" s="47" t="n">
        <v>37021</v>
      </c>
      <c r="B8" s="12" t="n">
        <v>2</v>
      </c>
      <c r="C8" s="48" t="n">
        <v>15</v>
      </c>
      <c r="D8" s="60" t="n">
        <v>16.5</v>
      </c>
      <c r="E8" s="50" t="n">
        <v>4.38</v>
      </c>
      <c r="F8" s="50" t="n">
        <v>4.38</v>
      </c>
      <c r="G8" s="51" t="n">
        <v>61.7</v>
      </c>
      <c r="H8" s="52" t="n">
        <v>45.2</v>
      </c>
      <c r="I8" s="53" t="n">
        <v>678</v>
      </c>
      <c r="J8" s="54" t="n">
        <v>1</v>
      </c>
      <c r="K8" s="44" t="n">
        <v>44.2</v>
      </c>
      <c r="L8" s="44" t="n">
        <v>15</v>
      </c>
      <c r="M8" s="55" t="n">
        <v>663</v>
      </c>
      <c r="N8" s="56" t="n">
        <v>16.5</v>
      </c>
      <c r="O8" s="57" t="n">
        <v>17.5</v>
      </c>
      <c r="P8" s="44" t="n">
        <v>247.5</v>
      </c>
      <c r="Q8" s="58" t="n">
        <v>262.5</v>
      </c>
      <c r="R8" s="44"/>
      <c r="S8" s="59" t="n">
        <v>15</v>
      </c>
      <c r="T8" s="60" t="n">
        <v>663</v>
      </c>
    </row>
    <row r="9" customFormat="false" ht="12.75" hidden="false" customHeight="false" outlineLevel="0" collapsed="false">
      <c r="A9" s="47" t="n">
        <v>37021</v>
      </c>
      <c r="B9" s="12" t="n">
        <v>3</v>
      </c>
      <c r="C9" s="48" t="n">
        <v>15</v>
      </c>
      <c r="D9" s="60" t="n">
        <v>16.5</v>
      </c>
      <c r="E9" s="50" t="n">
        <v>4.38</v>
      </c>
      <c r="F9" s="50" t="n">
        <v>4.38</v>
      </c>
      <c r="G9" s="51" t="n">
        <v>61.7</v>
      </c>
      <c r="H9" s="52" t="n">
        <v>45.2</v>
      </c>
      <c r="I9" s="53" t="n">
        <v>678</v>
      </c>
      <c r="J9" s="54" t="n">
        <v>1</v>
      </c>
      <c r="K9" s="44" t="n">
        <v>44.2</v>
      </c>
      <c r="L9" s="44" t="n">
        <v>15</v>
      </c>
      <c r="M9" s="55" t="n">
        <v>663</v>
      </c>
      <c r="N9" s="56" t="n">
        <v>16.5</v>
      </c>
      <c r="O9" s="57" t="n">
        <v>17.5</v>
      </c>
      <c r="P9" s="44" t="n">
        <v>247.5</v>
      </c>
      <c r="Q9" s="58" t="n">
        <v>262.5</v>
      </c>
      <c r="R9" s="44"/>
      <c r="S9" s="59" t="n">
        <v>15</v>
      </c>
      <c r="T9" s="60" t="n">
        <v>663</v>
      </c>
    </row>
    <row r="10" customFormat="false" ht="12.75" hidden="false" customHeight="false" outlineLevel="0" collapsed="false">
      <c r="A10" s="47" t="n">
        <v>37021</v>
      </c>
      <c r="B10" s="12" t="n">
        <v>4</v>
      </c>
      <c r="C10" s="48" t="n">
        <v>15</v>
      </c>
      <c r="D10" s="60" t="n">
        <v>16.5</v>
      </c>
      <c r="E10" s="50" t="n">
        <v>4.38</v>
      </c>
      <c r="F10" s="50" t="n">
        <v>4.38</v>
      </c>
      <c r="G10" s="51" t="n">
        <v>61.7</v>
      </c>
      <c r="H10" s="52" t="n">
        <v>45.2</v>
      </c>
      <c r="I10" s="53" t="n">
        <v>678</v>
      </c>
      <c r="J10" s="54" t="n">
        <v>1</v>
      </c>
      <c r="K10" s="44" t="n">
        <v>44.2</v>
      </c>
      <c r="L10" s="44" t="n">
        <v>15</v>
      </c>
      <c r="M10" s="55" t="n">
        <v>663</v>
      </c>
      <c r="N10" s="56" t="n">
        <v>16.5</v>
      </c>
      <c r="O10" s="57" t="n">
        <v>17.5</v>
      </c>
      <c r="P10" s="44" t="n">
        <v>247.5</v>
      </c>
      <c r="Q10" s="58" t="n">
        <v>262.5</v>
      </c>
      <c r="R10" s="44"/>
      <c r="S10" s="59" t="n">
        <v>15</v>
      </c>
      <c r="T10" s="60" t="n">
        <v>663</v>
      </c>
    </row>
    <row r="11" customFormat="false" ht="12.75" hidden="false" customHeight="false" outlineLevel="0" collapsed="false">
      <c r="A11" s="47" t="n">
        <v>37021</v>
      </c>
      <c r="B11" s="12" t="n">
        <v>5</v>
      </c>
      <c r="C11" s="48" t="n">
        <v>15</v>
      </c>
      <c r="D11" s="60" t="n">
        <v>16.5</v>
      </c>
      <c r="E11" s="50" t="n">
        <v>4.38</v>
      </c>
      <c r="F11" s="50" t="n">
        <v>4.38</v>
      </c>
      <c r="G11" s="51" t="n">
        <v>61.7</v>
      </c>
      <c r="H11" s="52" t="n">
        <v>45.2</v>
      </c>
      <c r="I11" s="53" t="n">
        <v>678</v>
      </c>
      <c r="J11" s="54" t="n">
        <v>1</v>
      </c>
      <c r="K11" s="44" t="n">
        <v>44.2</v>
      </c>
      <c r="L11" s="44" t="n">
        <v>15</v>
      </c>
      <c r="M11" s="55" t="n">
        <v>663</v>
      </c>
      <c r="N11" s="56" t="n">
        <v>16.5</v>
      </c>
      <c r="O11" s="57" t="n">
        <v>17.5</v>
      </c>
      <c r="P11" s="44" t="n">
        <v>247.5</v>
      </c>
      <c r="Q11" s="58" t="n">
        <v>262.5</v>
      </c>
      <c r="R11" s="44"/>
      <c r="S11" s="59" t="n">
        <v>15</v>
      </c>
      <c r="T11" s="60" t="n">
        <v>663</v>
      </c>
    </row>
    <row r="12" customFormat="false" ht="12.75" hidden="false" customHeight="false" outlineLevel="0" collapsed="false">
      <c r="A12" s="47" t="n">
        <v>37021</v>
      </c>
      <c r="B12" s="12" t="n">
        <v>6</v>
      </c>
      <c r="C12" s="48" t="n">
        <v>15</v>
      </c>
      <c r="D12" s="60" t="n">
        <v>16.5</v>
      </c>
      <c r="E12" s="50" t="n">
        <v>4.38</v>
      </c>
      <c r="F12" s="50" t="n">
        <v>4.38</v>
      </c>
      <c r="G12" s="51" t="n">
        <v>61.7</v>
      </c>
      <c r="H12" s="52" t="n">
        <v>45.2</v>
      </c>
      <c r="I12" s="53" t="n">
        <v>678</v>
      </c>
      <c r="J12" s="54" t="n">
        <v>1</v>
      </c>
      <c r="K12" s="44" t="n">
        <v>44.2</v>
      </c>
      <c r="L12" s="44" t="n">
        <v>15</v>
      </c>
      <c r="M12" s="55" t="n">
        <v>663</v>
      </c>
      <c r="N12" s="56" t="n">
        <v>16.5</v>
      </c>
      <c r="O12" s="57" t="n">
        <v>17.5</v>
      </c>
      <c r="P12" s="44" t="n">
        <v>247.5</v>
      </c>
      <c r="Q12" s="58" t="n">
        <v>262.5</v>
      </c>
      <c r="R12" s="44"/>
      <c r="S12" s="59" t="n">
        <v>15</v>
      </c>
      <c r="T12" s="60" t="n">
        <v>663</v>
      </c>
    </row>
    <row r="13" customFormat="false" ht="12.75" hidden="false" customHeight="false" outlineLevel="0" collapsed="false">
      <c r="A13" s="47" t="n">
        <v>37021</v>
      </c>
      <c r="B13" s="12" t="n">
        <v>7</v>
      </c>
      <c r="C13" s="48" t="n">
        <v>20</v>
      </c>
      <c r="D13" s="60" t="n">
        <v>40</v>
      </c>
      <c r="E13" s="50" t="n">
        <v>4.38</v>
      </c>
      <c r="F13" s="50" t="n">
        <v>4.38</v>
      </c>
      <c r="G13" s="51" t="n">
        <v>61.7</v>
      </c>
      <c r="H13" s="52" t="n">
        <v>21.7</v>
      </c>
      <c r="I13" s="53" t="n">
        <v>434</v>
      </c>
      <c r="J13" s="54" t="n">
        <v>8.68</v>
      </c>
      <c r="K13" s="49" t="n">
        <v>13.02</v>
      </c>
      <c r="L13" s="49" t="n">
        <v>173.6</v>
      </c>
      <c r="M13" s="55" t="n">
        <v>260.4</v>
      </c>
      <c r="N13" s="56" t="n">
        <v>40</v>
      </c>
      <c r="O13" s="57" t="n">
        <v>48.68</v>
      </c>
      <c r="P13" s="44" t="n">
        <v>800</v>
      </c>
      <c r="Q13" s="58" t="n">
        <v>973.6</v>
      </c>
      <c r="R13" s="44"/>
      <c r="S13" s="59" t="n">
        <v>173.6</v>
      </c>
      <c r="T13" s="60" t="n">
        <v>260.4</v>
      </c>
    </row>
    <row r="14" customFormat="false" ht="12.75" hidden="false" customHeight="false" outlineLevel="0" collapsed="false">
      <c r="A14" s="47" t="n">
        <v>37021</v>
      </c>
      <c r="B14" s="12" t="n">
        <v>8</v>
      </c>
      <c r="C14" s="48" t="n">
        <v>25</v>
      </c>
      <c r="D14" s="60" t="n">
        <v>40</v>
      </c>
      <c r="E14" s="50" t="n">
        <v>4.38</v>
      </c>
      <c r="F14" s="50" t="n">
        <v>4.38</v>
      </c>
      <c r="G14" s="51" t="n">
        <v>61.7</v>
      </c>
      <c r="H14" s="52" t="n">
        <v>21.7</v>
      </c>
      <c r="I14" s="53" t="n">
        <v>542.5</v>
      </c>
      <c r="J14" s="54" t="n">
        <v>8.68</v>
      </c>
      <c r="K14" s="49" t="n">
        <v>13.02</v>
      </c>
      <c r="L14" s="49" t="n">
        <v>217</v>
      </c>
      <c r="M14" s="55" t="n">
        <v>325.5</v>
      </c>
      <c r="N14" s="56" t="n">
        <v>40</v>
      </c>
      <c r="O14" s="57" t="n">
        <v>48.68</v>
      </c>
      <c r="P14" s="44" t="n">
        <v>1000</v>
      </c>
      <c r="Q14" s="58" t="n">
        <v>1217</v>
      </c>
      <c r="R14" s="44"/>
      <c r="S14" s="59" t="n">
        <v>217</v>
      </c>
      <c r="T14" s="60" t="n">
        <v>325.5</v>
      </c>
    </row>
    <row r="15" customFormat="false" ht="12.75" hidden="false" customHeight="false" outlineLevel="0" collapsed="false">
      <c r="A15" s="47" t="n">
        <v>37021</v>
      </c>
      <c r="B15" s="12" t="n">
        <v>9</v>
      </c>
      <c r="C15" s="48" t="n">
        <v>30</v>
      </c>
      <c r="D15" s="60" t="n">
        <v>40</v>
      </c>
      <c r="E15" s="50" t="n">
        <v>4.38</v>
      </c>
      <c r="F15" s="50" t="n">
        <v>4.38</v>
      </c>
      <c r="G15" s="51" t="n">
        <v>61.7</v>
      </c>
      <c r="H15" s="52" t="n">
        <v>21.7</v>
      </c>
      <c r="I15" s="53" t="n">
        <v>651</v>
      </c>
      <c r="J15" s="54" t="n">
        <v>8.68</v>
      </c>
      <c r="K15" s="49" t="n">
        <v>13.02</v>
      </c>
      <c r="L15" s="49" t="n">
        <v>260.4</v>
      </c>
      <c r="M15" s="55" t="n">
        <v>390.6</v>
      </c>
      <c r="N15" s="56" t="n">
        <v>40</v>
      </c>
      <c r="O15" s="57" t="n">
        <v>48.68</v>
      </c>
      <c r="P15" s="44" t="n">
        <v>1200</v>
      </c>
      <c r="Q15" s="58" t="n">
        <v>1460.4</v>
      </c>
      <c r="R15" s="44"/>
      <c r="S15" s="59" t="n">
        <v>260.4</v>
      </c>
      <c r="T15" s="60" t="n">
        <v>390.6</v>
      </c>
    </row>
    <row r="16" customFormat="false" ht="12.75" hidden="false" customHeight="false" outlineLevel="0" collapsed="false">
      <c r="A16" s="47" t="n">
        <v>37021</v>
      </c>
      <c r="B16" s="12" t="n">
        <v>10</v>
      </c>
      <c r="C16" s="48" t="n">
        <v>30</v>
      </c>
      <c r="D16" s="60" t="n">
        <v>40</v>
      </c>
      <c r="E16" s="50" t="n">
        <v>4.38</v>
      </c>
      <c r="F16" s="50" t="n">
        <v>4.38</v>
      </c>
      <c r="G16" s="51" t="n">
        <v>61.7</v>
      </c>
      <c r="H16" s="52" t="n">
        <v>21.7</v>
      </c>
      <c r="I16" s="53" t="n">
        <v>651</v>
      </c>
      <c r="J16" s="54" t="n">
        <v>8.68</v>
      </c>
      <c r="K16" s="49" t="n">
        <v>13.02</v>
      </c>
      <c r="L16" s="49" t="n">
        <v>260.4</v>
      </c>
      <c r="M16" s="55" t="n">
        <v>390.6</v>
      </c>
      <c r="N16" s="56" t="n">
        <v>40</v>
      </c>
      <c r="O16" s="57" t="n">
        <v>48.68</v>
      </c>
      <c r="P16" s="44" t="n">
        <v>1200</v>
      </c>
      <c r="Q16" s="58" t="n">
        <v>1460.4</v>
      </c>
      <c r="R16" s="44"/>
      <c r="S16" s="59" t="n">
        <v>260.4</v>
      </c>
      <c r="T16" s="60" t="n">
        <v>390.6</v>
      </c>
    </row>
    <row r="17" customFormat="false" ht="12.75" hidden="false" customHeight="false" outlineLevel="0" collapsed="false">
      <c r="A17" s="47" t="n">
        <v>37021</v>
      </c>
      <c r="B17" s="12" t="n">
        <v>11</v>
      </c>
      <c r="C17" s="48" t="n">
        <v>30</v>
      </c>
      <c r="D17" s="60" t="n">
        <v>40</v>
      </c>
      <c r="E17" s="50" t="n">
        <v>4.38</v>
      </c>
      <c r="F17" s="50" t="n">
        <v>4.38</v>
      </c>
      <c r="G17" s="51" t="n">
        <v>61.7</v>
      </c>
      <c r="H17" s="52" t="n">
        <v>21.7</v>
      </c>
      <c r="I17" s="53" t="n">
        <v>651</v>
      </c>
      <c r="J17" s="54" t="n">
        <v>8.68</v>
      </c>
      <c r="K17" s="49" t="n">
        <v>13.02</v>
      </c>
      <c r="L17" s="49" t="n">
        <v>260.4</v>
      </c>
      <c r="M17" s="55" t="n">
        <v>390.6</v>
      </c>
      <c r="N17" s="56" t="n">
        <v>40</v>
      </c>
      <c r="O17" s="57" t="n">
        <v>48.68</v>
      </c>
      <c r="P17" s="44" t="n">
        <v>1200</v>
      </c>
      <c r="Q17" s="58" t="n">
        <v>1460.4</v>
      </c>
      <c r="R17" s="44"/>
      <c r="S17" s="59" t="n">
        <v>260.4</v>
      </c>
      <c r="T17" s="60" t="n">
        <v>390.6</v>
      </c>
    </row>
    <row r="18" customFormat="false" ht="12.75" hidden="false" customHeight="false" outlineLevel="0" collapsed="false">
      <c r="A18" s="47" t="n">
        <v>37021</v>
      </c>
      <c r="B18" s="12" t="n">
        <v>12</v>
      </c>
      <c r="C18" s="48" t="n">
        <v>30</v>
      </c>
      <c r="D18" s="60" t="n">
        <v>40</v>
      </c>
      <c r="E18" s="50" t="n">
        <v>4.38</v>
      </c>
      <c r="F18" s="50" t="n">
        <v>4.38</v>
      </c>
      <c r="G18" s="51" t="n">
        <v>61.7</v>
      </c>
      <c r="H18" s="52" t="n">
        <v>21.7</v>
      </c>
      <c r="I18" s="53" t="n">
        <v>651</v>
      </c>
      <c r="J18" s="54" t="n">
        <v>8.68</v>
      </c>
      <c r="K18" s="49" t="n">
        <v>13.02</v>
      </c>
      <c r="L18" s="49" t="n">
        <v>260.4</v>
      </c>
      <c r="M18" s="55" t="n">
        <v>390.6</v>
      </c>
      <c r="N18" s="56" t="n">
        <v>40</v>
      </c>
      <c r="O18" s="57" t="n">
        <v>48.68</v>
      </c>
      <c r="P18" s="44" t="n">
        <v>1200</v>
      </c>
      <c r="Q18" s="58" t="n">
        <v>1460.4</v>
      </c>
      <c r="R18" s="44"/>
      <c r="S18" s="59" t="n">
        <v>260.4</v>
      </c>
      <c r="T18" s="60" t="n">
        <v>390.6</v>
      </c>
    </row>
    <row r="19" customFormat="false" ht="12.75" hidden="false" customHeight="false" outlineLevel="0" collapsed="false">
      <c r="A19" s="47" t="n">
        <v>37021</v>
      </c>
      <c r="B19" s="12" t="n">
        <v>13</v>
      </c>
      <c r="C19" s="48" t="n">
        <v>30</v>
      </c>
      <c r="D19" s="60" t="n">
        <v>40</v>
      </c>
      <c r="E19" s="50" t="n">
        <v>4.38</v>
      </c>
      <c r="F19" s="50" t="n">
        <v>4.38</v>
      </c>
      <c r="G19" s="51" t="n">
        <v>61.7</v>
      </c>
      <c r="H19" s="52" t="n">
        <v>21.7</v>
      </c>
      <c r="I19" s="53" t="n">
        <v>651</v>
      </c>
      <c r="J19" s="54" t="n">
        <v>8.68</v>
      </c>
      <c r="K19" s="49" t="n">
        <v>13.02</v>
      </c>
      <c r="L19" s="49" t="n">
        <v>260.4</v>
      </c>
      <c r="M19" s="55" t="n">
        <v>390.6</v>
      </c>
      <c r="N19" s="56" t="n">
        <v>40</v>
      </c>
      <c r="O19" s="57" t="n">
        <v>48.68</v>
      </c>
      <c r="P19" s="44" t="n">
        <v>1200</v>
      </c>
      <c r="Q19" s="58" t="n">
        <v>1460.4</v>
      </c>
      <c r="R19" s="44"/>
      <c r="S19" s="59" t="n">
        <v>260.4</v>
      </c>
      <c r="T19" s="60" t="n">
        <v>390.6</v>
      </c>
    </row>
    <row r="20" customFormat="false" ht="12.75" hidden="false" customHeight="false" outlineLevel="0" collapsed="false">
      <c r="A20" s="47" t="n">
        <v>37021</v>
      </c>
      <c r="B20" s="12" t="n">
        <v>14</v>
      </c>
      <c r="C20" s="48" t="n">
        <v>30</v>
      </c>
      <c r="D20" s="60" t="n">
        <v>40</v>
      </c>
      <c r="E20" s="50" t="n">
        <v>4.38</v>
      </c>
      <c r="F20" s="50" t="n">
        <v>4.38</v>
      </c>
      <c r="G20" s="51" t="n">
        <v>61.7</v>
      </c>
      <c r="H20" s="52" t="n">
        <v>21.7</v>
      </c>
      <c r="I20" s="53" t="n">
        <v>651</v>
      </c>
      <c r="J20" s="54" t="n">
        <v>8.68</v>
      </c>
      <c r="K20" s="49" t="n">
        <v>13.02</v>
      </c>
      <c r="L20" s="49" t="n">
        <v>260.4</v>
      </c>
      <c r="M20" s="55" t="n">
        <v>390.6</v>
      </c>
      <c r="N20" s="56" t="n">
        <v>40</v>
      </c>
      <c r="O20" s="57" t="n">
        <v>48.68</v>
      </c>
      <c r="P20" s="44" t="n">
        <v>1200</v>
      </c>
      <c r="Q20" s="58" t="n">
        <v>1460.4</v>
      </c>
      <c r="R20" s="44"/>
      <c r="S20" s="59" t="n">
        <v>260.4</v>
      </c>
      <c r="T20" s="60" t="n">
        <v>390.6</v>
      </c>
    </row>
    <row r="21" customFormat="false" ht="12.75" hidden="false" customHeight="false" outlineLevel="0" collapsed="false">
      <c r="A21" s="47" t="n">
        <v>37021</v>
      </c>
      <c r="B21" s="12" t="n">
        <v>15</v>
      </c>
      <c r="C21" s="48" t="n">
        <v>30</v>
      </c>
      <c r="D21" s="60" t="n">
        <v>40</v>
      </c>
      <c r="E21" s="50" t="n">
        <v>4.38</v>
      </c>
      <c r="F21" s="50" t="n">
        <v>4.38</v>
      </c>
      <c r="G21" s="51" t="n">
        <v>61.7</v>
      </c>
      <c r="H21" s="52" t="n">
        <v>21.7</v>
      </c>
      <c r="I21" s="53" t="n">
        <v>651</v>
      </c>
      <c r="J21" s="54" t="n">
        <v>8.68</v>
      </c>
      <c r="K21" s="49" t="n">
        <v>13.02</v>
      </c>
      <c r="L21" s="49" t="n">
        <v>260.4</v>
      </c>
      <c r="M21" s="55" t="n">
        <v>390.6</v>
      </c>
      <c r="N21" s="56" t="n">
        <v>40</v>
      </c>
      <c r="O21" s="57" t="n">
        <v>48.68</v>
      </c>
      <c r="P21" s="44" t="n">
        <v>1200</v>
      </c>
      <c r="Q21" s="58" t="n">
        <v>1460.4</v>
      </c>
      <c r="R21" s="44"/>
      <c r="S21" s="59" t="n">
        <v>260.4</v>
      </c>
      <c r="T21" s="60" t="n">
        <v>390.6</v>
      </c>
    </row>
    <row r="22" customFormat="false" ht="12.75" hidden="false" customHeight="false" outlineLevel="0" collapsed="false">
      <c r="A22" s="47" t="n">
        <v>37021</v>
      </c>
      <c r="B22" s="12" t="n">
        <v>16</v>
      </c>
      <c r="C22" s="48" t="n">
        <v>30</v>
      </c>
      <c r="D22" s="60" t="n">
        <v>40</v>
      </c>
      <c r="E22" s="50" t="n">
        <v>4.38</v>
      </c>
      <c r="F22" s="50" t="n">
        <v>4.38</v>
      </c>
      <c r="G22" s="51" t="n">
        <v>61.7</v>
      </c>
      <c r="H22" s="52" t="n">
        <v>21.7</v>
      </c>
      <c r="I22" s="53" t="n">
        <v>651</v>
      </c>
      <c r="J22" s="54" t="n">
        <v>8.68</v>
      </c>
      <c r="K22" s="49" t="n">
        <v>13.02</v>
      </c>
      <c r="L22" s="49" t="n">
        <v>260.4</v>
      </c>
      <c r="M22" s="55" t="n">
        <v>390.6</v>
      </c>
      <c r="N22" s="56" t="n">
        <v>40</v>
      </c>
      <c r="O22" s="57" t="n">
        <v>48.68</v>
      </c>
      <c r="P22" s="44" t="n">
        <v>1200</v>
      </c>
      <c r="Q22" s="58" t="n">
        <v>1460.4</v>
      </c>
      <c r="R22" s="44"/>
      <c r="S22" s="59" t="n">
        <v>260.4</v>
      </c>
      <c r="T22" s="60" t="n">
        <v>390.6</v>
      </c>
    </row>
    <row r="23" customFormat="false" ht="12.75" hidden="false" customHeight="false" outlineLevel="0" collapsed="false">
      <c r="A23" s="47" t="n">
        <v>37021</v>
      </c>
      <c r="B23" s="12" t="n">
        <v>17</v>
      </c>
      <c r="C23" s="48" t="n">
        <v>30</v>
      </c>
      <c r="D23" s="60" t="n">
        <v>40</v>
      </c>
      <c r="E23" s="50" t="n">
        <v>4.38</v>
      </c>
      <c r="F23" s="50" t="n">
        <v>4.38</v>
      </c>
      <c r="G23" s="51" t="n">
        <v>61.7</v>
      </c>
      <c r="H23" s="52" t="n">
        <v>21.7</v>
      </c>
      <c r="I23" s="53" t="n">
        <v>651</v>
      </c>
      <c r="J23" s="54" t="n">
        <v>8.68</v>
      </c>
      <c r="K23" s="49" t="n">
        <v>13.02</v>
      </c>
      <c r="L23" s="49" t="n">
        <v>260.4</v>
      </c>
      <c r="M23" s="55" t="n">
        <v>390.6</v>
      </c>
      <c r="N23" s="56" t="n">
        <v>40</v>
      </c>
      <c r="O23" s="57" t="n">
        <v>48.68</v>
      </c>
      <c r="P23" s="44" t="n">
        <v>1200</v>
      </c>
      <c r="Q23" s="58" t="n">
        <v>1460.4</v>
      </c>
      <c r="R23" s="44"/>
      <c r="S23" s="59" t="n">
        <v>260.4</v>
      </c>
      <c r="T23" s="60" t="n">
        <v>390.6</v>
      </c>
    </row>
    <row r="24" customFormat="false" ht="12.75" hidden="false" customHeight="false" outlineLevel="0" collapsed="false">
      <c r="A24" s="47" t="n">
        <v>37021</v>
      </c>
      <c r="B24" s="12" t="n">
        <v>18</v>
      </c>
      <c r="C24" s="48" t="n">
        <v>30</v>
      </c>
      <c r="D24" s="60" t="n">
        <v>40</v>
      </c>
      <c r="E24" s="50" t="n">
        <v>4.38</v>
      </c>
      <c r="F24" s="50" t="n">
        <v>4.38</v>
      </c>
      <c r="G24" s="51" t="n">
        <v>61.7</v>
      </c>
      <c r="H24" s="52" t="n">
        <v>21.7</v>
      </c>
      <c r="I24" s="53" t="n">
        <v>651</v>
      </c>
      <c r="J24" s="54" t="n">
        <v>8.68</v>
      </c>
      <c r="K24" s="49" t="n">
        <v>13.02</v>
      </c>
      <c r="L24" s="49" t="n">
        <v>260.4</v>
      </c>
      <c r="M24" s="55" t="n">
        <v>390.6</v>
      </c>
      <c r="N24" s="56" t="n">
        <v>40</v>
      </c>
      <c r="O24" s="57" t="n">
        <v>48.68</v>
      </c>
      <c r="P24" s="44" t="n">
        <v>1200</v>
      </c>
      <c r="Q24" s="58" t="n">
        <v>1460.4</v>
      </c>
      <c r="R24" s="44"/>
      <c r="S24" s="59" t="n">
        <v>260.4</v>
      </c>
      <c r="T24" s="60" t="n">
        <v>390.6</v>
      </c>
    </row>
    <row r="25" customFormat="false" ht="12.75" hidden="false" customHeight="false" outlineLevel="0" collapsed="false">
      <c r="A25" s="47" t="n">
        <v>37021</v>
      </c>
      <c r="B25" s="12" t="n">
        <v>19</v>
      </c>
      <c r="C25" s="48" t="n">
        <v>30</v>
      </c>
      <c r="D25" s="60" t="n">
        <v>40</v>
      </c>
      <c r="E25" s="50" t="n">
        <v>4.38</v>
      </c>
      <c r="F25" s="50" t="n">
        <v>4.38</v>
      </c>
      <c r="G25" s="51" t="n">
        <v>61.7</v>
      </c>
      <c r="H25" s="52" t="n">
        <v>21.7</v>
      </c>
      <c r="I25" s="53" t="n">
        <v>651</v>
      </c>
      <c r="J25" s="54" t="n">
        <v>8.68</v>
      </c>
      <c r="K25" s="49" t="n">
        <v>13.02</v>
      </c>
      <c r="L25" s="49" t="n">
        <v>260.4</v>
      </c>
      <c r="M25" s="55" t="n">
        <v>390.6</v>
      </c>
      <c r="N25" s="56" t="n">
        <v>40</v>
      </c>
      <c r="O25" s="57" t="n">
        <v>48.68</v>
      </c>
      <c r="P25" s="44" t="n">
        <v>1200</v>
      </c>
      <c r="Q25" s="58" t="n">
        <v>1460.4</v>
      </c>
      <c r="R25" s="44"/>
      <c r="S25" s="59" t="n">
        <v>260.4</v>
      </c>
      <c r="T25" s="60" t="n">
        <v>390.6</v>
      </c>
    </row>
    <row r="26" customFormat="false" ht="12.75" hidden="false" customHeight="false" outlineLevel="0" collapsed="false">
      <c r="A26" s="47" t="n">
        <v>37021</v>
      </c>
      <c r="B26" s="12" t="n">
        <v>20</v>
      </c>
      <c r="C26" s="48" t="n">
        <v>30</v>
      </c>
      <c r="D26" s="60" t="n">
        <v>40</v>
      </c>
      <c r="E26" s="50" t="n">
        <v>4.38</v>
      </c>
      <c r="F26" s="50" t="n">
        <v>4.38</v>
      </c>
      <c r="G26" s="51" t="n">
        <v>61.7</v>
      </c>
      <c r="H26" s="52" t="n">
        <v>21.7</v>
      </c>
      <c r="I26" s="53" t="n">
        <v>651</v>
      </c>
      <c r="J26" s="54" t="n">
        <v>8.68</v>
      </c>
      <c r="K26" s="49" t="n">
        <v>13.02</v>
      </c>
      <c r="L26" s="49" t="n">
        <v>260.4</v>
      </c>
      <c r="M26" s="55" t="n">
        <v>390.6</v>
      </c>
      <c r="N26" s="56" t="n">
        <v>40</v>
      </c>
      <c r="O26" s="57" t="n">
        <v>48.68</v>
      </c>
      <c r="P26" s="44" t="n">
        <v>1200</v>
      </c>
      <c r="Q26" s="58" t="n">
        <v>1460.4</v>
      </c>
      <c r="R26" s="44"/>
      <c r="S26" s="59" t="n">
        <v>260.4</v>
      </c>
      <c r="T26" s="60" t="n">
        <v>390.6</v>
      </c>
    </row>
    <row r="27" customFormat="false" ht="12.75" hidden="false" customHeight="false" outlineLevel="0" collapsed="false">
      <c r="A27" s="47" t="n">
        <v>37021</v>
      </c>
      <c r="B27" s="12" t="n">
        <v>21</v>
      </c>
      <c r="C27" s="48" t="n">
        <v>30</v>
      </c>
      <c r="D27" s="60" t="n">
        <v>40</v>
      </c>
      <c r="E27" s="50" t="n">
        <v>4.38</v>
      </c>
      <c r="F27" s="50" t="n">
        <v>4.38</v>
      </c>
      <c r="G27" s="51" t="n">
        <v>61.7</v>
      </c>
      <c r="H27" s="52" t="n">
        <v>21.7</v>
      </c>
      <c r="I27" s="53" t="n">
        <v>651</v>
      </c>
      <c r="J27" s="54" t="n">
        <v>8.68</v>
      </c>
      <c r="K27" s="49" t="n">
        <v>13.02</v>
      </c>
      <c r="L27" s="49" t="n">
        <v>260.4</v>
      </c>
      <c r="M27" s="55" t="n">
        <v>390.6</v>
      </c>
      <c r="N27" s="56" t="n">
        <v>40</v>
      </c>
      <c r="O27" s="57" t="n">
        <v>48.68</v>
      </c>
      <c r="P27" s="44" t="n">
        <v>1200</v>
      </c>
      <c r="Q27" s="58" t="n">
        <v>1460.4</v>
      </c>
      <c r="R27" s="44"/>
      <c r="S27" s="59" t="n">
        <v>260.4</v>
      </c>
      <c r="T27" s="60" t="n">
        <v>390.6</v>
      </c>
    </row>
    <row r="28" customFormat="false" ht="12.75" hidden="false" customHeight="false" outlineLevel="0" collapsed="false">
      <c r="A28" s="47" t="n">
        <v>37021</v>
      </c>
      <c r="B28" s="12" t="n">
        <v>22</v>
      </c>
      <c r="C28" s="48" t="n">
        <v>30</v>
      </c>
      <c r="D28" s="60" t="n">
        <v>40</v>
      </c>
      <c r="E28" s="50" t="n">
        <v>4.38</v>
      </c>
      <c r="F28" s="50" t="n">
        <v>4.38</v>
      </c>
      <c r="G28" s="51" t="n">
        <v>61.7</v>
      </c>
      <c r="H28" s="52" t="n">
        <v>21.7</v>
      </c>
      <c r="I28" s="53" t="n">
        <v>651</v>
      </c>
      <c r="J28" s="54" t="n">
        <v>8.68</v>
      </c>
      <c r="K28" s="49" t="n">
        <v>13.02</v>
      </c>
      <c r="L28" s="49" t="n">
        <v>260.4</v>
      </c>
      <c r="M28" s="55" t="n">
        <v>390.6</v>
      </c>
      <c r="N28" s="56" t="n">
        <v>40</v>
      </c>
      <c r="O28" s="57" t="n">
        <v>48.68</v>
      </c>
      <c r="P28" s="44" t="n">
        <v>1200</v>
      </c>
      <c r="Q28" s="58" t="n">
        <v>1460.4</v>
      </c>
      <c r="R28" s="44"/>
      <c r="S28" s="59" t="n">
        <v>260.4</v>
      </c>
      <c r="T28" s="60" t="n">
        <v>390.6</v>
      </c>
    </row>
    <row r="29" customFormat="false" ht="12.75" hidden="false" customHeight="false" outlineLevel="0" collapsed="false">
      <c r="A29" s="47" t="n">
        <v>37021</v>
      </c>
      <c r="B29" s="12" t="n">
        <v>23</v>
      </c>
      <c r="C29" s="48" t="n">
        <v>15</v>
      </c>
      <c r="D29" s="60" t="n">
        <v>15</v>
      </c>
      <c r="E29" s="50" t="n">
        <v>4.38</v>
      </c>
      <c r="F29" s="50" t="n">
        <v>4.38</v>
      </c>
      <c r="G29" s="51" t="n">
        <v>61.7</v>
      </c>
      <c r="H29" s="52" t="n">
        <v>46.7</v>
      </c>
      <c r="I29" s="53" t="n">
        <v>700.5</v>
      </c>
      <c r="J29" s="54" t="n">
        <v>1</v>
      </c>
      <c r="K29" s="44" t="n">
        <v>45.7</v>
      </c>
      <c r="L29" s="44" t="n">
        <v>15</v>
      </c>
      <c r="M29" s="55" t="n">
        <v>685.5</v>
      </c>
      <c r="N29" s="56" t="n">
        <v>15</v>
      </c>
      <c r="O29" s="57" t="n">
        <v>16</v>
      </c>
      <c r="P29" s="44" t="n">
        <v>225</v>
      </c>
      <c r="Q29" s="58" t="n">
        <v>240</v>
      </c>
      <c r="R29" s="44"/>
      <c r="S29" s="59" t="n">
        <v>15</v>
      </c>
      <c r="T29" s="60" t="n">
        <v>685.5</v>
      </c>
    </row>
    <row r="30" customFormat="false" ht="12.75" hidden="false" customHeight="false" outlineLevel="0" collapsed="false">
      <c r="A30" s="61" t="n">
        <v>37021</v>
      </c>
      <c r="B30" s="62" t="n">
        <v>24</v>
      </c>
      <c r="C30" s="63" t="n">
        <v>15</v>
      </c>
      <c r="D30" s="76" t="n">
        <v>15</v>
      </c>
      <c r="E30" s="65" t="n">
        <v>4.38</v>
      </c>
      <c r="F30" s="65" t="n">
        <v>4.38</v>
      </c>
      <c r="G30" s="66" t="n">
        <v>61.7</v>
      </c>
      <c r="H30" s="67" t="n">
        <v>46.7</v>
      </c>
      <c r="I30" s="68" t="n">
        <v>700.5</v>
      </c>
      <c r="J30" s="69" t="n">
        <v>1</v>
      </c>
      <c r="K30" s="70" t="n">
        <v>45.7</v>
      </c>
      <c r="L30" s="70" t="n">
        <v>15</v>
      </c>
      <c r="M30" s="71" t="n">
        <v>685.5</v>
      </c>
      <c r="N30" s="72" t="n">
        <v>15</v>
      </c>
      <c r="O30" s="73" t="n">
        <v>16</v>
      </c>
      <c r="P30" s="70" t="n">
        <v>225</v>
      </c>
      <c r="Q30" s="74" t="n">
        <v>240</v>
      </c>
      <c r="R30" s="44"/>
      <c r="S30" s="75" t="n">
        <v>15</v>
      </c>
      <c r="T30" s="76" t="n">
        <v>685.5</v>
      </c>
    </row>
    <row r="31" customFormat="false" ht="4.5" hidden="false" customHeight="true" outlineLevel="0" collapsed="false">
      <c r="E31" s="77"/>
      <c r="F31" s="77"/>
      <c r="G31" s="77"/>
      <c r="I31" s="78"/>
      <c r="Q31" s="2"/>
      <c r="S31" s="2"/>
    </row>
    <row r="32" customFormat="false" ht="12.75" hidden="false" customHeight="false" outlineLevel="0" collapsed="false">
      <c r="K32" s="79"/>
      <c r="L32" s="79"/>
      <c r="M32" s="79"/>
      <c r="N32" s="80"/>
      <c r="O32" s="79"/>
      <c r="P32" s="80"/>
      <c r="Q32" s="81" t="n">
        <v>24691.2</v>
      </c>
      <c r="R32" s="82"/>
      <c r="S32" s="81" t="n">
        <v>4156.2</v>
      </c>
      <c r="T32" s="81" t="n">
        <v>11403.3</v>
      </c>
    </row>
    <row r="33" customFormat="false" ht="12.75" hidden="false" customHeight="false" outlineLevel="0" collapsed="false">
      <c r="D33" s="0"/>
      <c r="N33" s="0"/>
      <c r="P33" s="0"/>
      <c r="R33" s="0"/>
      <c r="T33" s="0"/>
    </row>
    <row r="34" customFormat="false" ht="12.75" hidden="true" customHeight="true" outlineLevel="0" collapsed="false">
      <c r="B34" s="0" t="s">
        <v>33</v>
      </c>
      <c r="C34" s="0" t="n">
        <v>217</v>
      </c>
    </row>
    <row r="35" customFormat="false" ht="12.75" hidden="false" customHeight="false" outlineLevel="0" collapsed="false">
      <c r="D35" s="0"/>
      <c r="N35" s="0"/>
      <c r="P35" s="0"/>
      <c r="R35" s="0"/>
      <c r="T35" s="0"/>
    </row>
    <row r="36" customFormat="false" ht="12.75" hidden="false" customHeight="false" outlineLevel="0" collapsed="false">
      <c r="D36" s="0"/>
      <c r="N36" s="0"/>
      <c r="P36" s="0"/>
      <c r="R36" s="0"/>
      <c r="T36" s="0"/>
    </row>
    <row r="37" customFormat="false" ht="12.75" hidden="false" customHeight="false" outlineLevel="0" collapsed="false">
      <c r="A37" s="6"/>
      <c r="B37" s="6"/>
      <c r="C37" s="6"/>
      <c r="D37" s="7"/>
      <c r="E37" s="8" t="s">
        <v>2</v>
      </c>
      <c r="F37" s="8"/>
      <c r="G37" s="8"/>
      <c r="H37" s="9" t="s">
        <v>3</v>
      </c>
      <c r="I37" s="9"/>
      <c r="J37" s="9" t="s">
        <v>4</v>
      </c>
      <c r="K37" s="9"/>
      <c r="L37" s="9"/>
      <c r="M37" s="9"/>
      <c r="N37" s="10" t="s">
        <v>5</v>
      </c>
      <c r="O37" s="10"/>
      <c r="P37" s="10"/>
      <c r="Q37" s="10"/>
      <c r="R37" s="11"/>
      <c r="S37" s="10" t="s">
        <v>6</v>
      </c>
      <c r="T37" s="10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2.75" hidden="false" customHeight="false" outlineLevel="0" collapsed="false">
      <c r="B38" s="85" t="s">
        <v>35</v>
      </c>
      <c r="C38" s="85"/>
      <c r="D38" s="85"/>
      <c r="E38" s="13"/>
      <c r="F38" s="14"/>
      <c r="G38" s="15"/>
      <c r="H38" s="16" t="s">
        <v>7</v>
      </c>
      <c r="I38" s="17" t="s">
        <v>7</v>
      </c>
      <c r="J38" s="16" t="s">
        <v>8</v>
      </c>
      <c r="K38" s="18" t="s">
        <v>9</v>
      </c>
      <c r="L38" s="18" t="s">
        <v>8</v>
      </c>
      <c r="M38" s="17" t="s">
        <v>9</v>
      </c>
      <c r="N38" s="19" t="s">
        <v>10</v>
      </c>
      <c r="O38" s="19"/>
      <c r="P38" s="19" t="s">
        <v>11</v>
      </c>
      <c r="Q38" s="19"/>
      <c r="R38" s="11"/>
      <c r="S38" s="20"/>
      <c r="T38" s="21"/>
    </row>
    <row r="39" customFormat="false" ht="12.75" hidden="false" customHeight="false" outlineLevel="0" collapsed="false">
      <c r="E39" s="16" t="s">
        <v>12</v>
      </c>
      <c r="F39" s="18" t="s">
        <v>12</v>
      </c>
      <c r="G39" s="17" t="s">
        <v>13</v>
      </c>
      <c r="H39" s="16" t="s">
        <v>14</v>
      </c>
      <c r="I39" s="17" t="s">
        <v>14</v>
      </c>
      <c r="J39" s="22" t="s">
        <v>15</v>
      </c>
      <c r="K39" s="18" t="s">
        <v>16</v>
      </c>
      <c r="L39" s="18" t="s">
        <v>17</v>
      </c>
      <c r="M39" s="17" t="s">
        <v>18</v>
      </c>
      <c r="N39" s="23"/>
      <c r="O39" s="15"/>
      <c r="P39" s="22"/>
      <c r="Q39" s="24" t="s">
        <v>19</v>
      </c>
      <c r="R39" s="11"/>
      <c r="S39" s="16" t="s">
        <v>20</v>
      </c>
      <c r="T39" s="25" t="s">
        <v>21</v>
      </c>
    </row>
    <row r="40" customFormat="false" ht="12.75" hidden="false" customHeight="false" outlineLevel="0" collapsed="false">
      <c r="A40" s="26" t="s">
        <v>22</v>
      </c>
      <c r="B40" s="27" t="s">
        <v>23</v>
      </c>
      <c r="C40" s="27" t="s">
        <v>24</v>
      </c>
      <c r="D40" s="28" t="s">
        <v>25</v>
      </c>
      <c r="E40" s="22" t="s">
        <v>26</v>
      </c>
      <c r="F40" s="5" t="s">
        <v>27</v>
      </c>
      <c r="G40" s="25" t="s">
        <v>28</v>
      </c>
      <c r="H40" s="22" t="s">
        <v>29</v>
      </c>
      <c r="I40" s="25" t="s">
        <v>30</v>
      </c>
      <c r="J40" s="22" t="s">
        <v>10</v>
      </c>
      <c r="K40" s="5" t="s">
        <v>10</v>
      </c>
      <c r="L40" s="5" t="s">
        <v>30</v>
      </c>
      <c r="M40" s="25" t="s">
        <v>30</v>
      </c>
      <c r="N40" s="22" t="s">
        <v>20</v>
      </c>
      <c r="O40" s="25" t="s">
        <v>21</v>
      </c>
      <c r="P40" s="22" t="s">
        <v>20</v>
      </c>
      <c r="Q40" s="29" t="s">
        <v>21</v>
      </c>
      <c r="R40" s="5"/>
      <c r="S40" s="22" t="s">
        <v>31</v>
      </c>
      <c r="T40" s="25" t="s">
        <v>32</v>
      </c>
      <c r="U40" s="30"/>
      <c r="V40" s="30"/>
    </row>
    <row r="41" customFormat="false" ht="12.75" hidden="false" customHeight="false" outlineLevel="0" collapsed="false">
      <c r="A41" s="31" t="n">
        <v>37021</v>
      </c>
      <c r="B41" s="32" t="n">
        <v>1</v>
      </c>
      <c r="C41" s="33" t="n">
        <v>10</v>
      </c>
      <c r="D41" s="34" t="n">
        <v>19</v>
      </c>
      <c r="E41" s="35" t="n">
        <v>4.38</v>
      </c>
      <c r="F41" s="35" t="n">
        <v>4.38</v>
      </c>
      <c r="G41" s="36" t="n">
        <v>61.7</v>
      </c>
      <c r="H41" s="37" t="n">
        <v>42.7</v>
      </c>
      <c r="I41" s="38" t="n">
        <v>427</v>
      </c>
      <c r="J41" s="39" t="n">
        <v>1</v>
      </c>
      <c r="K41" s="40" t="n">
        <v>41.7</v>
      </c>
      <c r="L41" s="40" t="n">
        <v>10</v>
      </c>
      <c r="M41" s="21" t="n">
        <v>417</v>
      </c>
      <c r="N41" s="41" t="n">
        <v>19</v>
      </c>
      <c r="O41" s="42" t="n">
        <v>20</v>
      </c>
      <c r="P41" s="40" t="n">
        <v>190</v>
      </c>
      <c r="Q41" s="43" t="n">
        <v>200</v>
      </c>
      <c r="R41" s="44"/>
      <c r="S41" s="45" t="n">
        <v>10</v>
      </c>
      <c r="T41" s="46" t="n">
        <v>417</v>
      </c>
    </row>
    <row r="42" customFormat="false" ht="12.75" hidden="false" customHeight="false" outlineLevel="0" collapsed="false">
      <c r="A42" s="47" t="n">
        <v>37021</v>
      </c>
      <c r="B42" s="12" t="n">
        <v>2</v>
      </c>
      <c r="C42" s="48" t="n">
        <v>6</v>
      </c>
      <c r="D42" s="49" t="n">
        <v>19</v>
      </c>
      <c r="E42" s="50" t="n">
        <v>4.38</v>
      </c>
      <c r="F42" s="50" t="n">
        <v>4.38</v>
      </c>
      <c r="G42" s="51" t="n">
        <v>61.7</v>
      </c>
      <c r="H42" s="52" t="n">
        <v>42.7</v>
      </c>
      <c r="I42" s="53" t="n">
        <v>256.2</v>
      </c>
      <c r="J42" s="54" t="n">
        <v>1</v>
      </c>
      <c r="K42" s="44" t="n">
        <v>41.7</v>
      </c>
      <c r="L42" s="44" t="n">
        <v>6</v>
      </c>
      <c r="M42" s="55" t="n">
        <v>250.2</v>
      </c>
      <c r="N42" s="56" t="n">
        <v>19</v>
      </c>
      <c r="O42" s="57" t="n">
        <v>20</v>
      </c>
      <c r="P42" s="44" t="n">
        <v>114</v>
      </c>
      <c r="Q42" s="58" t="n">
        <v>120</v>
      </c>
      <c r="R42" s="44"/>
      <c r="S42" s="59" t="n">
        <v>6</v>
      </c>
      <c r="T42" s="60" t="n">
        <v>250.2</v>
      </c>
    </row>
    <row r="43" customFormat="false" ht="12.75" hidden="false" customHeight="false" outlineLevel="0" collapsed="false">
      <c r="A43" s="47" t="n">
        <v>37021</v>
      </c>
      <c r="B43" s="12" t="n">
        <v>3</v>
      </c>
      <c r="C43" s="48" t="n">
        <v>4</v>
      </c>
      <c r="D43" s="49" t="n">
        <v>17</v>
      </c>
      <c r="E43" s="50" t="n">
        <v>4.38</v>
      </c>
      <c r="F43" s="50" t="n">
        <v>4.38</v>
      </c>
      <c r="G43" s="51" t="n">
        <v>61.7</v>
      </c>
      <c r="H43" s="52" t="n">
        <v>44.7</v>
      </c>
      <c r="I43" s="53" t="n">
        <v>178.8</v>
      </c>
      <c r="J43" s="54" t="n">
        <v>1</v>
      </c>
      <c r="K43" s="44" t="n">
        <v>43.7</v>
      </c>
      <c r="L43" s="44" t="n">
        <v>4</v>
      </c>
      <c r="M43" s="55" t="n">
        <v>174.8</v>
      </c>
      <c r="N43" s="56" t="n">
        <v>17</v>
      </c>
      <c r="O43" s="57" t="n">
        <v>18</v>
      </c>
      <c r="P43" s="44" t="n">
        <v>68</v>
      </c>
      <c r="Q43" s="58" t="n">
        <v>72</v>
      </c>
      <c r="R43" s="44"/>
      <c r="S43" s="59" t="n">
        <v>4</v>
      </c>
      <c r="T43" s="60" t="n">
        <v>174.8</v>
      </c>
    </row>
    <row r="44" customFormat="false" ht="12.75" hidden="false" customHeight="false" outlineLevel="0" collapsed="false">
      <c r="A44" s="47" t="n">
        <v>37021</v>
      </c>
      <c r="B44" s="12" t="n">
        <v>4</v>
      </c>
      <c r="C44" s="48" t="n">
        <v>4</v>
      </c>
      <c r="D44" s="49" t="n">
        <v>17</v>
      </c>
      <c r="E44" s="50" t="n">
        <v>4.38</v>
      </c>
      <c r="F44" s="50" t="n">
        <v>4.38</v>
      </c>
      <c r="G44" s="51" t="n">
        <v>61.7</v>
      </c>
      <c r="H44" s="52" t="n">
        <v>44.7</v>
      </c>
      <c r="I44" s="53" t="n">
        <v>178.8</v>
      </c>
      <c r="J44" s="54" t="n">
        <v>1</v>
      </c>
      <c r="K44" s="44" t="n">
        <v>43.7</v>
      </c>
      <c r="L44" s="44" t="n">
        <v>4</v>
      </c>
      <c r="M44" s="55" t="n">
        <v>174.8</v>
      </c>
      <c r="N44" s="56" t="n">
        <v>17</v>
      </c>
      <c r="O44" s="57" t="n">
        <v>18</v>
      </c>
      <c r="P44" s="44" t="n">
        <v>68</v>
      </c>
      <c r="Q44" s="58" t="n">
        <v>72</v>
      </c>
      <c r="R44" s="44"/>
      <c r="S44" s="59" t="n">
        <v>4</v>
      </c>
      <c r="T44" s="60" t="n">
        <v>174.8</v>
      </c>
    </row>
    <row r="45" customFormat="false" ht="12.75" hidden="false" customHeight="false" outlineLevel="0" collapsed="false">
      <c r="A45" s="47" t="n">
        <v>37021</v>
      </c>
      <c r="B45" s="12" t="n">
        <v>5</v>
      </c>
      <c r="C45" s="48" t="n">
        <v>4</v>
      </c>
      <c r="D45" s="49" t="n">
        <v>17</v>
      </c>
      <c r="E45" s="50" t="n">
        <v>4.38</v>
      </c>
      <c r="F45" s="50" t="n">
        <v>4.38</v>
      </c>
      <c r="G45" s="51" t="n">
        <v>61.7</v>
      </c>
      <c r="H45" s="52" t="n">
        <v>44.7</v>
      </c>
      <c r="I45" s="53" t="n">
        <v>178.8</v>
      </c>
      <c r="J45" s="54" t="n">
        <v>1</v>
      </c>
      <c r="K45" s="44" t="n">
        <v>43.7</v>
      </c>
      <c r="L45" s="44" t="n">
        <v>4</v>
      </c>
      <c r="M45" s="55" t="n">
        <v>174.8</v>
      </c>
      <c r="N45" s="56" t="n">
        <v>17</v>
      </c>
      <c r="O45" s="57" t="n">
        <v>18</v>
      </c>
      <c r="P45" s="44" t="n">
        <v>68</v>
      </c>
      <c r="Q45" s="58" t="n">
        <v>72</v>
      </c>
      <c r="R45" s="44"/>
      <c r="S45" s="59" t="n">
        <v>4</v>
      </c>
      <c r="T45" s="60" t="n">
        <v>174.8</v>
      </c>
    </row>
    <row r="46" customFormat="false" ht="12.75" hidden="false" customHeight="false" outlineLevel="0" collapsed="false">
      <c r="A46" s="47" t="n">
        <v>37021</v>
      </c>
      <c r="B46" s="12" t="n">
        <v>6</v>
      </c>
      <c r="C46" s="48" t="n">
        <v>4</v>
      </c>
      <c r="D46" s="49" t="n">
        <v>17</v>
      </c>
      <c r="E46" s="50" t="n">
        <v>4.38</v>
      </c>
      <c r="F46" s="50" t="n">
        <v>4.38</v>
      </c>
      <c r="G46" s="51" t="n">
        <v>61.7</v>
      </c>
      <c r="H46" s="52" t="n">
        <v>44.7</v>
      </c>
      <c r="I46" s="53" t="n">
        <v>178.8</v>
      </c>
      <c r="J46" s="54" t="n">
        <v>1</v>
      </c>
      <c r="K46" s="44" t="n">
        <v>43.7</v>
      </c>
      <c r="L46" s="44" t="n">
        <v>4</v>
      </c>
      <c r="M46" s="55" t="n">
        <v>174.8</v>
      </c>
      <c r="N46" s="56" t="n">
        <v>17</v>
      </c>
      <c r="O46" s="57" t="n">
        <v>18</v>
      </c>
      <c r="P46" s="44" t="n">
        <v>68</v>
      </c>
      <c r="Q46" s="58" t="n">
        <v>72</v>
      </c>
      <c r="R46" s="44"/>
      <c r="S46" s="59" t="n">
        <v>4</v>
      </c>
      <c r="T46" s="60" t="n">
        <v>174.8</v>
      </c>
    </row>
    <row r="47" customFormat="false" ht="12.75" hidden="false" customHeight="false" outlineLevel="0" collapsed="false">
      <c r="A47" s="47" t="n">
        <v>37021</v>
      </c>
      <c r="B47" s="12" t="n">
        <v>7</v>
      </c>
      <c r="C47" s="48" t="n">
        <v>3</v>
      </c>
      <c r="D47" s="49" t="n">
        <v>24</v>
      </c>
      <c r="E47" s="50" t="n">
        <v>4.38</v>
      </c>
      <c r="F47" s="50" t="n">
        <v>4.38</v>
      </c>
      <c r="G47" s="51" t="n">
        <v>61.7</v>
      </c>
      <c r="H47" s="52" t="n">
        <v>37.7</v>
      </c>
      <c r="I47" s="53" t="n">
        <v>113.1</v>
      </c>
      <c r="J47" s="54" t="n">
        <v>15.08</v>
      </c>
      <c r="K47" s="49" t="n">
        <v>22.62</v>
      </c>
      <c r="L47" s="49" t="n">
        <v>45.24</v>
      </c>
      <c r="M47" s="55" t="n">
        <v>67.86</v>
      </c>
      <c r="N47" s="56" t="n">
        <v>24</v>
      </c>
      <c r="O47" s="57" t="n">
        <v>39.08</v>
      </c>
      <c r="P47" s="44" t="n">
        <v>72</v>
      </c>
      <c r="Q47" s="58" t="n">
        <v>117.24</v>
      </c>
      <c r="R47" s="44"/>
      <c r="S47" s="59" t="n">
        <v>45.24</v>
      </c>
      <c r="T47" s="60" t="n">
        <v>67.86</v>
      </c>
    </row>
    <row r="48" customFormat="false" ht="12.75" hidden="false" customHeight="false" outlineLevel="0" collapsed="false">
      <c r="A48" s="47" t="n">
        <v>37021</v>
      </c>
      <c r="B48" s="12" t="n">
        <v>8</v>
      </c>
      <c r="C48" s="48" t="n">
        <v>0</v>
      </c>
      <c r="D48" s="49" t="n">
        <v>0</v>
      </c>
      <c r="E48" s="50" t="n">
        <v>4.38</v>
      </c>
      <c r="F48" s="50" t="n">
        <v>4.38</v>
      </c>
      <c r="G48" s="51" t="n">
        <v>61.7</v>
      </c>
      <c r="H48" s="52"/>
      <c r="I48" s="53"/>
      <c r="J48" s="54"/>
      <c r="K48" s="49"/>
      <c r="L48" s="49"/>
      <c r="M48" s="55"/>
      <c r="N48" s="56"/>
      <c r="O48" s="57"/>
      <c r="P48" s="44"/>
      <c r="Q48" s="58"/>
      <c r="R48" s="44"/>
      <c r="S48" s="59"/>
      <c r="T48" s="60"/>
    </row>
    <row r="49" customFormat="false" ht="12.75" hidden="false" customHeight="false" outlineLevel="0" collapsed="false">
      <c r="A49" s="47" t="n">
        <v>37021</v>
      </c>
      <c r="B49" s="12" t="n">
        <v>9</v>
      </c>
      <c r="C49" s="48" t="n">
        <v>0</v>
      </c>
      <c r="D49" s="49" t="n">
        <v>0</v>
      </c>
      <c r="E49" s="50" t="n">
        <v>4.38</v>
      </c>
      <c r="F49" s="50" t="n">
        <v>4.38</v>
      </c>
      <c r="G49" s="51" t="n">
        <v>61.7</v>
      </c>
      <c r="H49" s="52"/>
      <c r="I49" s="53"/>
      <c r="J49" s="54"/>
      <c r="K49" s="49"/>
      <c r="L49" s="49"/>
      <c r="M49" s="55"/>
      <c r="N49" s="56"/>
      <c r="O49" s="57"/>
      <c r="P49" s="44"/>
      <c r="Q49" s="58"/>
      <c r="R49" s="44"/>
      <c r="S49" s="59"/>
      <c r="T49" s="60"/>
    </row>
    <row r="50" customFormat="false" ht="12.75" hidden="false" customHeight="false" outlineLevel="0" collapsed="false">
      <c r="A50" s="47" t="n">
        <v>37021</v>
      </c>
      <c r="B50" s="12" t="n">
        <v>10</v>
      </c>
      <c r="C50" s="48" t="n">
        <v>0</v>
      </c>
      <c r="D50" s="49" t="n">
        <v>0</v>
      </c>
      <c r="E50" s="50" t="n">
        <v>4.38</v>
      </c>
      <c r="F50" s="50" t="n">
        <v>4.38</v>
      </c>
      <c r="G50" s="51" t="n">
        <v>61.7</v>
      </c>
      <c r="H50" s="52"/>
      <c r="I50" s="53"/>
      <c r="J50" s="54"/>
      <c r="K50" s="49"/>
      <c r="L50" s="49"/>
      <c r="M50" s="55"/>
      <c r="N50" s="56"/>
      <c r="O50" s="57"/>
      <c r="P50" s="44"/>
      <c r="Q50" s="58"/>
      <c r="R50" s="44"/>
      <c r="S50" s="59"/>
      <c r="T50" s="60"/>
    </row>
    <row r="51" customFormat="false" ht="12.75" hidden="false" customHeight="false" outlineLevel="0" collapsed="false">
      <c r="A51" s="47" t="n">
        <v>37021</v>
      </c>
      <c r="B51" s="12" t="n">
        <v>11</v>
      </c>
      <c r="C51" s="48" t="n">
        <v>0</v>
      </c>
      <c r="D51" s="49" t="n">
        <v>0</v>
      </c>
      <c r="E51" s="50" t="n">
        <v>4.38</v>
      </c>
      <c r="F51" s="50" t="n">
        <v>4.38</v>
      </c>
      <c r="G51" s="51" t="n">
        <v>61.7</v>
      </c>
      <c r="H51" s="52"/>
      <c r="I51" s="53"/>
      <c r="J51" s="54"/>
      <c r="K51" s="49"/>
      <c r="L51" s="49"/>
      <c r="M51" s="55"/>
      <c r="N51" s="56"/>
      <c r="O51" s="57"/>
      <c r="P51" s="44"/>
      <c r="Q51" s="58"/>
      <c r="R51" s="44"/>
      <c r="S51" s="59"/>
      <c r="T51" s="60"/>
    </row>
    <row r="52" customFormat="false" ht="12.75" hidden="false" customHeight="false" outlineLevel="0" collapsed="false">
      <c r="A52" s="47" t="n">
        <v>37021</v>
      </c>
      <c r="B52" s="12" t="n">
        <v>12</v>
      </c>
      <c r="C52" s="48" t="n">
        <v>0</v>
      </c>
      <c r="D52" s="49" t="n">
        <v>0</v>
      </c>
      <c r="E52" s="50" t="n">
        <v>4.38</v>
      </c>
      <c r="F52" s="50" t="n">
        <v>4.38</v>
      </c>
      <c r="G52" s="51" t="n">
        <v>61.7</v>
      </c>
      <c r="H52" s="52"/>
      <c r="I52" s="53"/>
      <c r="J52" s="54"/>
      <c r="K52" s="49"/>
      <c r="L52" s="49"/>
      <c r="M52" s="55"/>
      <c r="N52" s="56"/>
      <c r="O52" s="57"/>
      <c r="P52" s="44"/>
      <c r="Q52" s="58"/>
      <c r="R52" s="44"/>
      <c r="S52" s="59"/>
      <c r="T52" s="60"/>
    </row>
    <row r="53" customFormat="false" ht="12.75" hidden="false" customHeight="false" outlineLevel="0" collapsed="false">
      <c r="A53" s="47" t="n">
        <v>37021</v>
      </c>
      <c r="B53" s="12" t="n">
        <v>13</v>
      </c>
      <c r="C53" s="48" t="n">
        <v>5</v>
      </c>
      <c r="D53" s="49" t="n">
        <v>50</v>
      </c>
      <c r="E53" s="50" t="n">
        <v>4.38</v>
      </c>
      <c r="F53" s="50" t="n">
        <v>4.38</v>
      </c>
      <c r="G53" s="51" t="n">
        <v>61.7</v>
      </c>
      <c r="H53" s="52" t="n">
        <v>11.7</v>
      </c>
      <c r="I53" s="53" t="n">
        <v>58.5</v>
      </c>
      <c r="J53" s="54" t="n">
        <v>4.68</v>
      </c>
      <c r="K53" s="49" t="n">
        <v>7.02</v>
      </c>
      <c r="L53" s="49" t="n">
        <v>23.4</v>
      </c>
      <c r="M53" s="55" t="n">
        <v>35.1</v>
      </c>
      <c r="N53" s="56" t="n">
        <v>50</v>
      </c>
      <c r="O53" s="57" t="n">
        <v>54.68</v>
      </c>
      <c r="P53" s="44" t="n">
        <v>250</v>
      </c>
      <c r="Q53" s="58" t="n">
        <v>273.4</v>
      </c>
      <c r="R53" s="44"/>
      <c r="S53" s="59" t="n">
        <v>23.4</v>
      </c>
      <c r="T53" s="60" t="n">
        <v>35.1</v>
      </c>
    </row>
    <row r="54" customFormat="false" ht="12.75" hidden="false" customHeight="false" outlineLevel="0" collapsed="false">
      <c r="A54" s="47" t="n">
        <v>37021</v>
      </c>
      <c r="B54" s="12" t="n">
        <v>14</v>
      </c>
      <c r="C54" s="48" t="n">
        <v>5</v>
      </c>
      <c r="D54" s="49" t="n">
        <v>45</v>
      </c>
      <c r="E54" s="50" t="n">
        <v>4.38</v>
      </c>
      <c r="F54" s="50" t="n">
        <v>4.38</v>
      </c>
      <c r="G54" s="51" t="n">
        <v>61.7</v>
      </c>
      <c r="H54" s="52" t="n">
        <v>16.7</v>
      </c>
      <c r="I54" s="53" t="n">
        <v>83.5</v>
      </c>
      <c r="J54" s="54" t="n">
        <v>6.68</v>
      </c>
      <c r="K54" s="49" t="n">
        <v>10.02</v>
      </c>
      <c r="L54" s="49" t="n">
        <v>33.4</v>
      </c>
      <c r="M54" s="55" t="n">
        <v>50.1</v>
      </c>
      <c r="N54" s="56" t="n">
        <v>45</v>
      </c>
      <c r="O54" s="57" t="n">
        <v>51.68</v>
      </c>
      <c r="P54" s="44" t="n">
        <v>225</v>
      </c>
      <c r="Q54" s="58" t="n">
        <v>258.4</v>
      </c>
      <c r="R54" s="44"/>
      <c r="S54" s="59" t="n">
        <v>33.4</v>
      </c>
      <c r="T54" s="60" t="n">
        <v>50.1</v>
      </c>
    </row>
    <row r="55" customFormat="false" ht="12.75" hidden="false" customHeight="false" outlineLevel="0" collapsed="false">
      <c r="A55" s="47" t="n">
        <v>37021</v>
      </c>
      <c r="B55" s="12" t="n">
        <v>15</v>
      </c>
      <c r="C55" s="48" t="n">
        <v>5</v>
      </c>
      <c r="D55" s="49" t="n">
        <v>45</v>
      </c>
      <c r="E55" s="50" t="n">
        <v>4.38</v>
      </c>
      <c r="F55" s="50" t="n">
        <v>4.38</v>
      </c>
      <c r="G55" s="51" t="n">
        <v>61.7</v>
      </c>
      <c r="H55" s="52" t="n">
        <v>16.7</v>
      </c>
      <c r="I55" s="53" t="n">
        <v>83.5</v>
      </c>
      <c r="J55" s="54" t="n">
        <v>6.68</v>
      </c>
      <c r="K55" s="49" t="n">
        <v>10.02</v>
      </c>
      <c r="L55" s="49" t="n">
        <v>33.4</v>
      </c>
      <c r="M55" s="55" t="n">
        <v>50.1</v>
      </c>
      <c r="N55" s="56" t="n">
        <v>45</v>
      </c>
      <c r="O55" s="57" t="n">
        <v>51.68</v>
      </c>
      <c r="P55" s="44" t="n">
        <v>225</v>
      </c>
      <c r="Q55" s="58" t="n">
        <v>258.4</v>
      </c>
      <c r="R55" s="44"/>
      <c r="S55" s="59" t="n">
        <v>33.4</v>
      </c>
      <c r="T55" s="60" t="n">
        <v>50.1</v>
      </c>
    </row>
    <row r="56" customFormat="false" ht="12.75" hidden="false" customHeight="false" outlineLevel="0" collapsed="false">
      <c r="A56" s="47" t="n">
        <v>37021</v>
      </c>
      <c r="B56" s="12" t="n">
        <v>16</v>
      </c>
      <c r="C56" s="48" t="n">
        <v>5</v>
      </c>
      <c r="D56" s="49" t="n">
        <v>45</v>
      </c>
      <c r="E56" s="50" t="n">
        <v>4.38</v>
      </c>
      <c r="F56" s="50" t="n">
        <v>4.38</v>
      </c>
      <c r="G56" s="51" t="n">
        <v>61.7</v>
      </c>
      <c r="H56" s="52" t="n">
        <v>16.7</v>
      </c>
      <c r="I56" s="53" t="n">
        <v>83.5</v>
      </c>
      <c r="J56" s="54" t="n">
        <v>6.68</v>
      </c>
      <c r="K56" s="49" t="n">
        <v>10.02</v>
      </c>
      <c r="L56" s="49" t="n">
        <v>33.4</v>
      </c>
      <c r="M56" s="55" t="n">
        <v>50.1</v>
      </c>
      <c r="N56" s="56" t="n">
        <v>45</v>
      </c>
      <c r="O56" s="57" t="n">
        <v>51.68</v>
      </c>
      <c r="P56" s="44" t="n">
        <v>225</v>
      </c>
      <c r="Q56" s="58" t="n">
        <v>258.4</v>
      </c>
      <c r="R56" s="44"/>
      <c r="S56" s="59" t="n">
        <v>33.4</v>
      </c>
      <c r="T56" s="60" t="n">
        <v>50.1</v>
      </c>
    </row>
    <row r="57" customFormat="false" ht="12.75" hidden="false" customHeight="false" outlineLevel="0" collapsed="false">
      <c r="A57" s="47" t="n">
        <v>37021</v>
      </c>
      <c r="B57" s="12" t="n">
        <v>17</v>
      </c>
      <c r="C57" s="48" t="n">
        <v>5</v>
      </c>
      <c r="D57" s="49" t="n">
        <v>45</v>
      </c>
      <c r="E57" s="50" t="n">
        <v>4.38</v>
      </c>
      <c r="F57" s="50" t="n">
        <v>4.38</v>
      </c>
      <c r="G57" s="51" t="n">
        <v>61.7</v>
      </c>
      <c r="H57" s="52" t="n">
        <v>16.7</v>
      </c>
      <c r="I57" s="53" t="n">
        <v>83.5</v>
      </c>
      <c r="J57" s="54" t="n">
        <v>6.68</v>
      </c>
      <c r="K57" s="49" t="n">
        <v>10.02</v>
      </c>
      <c r="L57" s="49" t="n">
        <v>33.4</v>
      </c>
      <c r="M57" s="55" t="n">
        <v>50.1</v>
      </c>
      <c r="N57" s="56" t="n">
        <v>45</v>
      </c>
      <c r="O57" s="57" t="n">
        <v>51.68</v>
      </c>
      <c r="P57" s="44" t="n">
        <v>225</v>
      </c>
      <c r="Q57" s="58" t="n">
        <v>258.4</v>
      </c>
      <c r="R57" s="44"/>
      <c r="S57" s="59" t="n">
        <v>33.4</v>
      </c>
      <c r="T57" s="60" t="n">
        <v>50.1</v>
      </c>
    </row>
    <row r="58" customFormat="false" ht="12.75" hidden="false" customHeight="false" outlineLevel="0" collapsed="false">
      <c r="A58" s="47" t="n">
        <v>37021</v>
      </c>
      <c r="B58" s="12" t="n">
        <v>18</v>
      </c>
      <c r="C58" s="48" t="n">
        <v>5</v>
      </c>
      <c r="D58" s="49" t="n">
        <v>45</v>
      </c>
      <c r="E58" s="50" t="n">
        <v>4.38</v>
      </c>
      <c r="F58" s="50" t="n">
        <v>4.38</v>
      </c>
      <c r="G58" s="51" t="n">
        <v>61.7</v>
      </c>
      <c r="H58" s="52" t="n">
        <v>16.7</v>
      </c>
      <c r="I58" s="53" t="n">
        <v>83.5</v>
      </c>
      <c r="J58" s="54" t="n">
        <v>6.68</v>
      </c>
      <c r="K58" s="49" t="n">
        <v>10.02</v>
      </c>
      <c r="L58" s="49" t="n">
        <v>33.4</v>
      </c>
      <c r="M58" s="55" t="n">
        <v>50.1</v>
      </c>
      <c r="N58" s="56" t="n">
        <v>45</v>
      </c>
      <c r="O58" s="57" t="n">
        <v>51.68</v>
      </c>
      <c r="P58" s="44" t="n">
        <v>225</v>
      </c>
      <c r="Q58" s="58" t="n">
        <v>258.4</v>
      </c>
      <c r="R58" s="44"/>
      <c r="S58" s="59" t="n">
        <v>33.4</v>
      </c>
      <c r="T58" s="60" t="n">
        <v>50.1</v>
      </c>
    </row>
    <row r="59" customFormat="false" ht="12.75" hidden="false" customHeight="false" outlineLevel="0" collapsed="false">
      <c r="A59" s="47" t="n">
        <v>37021</v>
      </c>
      <c r="B59" s="12" t="n">
        <v>19</v>
      </c>
      <c r="C59" s="48" t="n">
        <v>0</v>
      </c>
      <c r="D59" s="49" t="n">
        <v>0</v>
      </c>
      <c r="E59" s="50" t="n">
        <v>4.38</v>
      </c>
      <c r="F59" s="50" t="n">
        <v>4.38</v>
      </c>
      <c r="G59" s="51" t="n">
        <v>61.7</v>
      </c>
      <c r="H59" s="52"/>
      <c r="I59" s="53"/>
      <c r="J59" s="54"/>
      <c r="K59" s="49"/>
      <c r="L59" s="49"/>
      <c r="M59" s="55"/>
      <c r="N59" s="56"/>
      <c r="O59" s="57"/>
      <c r="P59" s="44"/>
      <c r="Q59" s="58"/>
      <c r="R59" s="44"/>
      <c r="S59" s="59"/>
      <c r="T59" s="60"/>
    </row>
    <row r="60" customFormat="false" ht="12.75" hidden="false" customHeight="false" outlineLevel="0" collapsed="false">
      <c r="A60" s="47" t="n">
        <v>37021</v>
      </c>
      <c r="B60" s="12" t="n">
        <v>20</v>
      </c>
      <c r="C60" s="48" t="n">
        <v>0</v>
      </c>
      <c r="D60" s="49" t="n">
        <v>0</v>
      </c>
      <c r="E60" s="50" t="n">
        <v>4.38</v>
      </c>
      <c r="F60" s="50" t="n">
        <v>4.38</v>
      </c>
      <c r="G60" s="51" t="n">
        <v>61.7</v>
      </c>
      <c r="H60" s="52"/>
      <c r="I60" s="53"/>
      <c r="J60" s="54"/>
      <c r="K60" s="49"/>
      <c r="L60" s="49"/>
      <c r="M60" s="55"/>
      <c r="N60" s="56"/>
      <c r="O60" s="57"/>
      <c r="P60" s="44"/>
      <c r="Q60" s="58"/>
      <c r="R60" s="44"/>
      <c r="S60" s="59"/>
      <c r="T60" s="60"/>
    </row>
    <row r="61" customFormat="false" ht="12.75" hidden="false" customHeight="false" outlineLevel="0" collapsed="false">
      <c r="A61" s="47" t="n">
        <v>37021</v>
      </c>
      <c r="B61" s="12" t="n">
        <v>21</v>
      </c>
      <c r="C61" s="48" t="n">
        <v>0</v>
      </c>
      <c r="D61" s="49" t="n">
        <v>0</v>
      </c>
      <c r="E61" s="50" t="n">
        <v>4.38</v>
      </c>
      <c r="F61" s="50" t="n">
        <v>4.38</v>
      </c>
      <c r="G61" s="51" t="n">
        <v>61.7</v>
      </c>
      <c r="H61" s="52"/>
      <c r="I61" s="53"/>
      <c r="J61" s="54"/>
      <c r="K61" s="49"/>
      <c r="L61" s="49"/>
      <c r="M61" s="55"/>
      <c r="N61" s="56"/>
      <c r="O61" s="57"/>
      <c r="P61" s="44"/>
      <c r="Q61" s="58"/>
      <c r="R61" s="44"/>
      <c r="S61" s="59"/>
      <c r="T61" s="60"/>
    </row>
    <row r="62" customFormat="false" ht="12.75" hidden="false" customHeight="false" outlineLevel="0" collapsed="false">
      <c r="A62" s="47" t="n">
        <v>37021</v>
      </c>
      <c r="B62" s="12" t="n">
        <v>22</v>
      </c>
      <c r="C62" s="48" t="n">
        <v>0</v>
      </c>
      <c r="D62" s="49" t="n">
        <v>0</v>
      </c>
      <c r="E62" s="50" t="n">
        <v>4.38</v>
      </c>
      <c r="F62" s="50" t="n">
        <v>4.38</v>
      </c>
      <c r="G62" s="51" t="n">
        <v>61.7</v>
      </c>
      <c r="H62" s="52"/>
      <c r="I62" s="53"/>
      <c r="J62" s="54"/>
      <c r="K62" s="49"/>
      <c r="L62" s="49"/>
      <c r="M62" s="55"/>
      <c r="N62" s="56"/>
      <c r="O62" s="57"/>
      <c r="P62" s="44"/>
      <c r="Q62" s="58"/>
      <c r="R62" s="44"/>
      <c r="S62" s="59"/>
      <c r="T62" s="60"/>
    </row>
    <row r="63" customFormat="false" ht="12.75" hidden="false" customHeight="false" outlineLevel="0" collapsed="false">
      <c r="A63" s="47" t="n">
        <v>37021</v>
      </c>
      <c r="B63" s="12" t="n">
        <v>23</v>
      </c>
      <c r="C63" s="48" t="n">
        <v>14</v>
      </c>
      <c r="D63" s="49" t="n">
        <v>36</v>
      </c>
      <c r="E63" s="50" t="n">
        <v>4.38</v>
      </c>
      <c r="F63" s="50" t="n">
        <v>4.38</v>
      </c>
      <c r="G63" s="51" t="n">
        <v>61.7</v>
      </c>
      <c r="H63" s="52" t="n">
        <v>25.7</v>
      </c>
      <c r="I63" s="53" t="n">
        <v>359.8</v>
      </c>
      <c r="J63" s="54" t="n">
        <v>1</v>
      </c>
      <c r="K63" s="44" t="n">
        <v>24.7</v>
      </c>
      <c r="L63" s="44" t="n">
        <v>14</v>
      </c>
      <c r="M63" s="55" t="n">
        <v>345.8</v>
      </c>
      <c r="N63" s="56" t="n">
        <v>36</v>
      </c>
      <c r="O63" s="57" t="n">
        <v>37</v>
      </c>
      <c r="P63" s="44" t="n">
        <v>504</v>
      </c>
      <c r="Q63" s="58" t="n">
        <v>518</v>
      </c>
      <c r="R63" s="44"/>
      <c r="S63" s="59" t="n">
        <v>14</v>
      </c>
      <c r="T63" s="60" t="n">
        <v>345.8</v>
      </c>
    </row>
    <row r="64" customFormat="false" ht="12.75" hidden="false" customHeight="false" outlineLevel="0" collapsed="false">
      <c r="A64" s="61" t="n">
        <v>37021</v>
      </c>
      <c r="B64" s="62" t="n">
        <v>24</v>
      </c>
      <c r="C64" s="63" t="n">
        <v>12</v>
      </c>
      <c r="D64" s="64" t="n">
        <v>25</v>
      </c>
      <c r="E64" s="65" t="n">
        <v>4.38</v>
      </c>
      <c r="F64" s="65" t="n">
        <v>4.38</v>
      </c>
      <c r="G64" s="66" t="n">
        <v>61.7</v>
      </c>
      <c r="H64" s="67" t="n">
        <v>36.7</v>
      </c>
      <c r="I64" s="68" t="n">
        <v>440.4</v>
      </c>
      <c r="J64" s="69" t="n">
        <v>1</v>
      </c>
      <c r="K64" s="70" t="n">
        <v>35.7</v>
      </c>
      <c r="L64" s="70" t="n">
        <v>12</v>
      </c>
      <c r="M64" s="71" t="n">
        <v>428.4</v>
      </c>
      <c r="N64" s="72" t="n">
        <v>25</v>
      </c>
      <c r="O64" s="73" t="n">
        <v>26</v>
      </c>
      <c r="P64" s="70" t="n">
        <v>300</v>
      </c>
      <c r="Q64" s="74" t="n">
        <v>312</v>
      </c>
      <c r="R64" s="44"/>
      <c r="S64" s="75" t="n">
        <v>12</v>
      </c>
      <c r="T64" s="76" t="n">
        <v>428.4</v>
      </c>
    </row>
    <row r="65" customFormat="false" ht="12.75" hidden="false" customHeight="false" outlineLevel="0" collapsed="false">
      <c r="D65" s="0"/>
      <c r="N65" s="0"/>
      <c r="P65" s="0"/>
      <c r="R65" s="0"/>
      <c r="T65" s="0"/>
    </row>
    <row r="66" customFormat="false" ht="12.75" hidden="false" customHeight="false" outlineLevel="0" collapsed="false">
      <c r="Q66" s="78"/>
      <c r="R66" s="0"/>
      <c r="T66" s="0"/>
    </row>
    <row r="67" customFormat="false" ht="12.75" hidden="false" customHeight="false" outlineLevel="0" collapsed="false">
      <c r="D67" s="0"/>
      <c r="N67" s="0"/>
      <c r="P67" s="0"/>
      <c r="R67" s="0"/>
      <c r="T67" s="0"/>
    </row>
    <row r="68" customFormat="false" ht="12.75" hidden="true" customHeight="true" outlineLevel="0" collapsed="false">
      <c r="B68" s="0" t="s">
        <v>33</v>
      </c>
      <c r="C68" s="0" t="n">
        <v>217</v>
      </c>
      <c r="R68" s="0"/>
      <c r="T68" s="0"/>
    </row>
  </sheetData>
  <mergeCells count="18">
    <mergeCell ref="A1:C1"/>
    <mergeCell ref="A2:B2"/>
    <mergeCell ref="E3:G3"/>
    <mergeCell ref="H3:I3"/>
    <mergeCell ref="J3:M3"/>
    <mergeCell ref="N3:Q3"/>
    <mergeCell ref="S3:T3"/>
    <mergeCell ref="B4:D4"/>
    <mergeCell ref="N4:O4"/>
    <mergeCell ref="P4:Q4"/>
    <mergeCell ref="E37:G37"/>
    <mergeCell ref="H37:I37"/>
    <mergeCell ref="J37:M37"/>
    <mergeCell ref="N37:Q37"/>
    <mergeCell ref="S37:T37"/>
    <mergeCell ref="B38:D38"/>
    <mergeCell ref="N38:O38"/>
    <mergeCell ref="P38:Q38"/>
  </mergeCells>
  <conditionalFormatting sqref="K5:K12 H3:H5 E3:G6 I3:I30 J3:J12 L5:M30 J29:K30 K4:N4 A1:C2 D31:G36 I31:M36 N5:N36 P65:IV65536 P4:T36 U1:IV64 K39:K46 H8:H39 A39:D64 E37:G40 I37:I64 J37:J46 J63:K64 K38:N38 D5:D30 L39:N64 A5:C36 H42:H64 A65:N65536 D1:D3 D37 P38:T64">
    <cfRule type="cellIs" priority="2" operator="equal" aboveAverage="0" equalAverage="0" bottom="0" percent="0" rank="0" text="" dxfId="9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9921875" defaultRowHeight="12.75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3" min="3" style="0" width="13.14"/>
    <col collapsed="false" customWidth="true" hidden="false" outlineLevel="0" max="4" min="4" style="1" width="23.99"/>
    <col collapsed="false" customWidth="true" hidden="false" outlineLevel="0" max="7" min="5" style="0" width="14.41"/>
    <col collapsed="false" customWidth="true" hidden="false" outlineLevel="0" max="8" min="8" style="0" width="28.99"/>
    <col collapsed="false" customWidth="true" hidden="false" outlineLevel="0" max="9" min="9" style="0" width="26.56"/>
    <col collapsed="false" customWidth="true" hidden="false" outlineLevel="0" max="10" min="10" style="0" width="17.14"/>
    <col collapsed="false" customWidth="true" hidden="false" outlineLevel="0" max="11" min="11" style="0" width="14.28"/>
    <col collapsed="false" customWidth="true" hidden="false" outlineLevel="0" max="13" min="12" style="0" width="26.56"/>
    <col collapsed="false" customWidth="true" hidden="false" outlineLevel="0" max="14" min="14" style="2" width="15.28"/>
    <col collapsed="false" customWidth="true" hidden="false" outlineLevel="0" max="15" min="15" style="0" width="15.28"/>
    <col collapsed="false" customWidth="true" hidden="false" outlineLevel="0" max="16" min="16" style="2" width="15.28"/>
    <col collapsed="false" customWidth="true" hidden="false" outlineLevel="0" max="17" min="17" style="0" width="17.56"/>
    <col collapsed="false" customWidth="true" hidden="false" outlineLevel="0" max="18" min="18" style="2" width="2.56"/>
    <col collapsed="false" customWidth="true" hidden="false" outlineLevel="0" max="19" min="19" style="0" width="12.42"/>
    <col collapsed="false" customWidth="true" hidden="false" outlineLevel="0" max="20" min="20" style="1" width="14.56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3" t="s">
        <v>1</v>
      </c>
      <c r="B2" s="3"/>
      <c r="C2" s="83" t="n">
        <v>37022</v>
      </c>
      <c r="D2" s="5"/>
    </row>
    <row r="3" customFormat="false" ht="12.75" hidden="false" customHeight="false" outlineLevel="0" collapsed="false">
      <c r="A3" s="6"/>
      <c r="B3" s="6"/>
      <c r="C3" s="84" t="n">
        <v>37022</v>
      </c>
      <c r="D3" s="7"/>
      <c r="E3" s="8" t="s">
        <v>2</v>
      </c>
      <c r="F3" s="8"/>
      <c r="G3" s="8"/>
      <c r="H3" s="9" t="s">
        <v>3</v>
      </c>
      <c r="I3" s="9"/>
      <c r="J3" s="9" t="s">
        <v>4</v>
      </c>
      <c r="K3" s="9"/>
      <c r="L3" s="9"/>
      <c r="M3" s="9"/>
      <c r="N3" s="10" t="s">
        <v>5</v>
      </c>
      <c r="O3" s="10"/>
      <c r="P3" s="10"/>
      <c r="Q3" s="10"/>
      <c r="R3" s="11"/>
      <c r="S3" s="10" t="s">
        <v>6</v>
      </c>
      <c r="T3" s="10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B4" s="85" t="s">
        <v>34</v>
      </c>
      <c r="C4" s="85"/>
      <c r="D4" s="85"/>
      <c r="E4" s="13"/>
      <c r="F4" s="14"/>
      <c r="G4" s="15"/>
      <c r="H4" s="16" t="s">
        <v>7</v>
      </c>
      <c r="I4" s="17" t="s">
        <v>7</v>
      </c>
      <c r="J4" s="16" t="s">
        <v>8</v>
      </c>
      <c r="K4" s="18" t="s">
        <v>9</v>
      </c>
      <c r="L4" s="18" t="s">
        <v>8</v>
      </c>
      <c r="M4" s="17" t="s">
        <v>9</v>
      </c>
      <c r="N4" s="19" t="s">
        <v>10</v>
      </c>
      <c r="O4" s="19"/>
      <c r="P4" s="19" t="s">
        <v>11</v>
      </c>
      <c r="Q4" s="19"/>
      <c r="R4" s="11"/>
      <c r="S4" s="20"/>
      <c r="T4" s="21"/>
    </row>
    <row r="5" customFormat="false" ht="12.75" hidden="false" customHeight="false" outlineLevel="0" collapsed="false">
      <c r="E5" s="16" t="s">
        <v>12</v>
      </c>
      <c r="F5" s="18" t="s">
        <v>12</v>
      </c>
      <c r="G5" s="17" t="s">
        <v>13</v>
      </c>
      <c r="H5" s="16" t="s">
        <v>14</v>
      </c>
      <c r="I5" s="17" t="s">
        <v>14</v>
      </c>
      <c r="J5" s="22" t="s">
        <v>15</v>
      </c>
      <c r="K5" s="18" t="s">
        <v>16</v>
      </c>
      <c r="L5" s="18" t="s">
        <v>17</v>
      </c>
      <c r="M5" s="17" t="s">
        <v>18</v>
      </c>
      <c r="N5" s="23"/>
      <c r="O5" s="15"/>
      <c r="P5" s="22"/>
      <c r="Q5" s="24" t="s">
        <v>19</v>
      </c>
      <c r="R5" s="11"/>
      <c r="S5" s="16" t="s">
        <v>20</v>
      </c>
      <c r="T5" s="25" t="s">
        <v>21</v>
      </c>
    </row>
    <row r="6" customFormat="false" ht="12.75" hidden="false" customHeight="false" outlineLevel="0" collapsed="false">
      <c r="A6" s="26" t="s">
        <v>22</v>
      </c>
      <c r="B6" s="27" t="s">
        <v>23</v>
      </c>
      <c r="C6" s="27" t="s">
        <v>24</v>
      </c>
      <c r="D6" s="28" t="s">
        <v>25</v>
      </c>
      <c r="E6" s="22" t="s">
        <v>26</v>
      </c>
      <c r="F6" s="5" t="s">
        <v>27</v>
      </c>
      <c r="G6" s="25" t="s">
        <v>28</v>
      </c>
      <c r="H6" s="22" t="s">
        <v>29</v>
      </c>
      <c r="I6" s="25" t="s">
        <v>30</v>
      </c>
      <c r="J6" s="22" t="s">
        <v>10</v>
      </c>
      <c r="K6" s="5" t="s">
        <v>10</v>
      </c>
      <c r="L6" s="5" t="s">
        <v>30</v>
      </c>
      <c r="M6" s="25" t="s">
        <v>30</v>
      </c>
      <c r="N6" s="22" t="s">
        <v>20</v>
      </c>
      <c r="O6" s="25" t="s">
        <v>21</v>
      </c>
      <c r="P6" s="22" t="s">
        <v>20</v>
      </c>
      <c r="Q6" s="29" t="s">
        <v>21</v>
      </c>
      <c r="R6" s="5"/>
      <c r="S6" s="22" t="s">
        <v>31</v>
      </c>
      <c r="T6" s="25" t="s">
        <v>32</v>
      </c>
      <c r="U6" s="30"/>
      <c r="V6" s="30"/>
    </row>
    <row r="7" customFormat="false" ht="12.75" hidden="false" customHeight="false" outlineLevel="0" collapsed="false">
      <c r="A7" s="31" t="n">
        <v>37022</v>
      </c>
      <c r="B7" s="32" t="n">
        <v>1</v>
      </c>
      <c r="C7" s="33" t="n">
        <v>15</v>
      </c>
      <c r="D7" s="46" t="n">
        <v>16.5</v>
      </c>
      <c r="E7" s="35" t="n">
        <v>4.32</v>
      </c>
      <c r="F7" s="35" t="n">
        <v>4.32</v>
      </c>
      <c r="G7" s="36" t="n">
        <v>60.22</v>
      </c>
      <c r="H7" s="37" t="n">
        <v>43.72</v>
      </c>
      <c r="I7" s="38" t="n">
        <v>655.8</v>
      </c>
      <c r="J7" s="39" t="n">
        <v>1</v>
      </c>
      <c r="K7" s="40" t="n">
        <v>42.72</v>
      </c>
      <c r="L7" s="40" t="n">
        <v>15</v>
      </c>
      <c r="M7" s="21" t="n">
        <v>640.8</v>
      </c>
      <c r="N7" s="41" t="n">
        <v>16.5</v>
      </c>
      <c r="O7" s="42" t="n">
        <v>17.5</v>
      </c>
      <c r="P7" s="40" t="n">
        <v>247.5</v>
      </c>
      <c r="Q7" s="43" t="n">
        <v>262.5</v>
      </c>
      <c r="R7" s="44"/>
      <c r="S7" s="45" t="n">
        <v>15</v>
      </c>
      <c r="T7" s="46" t="n">
        <v>640.8</v>
      </c>
    </row>
    <row r="8" customFormat="false" ht="12.75" hidden="false" customHeight="false" outlineLevel="0" collapsed="false">
      <c r="A8" s="47" t="n">
        <v>37022</v>
      </c>
      <c r="B8" s="12" t="n">
        <v>2</v>
      </c>
      <c r="C8" s="48" t="n">
        <v>15</v>
      </c>
      <c r="D8" s="60" t="n">
        <v>16.5</v>
      </c>
      <c r="E8" s="50" t="n">
        <v>4.32</v>
      </c>
      <c r="F8" s="50" t="n">
        <v>4.32</v>
      </c>
      <c r="G8" s="51" t="n">
        <v>60.22</v>
      </c>
      <c r="H8" s="52" t="n">
        <v>43.72</v>
      </c>
      <c r="I8" s="53" t="n">
        <v>655.8</v>
      </c>
      <c r="J8" s="54" t="n">
        <v>1</v>
      </c>
      <c r="K8" s="44" t="n">
        <v>42.72</v>
      </c>
      <c r="L8" s="44" t="n">
        <v>15</v>
      </c>
      <c r="M8" s="55" t="n">
        <v>640.8</v>
      </c>
      <c r="N8" s="56" t="n">
        <v>16.5</v>
      </c>
      <c r="O8" s="57" t="n">
        <v>17.5</v>
      </c>
      <c r="P8" s="44" t="n">
        <v>247.5</v>
      </c>
      <c r="Q8" s="58" t="n">
        <v>262.5</v>
      </c>
      <c r="R8" s="44"/>
      <c r="S8" s="59" t="n">
        <v>15</v>
      </c>
      <c r="T8" s="60" t="n">
        <v>640.8</v>
      </c>
    </row>
    <row r="9" customFormat="false" ht="12.75" hidden="false" customHeight="false" outlineLevel="0" collapsed="false">
      <c r="A9" s="47" t="n">
        <v>37022</v>
      </c>
      <c r="B9" s="12" t="n">
        <v>3</v>
      </c>
      <c r="C9" s="48" t="n">
        <v>15</v>
      </c>
      <c r="D9" s="60" t="n">
        <v>16.5</v>
      </c>
      <c r="E9" s="50" t="n">
        <v>4.32</v>
      </c>
      <c r="F9" s="50" t="n">
        <v>4.32</v>
      </c>
      <c r="G9" s="51" t="n">
        <v>60.22</v>
      </c>
      <c r="H9" s="52" t="n">
        <v>43.72</v>
      </c>
      <c r="I9" s="53" t="n">
        <v>655.8</v>
      </c>
      <c r="J9" s="54" t="n">
        <v>1</v>
      </c>
      <c r="K9" s="44" t="n">
        <v>42.72</v>
      </c>
      <c r="L9" s="44" t="n">
        <v>15</v>
      </c>
      <c r="M9" s="55" t="n">
        <v>640.8</v>
      </c>
      <c r="N9" s="56" t="n">
        <v>16.5</v>
      </c>
      <c r="O9" s="57" t="n">
        <v>17.5</v>
      </c>
      <c r="P9" s="44" t="n">
        <v>247.5</v>
      </c>
      <c r="Q9" s="58" t="n">
        <v>262.5</v>
      </c>
      <c r="R9" s="44"/>
      <c r="S9" s="59" t="n">
        <v>15</v>
      </c>
      <c r="T9" s="60" t="n">
        <v>640.8</v>
      </c>
    </row>
    <row r="10" customFormat="false" ht="12.75" hidden="false" customHeight="false" outlineLevel="0" collapsed="false">
      <c r="A10" s="47" t="n">
        <v>37022</v>
      </c>
      <c r="B10" s="12" t="n">
        <v>4</v>
      </c>
      <c r="C10" s="48" t="n">
        <v>15</v>
      </c>
      <c r="D10" s="60" t="n">
        <v>16.5</v>
      </c>
      <c r="E10" s="50" t="n">
        <v>4.32</v>
      </c>
      <c r="F10" s="50" t="n">
        <v>4.32</v>
      </c>
      <c r="G10" s="51" t="n">
        <v>60.22</v>
      </c>
      <c r="H10" s="52" t="n">
        <v>43.72</v>
      </c>
      <c r="I10" s="53" t="n">
        <v>655.8</v>
      </c>
      <c r="J10" s="54" t="n">
        <v>1</v>
      </c>
      <c r="K10" s="44" t="n">
        <v>42.72</v>
      </c>
      <c r="L10" s="44" t="n">
        <v>15</v>
      </c>
      <c r="M10" s="55" t="n">
        <v>640.8</v>
      </c>
      <c r="N10" s="56" t="n">
        <v>16.5</v>
      </c>
      <c r="O10" s="57" t="n">
        <v>17.5</v>
      </c>
      <c r="P10" s="44" t="n">
        <v>247.5</v>
      </c>
      <c r="Q10" s="58" t="n">
        <v>262.5</v>
      </c>
      <c r="R10" s="44"/>
      <c r="S10" s="59" t="n">
        <v>15</v>
      </c>
      <c r="T10" s="60" t="n">
        <v>640.8</v>
      </c>
    </row>
    <row r="11" customFormat="false" ht="12.75" hidden="false" customHeight="false" outlineLevel="0" collapsed="false">
      <c r="A11" s="47" t="n">
        <v>37022</v>
      </c>
      <c r="B11" s="12" t="n">
        <v>5</v>
      </c>
      <c r="C11" s="48" t="n">
        <v>15</v>
      </c>
      <c r="D11" s="60" t="n">
        <v>16.5</v>
      </c>
      <c r="E11" s="50" t="n">
        <v>4.32</v>
      </c>
      <c r="F11" s="50" t="n">
        <v>4.32</v>
      </c>
      <c r="G11" s="51" t="n">
        <v>60.22</v>
      </c>
      <c r="H11" s="52" t="n">
        <v>43.72</v>
      </c>
      <c r="I11" s="53" t="n">
        <v>655.8</v>
      </c>
      <c r="J11" s="54" t="n">
        <v>1</v>
      </c>
      <c r="K11" s="44" t="n">
        <v>42.72</v>
      </c>
      <c r="L11" s="44" t="n">
        <v>15</v>
      </c>
      <c r="M11" s="55" t="n">
        <v>640.8</v>
      </c>
      <c r="N11" s="56" t="n">
        <v>16.5</v>
      </c>
      <c r="O11" s="57" t="n">
        <v>17.5</v>
      </c>
      <c r="P11" s="44" t="n">
        <v>247.5</v>
      </c>
      <c r="Q11" s="58" t="n">
        <v>262.5</v>
      </c>
      <c r="R11" s="44"/>
      <c r="S11" s="59" t="n">
        <v>15</v>
      </c>
      <c r="T11" s="60" t="n">
        <v>640.8</v>
      </c>
    </row>
    <row r="12" customFormat="false" ht="12.75" hidden="false" customHeight="false" outlineLevel="0" collapsed="false">
      <c r="A12" s="47" t="n">
        <v>37022</v>
      </c>
      <c r="B12" s="12" t="n">
        <v>6</v>
      </c>
      <c r="C12" s="48" t="n">
        <v>15</v>
      </c>
      <c r="D12" s="60" t="n">
        <v>16.5</v>
      </c>
      <c r="E12" s="50" t="n">
        <v>4.32</v>
      </c>
      <c r="F12" s="50" t="n">
        <v>4.32</v>
      </c>
      <c r="G12" s="51" t="n">
        <v>60.22</v>
      </c>
      <c r="H12" s="52" t="n">
        <v>43.72</v>
      </c>
      <c r="I12" s="53" t="n">
        <v>655.8</v>
      </c>
      <c r="J12" s="54" t="n">
        <v>1</v>
      </c>
      <c r="K12" s="44" t="n">
        <v>42.72</v>
      </c>
      <c r="L12" s="44" t="n">
        <v>15</v>
      </c>
      <c r="M12" s="55" t="n">
        <v>640.8</v>
      </c>
      <c r="N12" s="56" t="n">
        <v>16.5</v>
      </c>
      <c r="O12" s="57" t="n">
        <v>17.5</v>
      </c>
      <c r="P12" s="44" t="n">
        <v>247.5</v>
      </c>
      <c r="Q12" s="58" t="n">
        <v>262.5</v>
      </c>
      <c r="R12" s="44"/>
      <c r="S12" s="59" t="n">
        <v>15</v>
      </c>
      <c r="T12" s="60" t="n">
        <v>640.8</v>
      </c>
    </row>
    <row r="13" customFormat="false" ht="12.75" hidden="false" customHeight="false" outlineLevel="0" collapsed="false">
      <c r="A13" s="47" t="n">
        <v>37022</v>
      </c>
      <c r="B13" s="12" t="n">
        <v>7</v>
      </c>
      <c r="C13" s="48" t="n">
        <v>20</v>
      </c>
      <c r="D13" s="60" t="n">
        <v>40</v>
      </c>
      <c r="E13" s="50" t="n">
        <v>4.32</v>
      </c>
      <c r="F13" s="50" t="n">
        <v>4.32</v>
      </c>
      <c r="G13" s="51" t="n">
        <v>60.22</v>
      </c>
      <c r="H13" s="52" t="n">
        <v>20.22</v>
      </c>
      <c r="I13" s="53" t="n">
        <v>404.4</v>
      </c>
      <c r="J13" s="54" t="n">
        <v>8.088</v>
      </c>
      <c r="K13" s="49" t="n">
        <v>12.132</v>
      </c>
      <c r="L13" s="49" t="n">
        <v>161.76</v>
      </c>
      <c r="M13" s="55" t="n">
        <v>242.64</v>
      </c>
      <c r="N13" s="56" t="n">
        <v>40</v>
      </c>
      <c r="O13" s="57" t="n">
        <v>48.088</v>
      </c>
      <c r="P13" s="44" t="n">
        <v>800</v>
      </c>
      <c r="Q13" s="58" t="n">
        <v>961.76</v>
      </c>
      <c r="R13" s="44"/>
      <c r="S13" s="59" t="n">
        <v>161.76</v>
      </c>
      <c r="T13" s="60" t="n">
        <v>242.64</v>
      </c>
    </row>
    <row r="14" customFormat="false" ht="12.75" hidden="false" customHeight="false" outlineLevel="0" collapsed="false">
      <c r="A14" s="47" t="n">
        <v>37022</v>
      </c>
      <c r="B14" s="12" t="n">
        <v>8</v>
      </c>
      <c r="C14" s="48" t="n">
        <v>25</v>
      </c>
      <c r="D14" s="60" t="n">
        <v>40</v>
      </c>
      <c r="E14" s="50" t="n">
        <v>4.32</v>
      </c>
      <c r="F14" s="50" t="n">
        <v>4.32</v>
      </c>
      <c r="G14" s="51" t="n">
        <v>60.22</v>
      </c>
      <c r="H14" s="52" t="n">
        <v>20.22</v>
      </c>
      <c r="I14" s="53" t="n">
        <v>505.5</v>
      </c>
      <c r="J14" s="54" t="n">
        <v>8.088</v>
      </c>
      <c r="K14" s="49" t="n">
        <v>12.132</v>
      </c>
      <c r="L14" s="49" t="n">
        <v>202.2</v>
      </c>
      <c r="M14" s="55" t="n">
        <v>303.3</v>
      </c>
      <c r="N14" s="56" t="n">
        <v>40</v>
      </c>
      <c r="O14" s="57" t="n">
        <v>48.088</v>
      </c>
      <c r="P14" s="44" t="n">
        <v>1000</v>
      </c>
      <c r="Q14" s="58" t="n">
        <v>1202.2</v>
      </c>
      <c r="R14" s="44"/>
      <c r="S14" s="59" t="n">
        <v>202.2</v>
      </c>
      <c r="T14" s="60" t="n">
        <v>303.3</v>
      </c>
    </row>
    <row r="15" customFormat="false" ht="12.75" hidden="false" customHeight="false" outlineLevel="0" collapsed="false">
      <c r="A15" s="47" t="n">
        <v>37022</v>
      </c>
      <c r="B15" s="12" t="n">
        <v>9</v>
      </c>
      <c r="C15" s="48" t="n">
        <v>30</v>
      </c>
      <c r="D15" s="60" t="n">
        <v>40</v>
      </c>
      <c r="E15" s="50" t="n">
        <v>4.32</v>
      </c>
      <c r="F15" s="50" t="n">
        <v>4.32</v>
      </c>
      <c r="G15" s="51" t="n">
        <v>60.22</v>
      </c>
      <c r="H15" s="52" t="n">
        <v>20.22</v>
      </c>
      <c r="I15" s="53" t="n">
        <v>606.6</v>
      </c>
      <c r="J15" s="54" t="n">
        <v>8.088</v>
      </c>
      <c r="K15" s="49" t="n">
        <v>12.132</v>
      </c>
      <c r="L15" s="49" t="n">
        <v>242.64</v>
      </c>
      <c r="M15" s="55" t="n">
        <v>363.96</v>
      </c>
      <c r="N15" s="56" t="n">
        <v>40</v>
      </c>
      <c r="O15" s="57" t="n">
        <v>48.088</v>
      </c>
      <c r="P15" s="44" t="n">
        <v>1200</v>
      </c>
      <c r="Q15" s="58" t="n">
        <v>1442.64</v>
      </c>
      <c r="R15" s="44"/>
      <c r="S15" s="59" t="n">
        <v>242.64</v>
      </c>
      <c r="T15" s="60" t="n">
        <v>363.96</v>
      </c>
    </row>
    <row r="16" customFormat="false" ht="12.75" hidden="false" customHeight="false" outlineLevel="0" collapsed="false">
      <c r="A16" s="47" t="n">
        <v>37022</v>
      </c>
      <c r="B16" s="12" t="n">
        <v>10</v>
      </c>
      <c r="C16" s="48" t="n">
        <v>30</v>
      </c>
      <c r="D16" s="60" t="n">
        <v>40</v>
      </c>
      <c r="E16" s="50" t="n">
        <v>4.32</v>
      </c>
      <c r="F16" s="50" t="n">
        <v>4.32</v>
      </c>
      <c r="G16" s="51" t="n">
        <v>60.22</v>
      </c>
      <c r="H16" s="52" t="n">
        <v>20.22</v>
      </c>
      <c r="I16" s="53" t="n">
        <v>606.6</v>
      </c>
      <c r="J16" s="54" t="n">
        <v>8.088</v>
      </c>
      <c r="K16" s="49" t="n">
        <v>12.132</v>
      </c>
      <c r="L16" s="49" t="n">
        <v>242.64</v>
      </c>
      <c r="M16" s="55" t="n">
        <v>363.96</v>
      </c>
      <c r="N16" s="56" t="n">
        <v>40</v>
      </c>
      <c r="O16" s="57" t="n">
        <v>48.088</v>
      </c>
      <c r="P16" s="44" t="n">
        <v>1200</v>
      </c>
      <c r="Q16" s="58" t="n">
        <v>1442.64</v>
      </c>
      <c r="R16" s="44"/>
      <c r="S16" s="59" t="n">
        <v>242.64</v>
      </c>
      <c r="T16" s="60" t="n">
        <v>363.96</v>
      </c>
    </row>
    <row r="17" customFormat="false" ht="12.75" hidden="false" customHeight="false" outlineLevel="0" collapsed="false">
      <c r="A17" s="47" t="n">
        <v>37022</v>
      </c>
      <c r="B17" s="12" t="n">
        <v>11</v>
      </c>
      <c r="C17" s="48" t="n">
        <v>30</v>
      </c>
      <c r="D17" s="60" t="n">
        <v>40</v>
      </c>
      <c r="E17" s="50" t="n">
        <v>4.32</v>
      </c>
      <c r="F17" s="50" t="n">
        <v>4.32</v>
      </c>
      <c r="G17" s="51" t="n">
        <v>60.22</v>
      </c>
      <c r="H17" s="52" t="n">
        <v>20.22</v>
      </c>
      <c r="I17" s="53" t="n">
        <v>606.6</v>
      </c>
      <c r="J17" s="54" t="n">
        <v>8.088</v>
      </c>
      <c r="K17" s="49" t="n">
        <v>12.132</v>
      </c>
      <c r="L17" s="49" t="n">
        <v>242.64</v>
      </c>
      <c r="M17" s="55" t="n">
        <v>363.96</v>
      </c>
      <c r="N17" s="56" t="n">
        <v>40</v>
      </c>
      <c r="O17" s="57" t="n">
        <v>48.088</v>
      </c>
      <c r="P17" s="44" t="n">
        <v>1200</v>
      </c>
      <c r="Q17" s="58" t="n">
        <v>1442.64</v>
      </c>
      <c r="R17" s="44"/>
      <c r="S17" s="59" t="n">
        <v>242.64</v>
      </c>
      <c r="T17" s="60" t="n">
        <v>363.96</v>
      </c>
    </row>
    <row r="18" customFormat="false" ht="12.75" hidden="false" customHeight="false" outlineLevel="0" collapsed="false">
      <c r="A18" s="47" t="n">
        <v>37022</v>
      </c>
      <c r="B18" s="12" t="n">
        <v>12</v>
      </c>
      <c r="C18" s="48" t="n">
        <v>30</v>
      </c>
      <c r="D18" s="60" t="n">
        <v>40</v>
      </c>
      <c r="E18" s="50" t="n">
        <v>4.32</v>
      </c>
      <c r="F18" s="50" t="n">
        <v>4.32</v>
      </c>
      <c r="G18" s="51" t="n">
        <v>60.22</v>
      </c>
      <c r="H18" s="52" t="n">
        <v>20.22</v>
      </c>
      <c r="I18" s="53" t="n">
        <v>606.6</v>
      </c>
      <c r="J18" s="54" t="n">
        <v>8.088</v>
      </c>
      <c r="K18" s="49" t="n">
        <v>12.132</v>
      </c>
      <c r="L18" s="49" t="n">
        <v>242.64</v>
      </c>
      <c r="M18" s="55" t="n">
        <v>363.96</v>
      </c>
      <c r="N18" s="56" t="n">
        <v>40</v>
      </c>
      <c r="O18" s="57" t="n">
        <v>48.088</v>
      </c>
      <c r="P18" s="44" t="n">
        <v>1200</v>
      </c>
      <c r="Q18" s="58" t="n">
        <v>1442.64</v>
      </c>
      <c r="R18" s="44"/>
      <c r="S18" s="59" t="n">
        <v>242.64</v>
      </c>
      <c r="T18" s="60" t="n">
        <v>363.96</v>
      </c>
    </row>
    <row r="19" customFormat="false" ht="12.75" hidden="false" customHeight="false" outlineLevel="0" collapsed="false">
      <c r="A19" s="47" t="n">
        <v>37022</v>
      </c>
      <c r="B19" s="12" t="n">
        <v>13</v>
      </c>
      <c r="C19" s="48" t="n">
        <v>30</v>
      </c>
      <c r="D19" s="60" t="n">
        <v>40</v>
      </c>
      <c r="E19" s="50" t="n">
        <v>4.32</v>
      </c>
      <c r="F19" s="50" t="n">
        <v>4.32</v>
      </c>
      <c r="G19" s="51" t="n">
        <v>60.22</v>
      </c>
      <c r="H19" s="52" t="n">
        <v>20.22</v>
      </c>
      <c r="I19" s="53" t="n">
        <v>606.6</v>
      </c>
      <c r="J19" s="54" t="n">
        <v>8.088</v>
      </c>
      <c r="K19" s="49" t="n">
        <v>12.132</v>
      </c>
      <c r="L19" s="49" t="n">
        <v>242.64</v>
      </c>
      <c r="M19" s="55" t="n">
        <v>363.96</v>
      </c>
      <c r="N19" s="56" t="n">
        <v>40</v>
      </c>
      <c r="O19" s="57" t="n">
        <v>48.088</v>
      </c>
      <c r="P19" s="44" t="n">
        <v>1200</v>
      </c>
      <c r="Q19" s="58" t="n">
        <v>1442.64</v>
      </c>
      <c r="R19" s="44"/>
      <c r="S19" s="59" t="n">
        <v>242.64</v>
      </c>
      <c r="T19" s="60" t="n">
        <v>363.96</v>
      </c>
    </row>
    <row r="20" customFormat="false" ht="12.75" hidden="false" customHeight="false" outlineLevel="0" collapsed="false">
      <c r="A20" s="47" t="n">
        <v>37022</v>
      </c>
      <c r="B20" s="12" t="n">
        <v>14</v>
      </c>
      <c r="C20" s="48" t="n">
        <v>30</v>
      </c>
      <c r="D20" s="60" t="n">
        <v>40</v>
      </c>
      <c r="E20" s="50" t="n">
        <v>4.32</v>
      </c>
      <c r="F20" s="50" t="n">
        <v>4.32</v>
      </c>
      <c r="G20" s="51" t="n">
        <v>60.22</v>
      </c>
      <c r="H20" s="52" t="n">
        <v>20.22</v>
      </c>
      <c r="I20" s="53" t="n">
        <v>606.6</v>
      </c>
      <c r="J20" s="54" t="n">
        <v>8.088</v>
      </c>
      <c r="K20" s="49" t="n">
        <v>12.132</v>
      </c>
      <c r="L20" s="49" t="n">
        <v>242.64</v>
      </c>
      <c r="M20" s="55" t="n">
        <v>363.96</v>
      </c>
      <c r="N20" s="56" t="n">
        <v>40</v>
      </c>
      <c r="O20" s="57" t="n">
        <v>48.088</v>
      </c>
      <c r="P20" s="44" t="n">
        <v>1200</v>
      </c>
      <c r="Q20" s="58" t="n">
        <v>1442.64</v>
      </c>
      <c r="R20" s="44"/>
      <c r="S20" s="59" t="n">
        <v>242.64</v>
      </c>
      <c r="T20" s="60" t="n">
        <v>363.96</v>
      </c>
    </row>
    <row r="21" customFormat="false" ht="12.75" hidden="false" customHeight="false" outlineLevel="0" collapsed="false">
      <c r="A21" s="47" t="n">
        <v>37022</v>
      </c>
      <c r="B21" s="12" t="n">
        <v>15</v>
      </c>
      <c r="C21" s="48" t="n">
        <v>30</v>
      </c>
      <c r="D21" s="60" t="n">
        <v>40</v>
      </c>
      <c r="E21" s="50" t="n">
        <v>4.32</v>
      </c>
      <c r="F21" s="50" t="n">
        <v>4.32</v>
      </c>
      <c r="G21" s="51" t="n">
        <v>60.22</v>
      </c>
      <c r="H21" s="52" t="n">
        <v>20.22</v>
      </c>
      <c r="I21" s="53" t="n">
        <v>606.6</v>
      </c>
      <c r="J21" s="54" t="n">
        <v>8.088</v>
      </c>
      <c r="K21" s="49" t="n">
        <v>12.132</v>
      </c>
      <c r="L21" s="49" t="n">
        <v>242.64</v>
      </c>
      <c r="M21" s="55" t="n">
        <v>363.96</v>
      </c>
      <c r="N21" s="56" t="n">
        <v>40</v>
      </c>
      <c r="O21" s="57" t="n">
        <v>48.088</v>
      </c>
      <c r="P21" s="44" t="n">
        <v>1200</v>
      </c>
      <c r="Q21" s="58" t="n">
        <v>1442.64</v>
      </c>
      <c r="R21" s="44"/>
      <c r="S21" s="59" t="n">
        <v>242.64</v>
      </c>
      <c r="T21" s="60" t="n">
        <v>363.96</v>
      </c>
    </row>
    <row r="22" customFormat="false" ht="12.75" hidden="false" customHeight="false" outlineLevel="0" collapsed="false">
      <c r="A22" s="47" t="n">
        <v>37022</v>
      </c>
      <c r="B22" s="12" t="n">
        <v>16</v>
      </c>
      <c r="C22" s="48" t="n">
        <v>30</v>
      </c>
      <c r="D22" s="60" t="n">
        <v>40</v>
      </c>
      <c r="E22" s="50" t="n">
        <v>4.32</v>
      </c>
      <c r="F22" s="50" t="n">
        <v>4.32</v>
      </c>
      <c r="G22" s="51" t="n">
        <v>60.22</v>
      </c>
      <c r="H22" s="52" t="n">
        <v>20.22</v>
      </c>
      <c r="I22" s="53" t="n">
        <v>606.6</v>
      </c>
      <c r="J22" s="54" t="n">
        <v>8.088</v>
      </c>
      <c r="K22" s="49" t="n">
        <v>12.132</v>
      </c>
      <c r="L22" s="49" t="n">
        <v>242.64</v>
      </c>
      <c r="M22" s="55" t="n">
        <v>363.96</v>
      </c>
      <c r="N22" s="56" t="n">
        <v>40</v>
      </c>
      <c r="O22" s="57" t="n">
        <v>48.088</v>
      </c>
      <c r="P22" s="44" t="n">
        <v>1200</v>
      </c>
      <c r="Q22" s="58" t="n">
        <v>1442.64</v>
      </c>
      <c r="R22" s="44"/>
      <c r="S22" s="59" t="n">
        <v>242.64</v>
      </c>
      <c r="T22" s="60" t="n">
        <v>363.96</v>
      </c>
    </row>
    <row r="23" customFormat="false" ht="12.75" hidden="false" customHeight="false" outlineLevel="0" collapsed="false">
      <c r="A23" s="47" t="n">
        <v>37022</v>
      </c>
      <c r="B23" s="12" t="n">
        <v>17</v>
      </c>
      <c r="C23" s="48" t="n">
        <v>30</v>
      </c>
      <c r="D23" s="60" t="n">
        <v>40</v>
      </c>
      <c r="E23" s="50" t="n">
        <v>4.32</v>
      </c>
      <c r="F23" s="50" t="n">
        <v>4.32</v>
      </c>
      <c r="G23" s="51" t="n">
        <v>60.22</v>
      </c>
      <c r="H23" s="52" t="n">
        <v>20.22</v>
      </c>
      <c r="I23" s="53" t="n">
        <v>606.6</v>
      </c>
      <c r="J23" s="54" t="n">
        <v>8.088</v>
      </c>
      <c r="K23" s="49" t="n">
        <v>12.132</v>
      </c>
      <c r="L23" s="49" t="n">
        <v>242.64</v>
      </c>
      <c r="M23" s="55" t="n">
        <v>363.96</v>
      </c>
      <c r="N23" s="56" t="n">
        <v>40</v>
      </c>
      <c r="O23" s="57" t="n">
        <v>48.088</v>
      </c>
      <c r="P23" s="44" t="n">
        <v>1200</v>
      </c>
      <c r="Q23" s="58" t="n">
        <v>1442.64</v>
      </c>
      <c r="R23" s="44"/>
      <c r="S23" s="59" t="n">
        <v>242.64</v>
      </c>
      <c r="T23" s="60" t="n">
        <v>363.96</v>
      </c>
    </row>
    <row r="24" customFormat="false" ht="12.75" hidden="false" customHeight="false" outlineLevel="0" collapsed="false">
      <c r="A24" s="47" t="n">
        <v>37022</v>
      </c>
      <c r="B24" s="12" t="n">
        <v>18</v>
      </c>
      <c r="C24" s="48" t="n">
        <v>30</v>
      </c>
      <c r="D24" s="60" t="n">
        <v>40</v>
      </c>
      <c r="E24" s="50" t="n">
        <v>4.32</v>
      </c>
      <c r="F24" s="50" t="n">
        <v>4.32</v>
      </c>
      <c r="G24" s="51" t="n">
        <v>60.22</v>
      </c>
      <c r="H24" s="52" t="n">
        <v>20.22</v>
      </c>
      <c r="I24" s="53" t="n">
        <v>606.6</v>
      </c>
      <c r="J24" s="54" t="n">
        <v>8.088</v>
      </c>
      <c r="K24" s="49" t="n">
        <v>12.132</v>
      </c>
      <c r="L24" s="49" t="n">
        <v>242.64</v>
      </c>
      <c r="M24" s="55" t="n">
        <v>363.96</v>
      </c>
      <c r="N24" s="56" t="n">
        <v>40</v>
      </c>
      <c r="O24" s="57" t="n">
        <v>48.088</v>
      </c>
      <c r="P24" s="44" t="n">
        <v>1200</v>
      </c>
      <c r="Q24" s="58" t="n">
        <v>1442.64</v>
      </c>
      <c r="R24" s="44"/>
      <c r="S24" s="59" t="n">
        <v>242.64</v>
      </c>
      <c r="T24" s="60" t="n">
        <v>363.96</v>
      </c>
    </row>
    <row r="25" customFormat="false" ht="12.75" hidden="false" customHeight="false" outlineLevel="0" collapsed="false">
      <c r="A25" s="47" t="n">
        <v>37022</v>
      </c>
      <c r="B25" s="12" t="n">
        <v>19</v>
      </c>
      <c r="C25" s="48" t="n">
        <v>30</v>
      </c>
      <c r="D25" s="60" t="n">
        <v>40</v>
      </c>
      <c r="E25" s="50" t="n">
        <v>4.32</v>
      </c>
      <c r="F25" s="50" t="n">
        <v>4.32</v>
      </c>
      <c r="G25" s="51" t="n">
        <v>60.22</v>
      </c>
      <c r="H25" s="52" t="n">
        <v>20.22</v>
      </c>
      <c r="I25" s="53" t="n">
        <v>606.6</v>
      </c>
      <c r="J25" s="54" t="n">
        <v>8.088</v>
      </c>
      <c r="K25" s="49" t="n">
        <v>12.132</v>
      </c>
      <c r="L25" s="49" t="n">
        <v>242.64</v>
      </c>
      <c r="M25" s="55" t="n">
        <v>363.96</v>
      </c>
      <c r="N25" s="56" t="n">
        <v>40</v>
      </c>
      <c r="O25" s="57" t="n">
        <v>48.088</v>
      </c>
      <c r="P25" s="44" t="n">
        <v>1200</v>
      </c>
      <c r="Q25" s="58" t="n">
        <v>1442.64</v>
      </c>
      <c r="R25" s="44"/>
      <c r="S25" s="59" t="n">
        <v>242.64</v>
      </c>
      <c r="T25" s="60" t="n">
        <v>363.96</v>
      </c>
    </row>
    <row r="26" customFormat="false" ht="12.75" hidden="false" customHeight="false" outlineLevel="0" collapsed="false">
      <c r="A26" s="47" t="n">
        <v>37022</v>
      </c>
      <c r="B26" s="12" t="n">
        <v>20</v>
      </c>
      <c r="C26" s="48" t="n">
        <v>30</v>
      </c>
      <c r="D26" s="60" t="n">
        <v>40</v>
      </c>
      <c r="E26" s="50" t="n">
        <v>4.32</v>
      </c>
      <c r="F26" s="50" t="n">
        <v>4.32</v>
      </c>
      <c r="G26" s="51" t="n">
        <v>60.22</v>
      </c>
      <c r="H26" s="52" t="n">
        <v>20.22</v>
      </c>
      <c r="I26" s="53" t="n">
        <v>606.6</v>
      </c>
      <c r="J26" s="54" t="n">
        <v>8.088</v>
      </c>
      <c r="K26" s="49" t="n">
        <v>12.132</v>
      </c>
      <c r="L26" s="49" t="n">
        <v>242.64</v>
      </c>
      <c r="M26" s="55" t="n">
        <v>363.96</v>
      </c>
      <c r="N26" s="56" t="n">
        <v>40</v>
      </c>
      <c r="O26" s="57" t="n">
        <v>48.088</v>
      </c>
      <c r="P26" s="44" t="n">
        <v>1200</v>
      </c>
      <c r="Q26" s="58" t="n">
        <v>1442.64</v>
      </c>
      <c r="R26" s="44"/>
      <c r="S26" s="59" t="n">
        <v>242.64</v>
      </c>
      <c r="T26" s="60" t="n">
        <v>363.96</v>
      </c>
    </row>
    <row r="27" customFormat="false" ht="12.75" hidden="false" customHeight="false" outlineLevel="0" collapsed="false">
      <c r="A27" s="47" t="n">
        <v>37022</v>
      </c>
      <c r="B27" s="12" t="n">
        <v>21</v>
      </c>
      <c r="C27" s="48" t="n">
        <v>30</v>
      </c>
      <c r="D27" s="60" t="n">
        <v>40</v>
      </c>
      <c r="E27" s="50" t="n">
        <v>4.32</v>
      </c>
      <c r="F27" s="50" t="n">
        <v>4.32</v>
      </c>
      <c r="G27" s="51" t="n">
        <v>60.22</v>
      </c>
      <c r="H27" s="52" t="n">
        <v>20.22</v>
      </c>
      <c r="I27" s="53" t="n">
        <v>606.6</v>
      </c>
      <c r="J27" s="54" t="n">
        <v>8.088</v>
      </c>
      <c r="K27" s="49" t="n">
        <v>12.132</v>
      </c>
      <c r="L27" s="49" t="n">
        <v>242.64</v>
      </c>
      <c r="M27" s="55" t="n">
        <v>363.96</v>
      </c>
      <c r="N27" s="56" t="n">
        <v>40</v>
      </c>
      <c r="O27" s="57" t="n">
        <v>48.088</v>
      </c>
      <c r="P27" s="44" t="n">
        <v>1200</v>
      </c>
      <c r="Q27" s="58" t="n">
        <v>1442.64</v>
      </c>
      <c r="R27" s="44"/>
      <c r="S27" s="59" t="n">
        <v>242.64</v>
      </c>
      <c r="T27" s="60" t="n">
        <v>363.96</v>
      </c>
    </row>
    <row r="28" customFormat="false" ht="12.75" hidden="false" customHeight="false" outlineLevel="0" collapsed="false">
      <c r="A28" s="47" t="n">
        <v>37022</v>
      </c>
      <c r="B28" s="12" t="n">
        <v>22</v>
      </c>
      <c r="C28" s="48" t="n">
        <v>30</v>
      </c>
      <c r="D28" s="60" t="n">
        <v>40</v>
      </c>
      <c r="E28" s="50" t="n">
        <v>4.32</v>
      </c>
      <c r="F28" s="50" t="n">
        <v>4.32</v>
      </c>
      <c r="G28" s="51" t="n">
        <v>60.22</v>
      </c>
      <c r="H28" s="52" t="n">
        <v>20.22</v>
      </c>
      <c r="I28" s="53" t="n">
        <v>606.6</v>
      </c>
      <c r="J28" s="54" t="n">
        <v>8.088</v>
      </c>
      <c r="K28" s="49" t="n">
        <v>12.132</v>
      </c>
      <c r="L28" s="49" t="n">
        <v>242.64</v>
      </c>
      <c r="M28" s="55" t="n">
        <v>363.96</v>
      </c>
      <c r="N28" s="56" t="n">
        <v>40</v>
      </c>
      <c r="O28" s="57" t="n">
        <v>48.088</v>
      </c>
      <c r="P28" s="44" t="n">
        <v>1200</v>
      </c>
      <c r="Q28" s="58" t="n">
        <v>1442.64</v>
      </c>
      <c r="R28" s="44"/>
      <c r="S28" s="59" t="n">
        <v>242.64</v>
      </c>
      <c r="T28" s="60" t="n">
        <v>363.96</v>
      </c>
    </row>
    <row r="29" customFormat="false" ht="12.75" hidden="false" customHeight="false" outlineLevel="0" collapsed="false">
      <c r="A29" s="47" t="n">
        <v>37022</v>
      </c>
      <c r="B29" s="12" t="n">
        <v>23</v>
      </c>
      <c r="C29" s="48" t="n">
        <v>15</v>
      </c>
      <c r="D29" s="60" t="n">
        <v>16.5</v>
      </c>
      <c r="E29" s="50" t="n">
        <v>4.32</v>
      </c>
      <c r="F29" s="50" t="n">
        <v>4.32</v>
      </c>
      <c r="G29" s="51" t="n">
        <v>60.22</v>
      </c>
      <c r="H29" s="52" t="n">
        <v>43.72</v>
      </c>
      <c r="I29" s="53" t="n">
        <v>655.8</v>
      </c>
      <c r="J29" s="54" t="n">
        <v>1</v>
      </c>
      <c r="K29" s="44" t="n">
        <v>42.72</v>
      </c>
      <c r="L29" s="44" t="n">
        <v>15</v>
      </c>
      <c r="M29" s="55" t="n">
        <v>640.8</v>
      </c>
      <c r="N29" s="56" t="n">
        <v>16.5</v>
      </c>
      <c r="O29" s="57" t="n">
        <v>17.5</v>
      </c>
      <c r="P29" s="44" t="n">
        <v>247.5</v>
      </c>
      <c r="Q29" s="58" t="n">
        <v>262.5</v>
      </c>
      <c r="R29" s="44"/>
      <c r="S29" s="59" t="n">
        <v>15</v>
      </c>
      <c r="T29" s="60" t="n">
        <v>640.8</v>
      </c>
    </row>
    <row r="30" customFormat="false" ht="12.75" hidden="false" customHeight="false" outlineLevel="0" collapsed="false">
      <c r="A30" s="61" t="n">
        <v>37022</v>
      </c>
      <c r="B30" s="62" t="n">
        <v>24</v>
      </c>
      <c r="C30" s="63" t="n">
        <v>15</v>
      </c>
      <c r="D30" s="76" t="n">
        <v>16.5</v>
      </c>
      <c r="E30" s="65" t="n">
        <v>4.32</v>
      </c>
      <c r="F30" s="65" t="n">
        <v>4.32</v>
      </c>
      <c r="G30" s="66" t="n">
        <v>60.22</v>
      </c>
      <c r="H30" s="67" t="n">
        <v>43.72</v>
      </c>
      <c r="I30" s="68" t="n">
        <v>655.8</v>
      </c>
      <c r="J30" s="69" t="n">
        <v>1</v>
      </c>
      <c r="K30" s="70" t="n">
        <v>42.72</v>
      </c>
      <c r="L30" s="70" t="n">
        <v>15</v>
      </c>
      <c r="M30" s="71" t="n">
        <v>640.8</v>
      </c>
      <c r="N30" s="72" t="n">
        <v>16.5</v>
      </c>
      <c r="O30" s="73" t="n">
        <v>17.5</v>
      </c>
      <c r="P30" s="70" t="n">
        <v>247.5</v>
      </c>
      <c r="Q30" s="74" t="n">
        <v>262.5</v>
      </c>
      <c r="R30" s="44"/>
      <c r="S30" s="75" t="n">
        <v>15</v>
      </c>
      <c r="T30" s="76" t="n">
        <v>640.8</v>
      </c>
    </row>
    <row r="31" customFormat="false" ht="4.5" hidden="false" customHeight="true" outlineLevel="0" collapsed="false">
      <c r="E31" s="77"/>
      <c r="F31" s="77"/>
      <c r="G31" s="77"/>
      <c r="I31" s="78"/>
      <c r="Q31" s="2"/>
      <c r="S31" s="2"/>
    </row>
    <row r="32" customFormat="false" ht="12.75" hidden="false" customHeight="false" outlineLevel="0" collapsed="false">
      <c r="K32" s="79"/>
      <c r="L32" s="79"/>
      <c r="M32" s="79"/>
      <c r="N32" s="80"/>
      <c r="O32" s="79"/>
      <c r="P32" s="80"/>
      <c r="Q32" s="81" t="n">
        <v>24460.92</v>
      </c>
      <c r="R32" s="82"/>
      <c r="S32" s="81" t="n">
        <v>3880.92</v>
      </c>
      <c r="T32" s="81" t="n">
        <v>10767.78</v>
      </c>
    </row>
    <row r="33" customFormat="false" ht="12.75" hidden="false" customHeight="false" outlineLevel="0" collapsed="false">
      <c r="D33" s="0"/>
      <c r="N33" s="0"/>
      <c r="P33" s="0"/>
      <c r="R33" s="0"/>
      <c r="T33" s="0"/>
    </row>
    <row r="34" customFormat="false" ht="12.75" hidden="true" customHeight="true" outlineLevel="0" collapsed="false">
      <c r="B34" s="0" t="s">
        <v>33</v>
      </c>
      <c r="C34" s="0" t="n">
        <v>241</v>
      </c>
    </row>
    <row r="35" customFormat="false" ht="12.75" hidden="false" customHeight="false" outlineLevel="0" collapsed="false">
      <c r="D35" s="0"/>
      <c r="N35" s="0"/>
      <c r="P35" s="0"/>
      <c r="R35" s="0"/>
      <c r="T35" s="0"/>
    </row>
    <row r="36" customFormat="false" ht="12.75" hidden="false" customHeight="false" outlineLevel="0" collapsed="false">
      <c r="D36" s="0"/>
      <c r="N36" s="0"/>
      <c r="P36" s="0"/>
      <c r="R36" s="0"/>
      <c r="T36" s="0"/>
    </row>
    <row r="37" customFormat="false" ht="12.75" hidden="false" customHeight="false" outlineLevel="0" collapsed="false">
      <c r="A37" s="6"/>
      <c r="B37" s="6"/>
      <c r="C37" s="6"/>
      <c r="D37" s="7"/>
      <c r="E37" s="8" t="s">
        <v>2</v>
      </c>
      <c r="F37" s="8"/>
      <c r="G37" s="8"/>
      <c r="H37" s="9" t="s">
        <v>3</v>
      </c>
      <c r="I37" s="9"/>
      <c r="J37" s="9" t="s">
        <v>4</v>
      </c>
      <c r="K37" s="9"/>
      <c r="L37" s="9"/>
      <c r="M37" s="9"/>
      <c r="N37" s="10" t="s">
        <v>5</v>
      </c>
      <c r="O37" s="10"/>
      <c r="P37" s="10"/>
      <c r="Q37" s="10"/>
      <c r="R37" s="11"/>
      <c r="S37" s="10" t="s">
        <v>6</v>
      </c>
      <c r="T37" s="10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2.75" hidden="false" customHeight="false" outlineLevel="0" collapsed="false">
      <c r="B38" s="85" t="s">
        <v>35</v>
      </c>
      <c r="C38" s="85"/>
      <c r="D38" s="85"/>
      <c r="E38" s="13"/>
      <c r="F38" s="14"/>
      <c r="G38" s="15"/>
      <c r="H38" s="16" t="s">
        <v>7</v>
      </c>
      <c r="I38" s="17" t="s">
        <v>7</v>
      </c>
      <c r="J38" s="16" t="s">
        <v>8</v>
      </c>
      <c r="K38" s="18" t="s">
        <v>9</v>
      </c>
      <c r="L38" s="18" t="s">
        <v>8</v>
      </c>
      <c r="M38" s="17" t="s">
        <v>9</v>
      </c>
      <c r="N38" s="19" t="s">
        <v>10</v>
      </c>
      <c r="O38" s="19"/>
      <c r="P38" s="19" t="s">
        <v>11</v>
      </c>
      <c r="Q38" s="19"/>
      <c r="R38" s="11"/>
      <c r="S38" s="20"/>
      <c r="T38" s="21"/>
    </row>
    <row r="39" customFormat="false" ht="12.75" hidden="false" customHeight="false" outlineLevel="0" collapsed="false">
      <c r="E39" s="16" t="s">
        <v>12</v>
      </c>
      <c r="F39" s="18" t="s">
        <v>12</v>
      </c>
      <c r="G39" s="17" t="s">
        <v>13</v>
      </c>
      <c r="H39" s="16" t="s">
        <v>14</v>
      </c>
      <c r="I39" s="17" t="s">
        <v>14</v>
      </c>
      <c r="J39" s="22" t="s">
        <v>15</v>
      </c>
      <c r="K39" s="18" t="s">
        <v>16</v>
      </c>
      <c r="L39" s="18" t="s">
        <v>17</v>
      </c>
      <c r="M39" s="17" t="s">
        <v>18</v>
      </c>
      <c r="N39" s="23"/>
      <c r="O39" s="15"/>
      <c r="P39" s="22"/>
      <c r="Q39" s="24" t="s">
        <v>19</v>
      </c>
      <c r="R39" s="11"/>
      <c r="S39" s="16" t="s">
        <v>20</v>
      </c>
      <c r="T39" s="25" t="s">
        <v>21</v>
      </c>
    </row>
    <row r="40" customFormat="false" ht="12.75" hidden="false" customHeight="false" outlineLevel="0" collapsed="false">
      <c r="A40" s="26" t="s">
        <v>22</v>
      </c>
      <c r="B40" s="27" t="s">
        <v>23</v>
      </c>
      <c r="C40" s="27" t="s">
        <v>24</v>
      </c>
      <c r="D40" s="28" t="s">
        <v>25</v>
      </c>
      <c r="E40" s="22" t="s">
        <v>26</v>
      </c>
      <c r="F40" s="5" t="s">
        <v>27</v>
      </c>
      <c r="G40" s="25" t="s">
        <v>28</v>
      </c>
      <c r="H40" s="22" t="s">
        <v>29</v>
      </c>
      <c r="I40" s="25" t="s">
        <v>30</v>
      </c>
      <c r="J40" s="22" t="s">
        <v>10</v>
      </c>
      <c r="K40" s="5" t="s">
        <v>10</v>
      </c>
      <c r="L40" s="5" t="s">
        <v>30</v>
      </c>
      <c r="M40" s="25" t="s">
        <v>30</v>
      </c>
      <c r="N40" s="22" t="s">
        <v>20</v>
      </c>
      <c r="O40" s="25" t="s">
        <v>21</v>
      </c>
      <c r="P40" s="22" t="s">
        <v>20</v>
      </c>
      <c r="Q40" s="29" t="s">
        <v>21</v>
      </c>
      <c r="R40" s="5"/>
      <c r="S40" s="22" t="s">
        <v>31</v>
      </c>
      <c r="T40" s="25" t="s">
        <v>32</v>
      </c>
      <c r="U40" s="30"/>
      <c r="V40" s="30"/>
    </row>
    <row r="41" customFormat="false" ht="12.75" hidden="false" customHeight="false" outlineLevel="0" collapsed="false">
      <c r="A41" s="31" t="n">
        <v>37022</v>
      </c>
      <c r="B41" s="32" t="n">
        <v>1</v>
      </c>
      <c r="C41" s="33" t="n">
        <v>9</v>
      </c>
      <c r="D41" s="34" t="n">
        <v>19</v>
      </c>
      <c r="E41" s="35" t="n">
        <v>4.32</v>
      </c>
      <c r="F41" s="35" t="n">
        <v>4.32</v>
      </c>
      <c r="G41" s="36" t="n">
        <v>60.22</v>
      </c>
      <c r="H41" s="37" t="n">
        <v>41.22</v>
      </c>
      <c r="I41" s="38" t="n">
        <v>370.98</v>
      </c>
      <c r="J41" s="39" t="n">
        <v>1</v>
      </c>
      <c r="K41" s="40" t="n">
        <v>40.22</v>
      </c>
      <c r="L41" s="40" t="n">
        <v>9</v>
      </c>
      <c r="M41" s="21" t="n">
        <v>361.98</v>
      </c>
      <c r="N41" s="41" t="n">
        <v>19</v>
      </c>
      <c r="O41" s="42" t="n">
        <v>20</v>
      </c>
      <c r="P41" s="40" t="n">
        <v>171</v>
      </c>
      <c r="Q41" s="43" t="n">
        <v>180</v>
      </c>
      <c r="R41" s="44"/>
      <c r="S41" s="45" t="n">
        <v>9</v>
      </c>
      <c r="T41" s="46" t="n">
        <v>361.98</v>
      </c>
    </row>
    <row r="42" customFormat="false" ht="12.75" hidden="false" customHeight="false" outlineLevel="0" collapsed="false">
      <c r="A42" s="47" t="n">
        <v>37022</v>
      </c>
      <c r="B42" s="12" t="n">
        <v>2</v>
      </c>
      <c r="C42" s="48" t="n">
        <v>6</v>
      </c>
      <c r="D42" s="49" t="n">
        <v>19</v>
      </c>
      <c r="E42" s="50" t="n">
        <v>4.32</v>
      </c>
      <c r="F42" s="50" t="n">
        <v>4.32</v>
      </c>
      <c r="G42" s="51" t="n">
        <v>60.22</v>
      </c>
      <c r="H42" s="52" t="n">
        <v>41.22</v>
      </c>
      <c r="I42" s="53" t="n">
        <v>247.32</v>
      </c>
      <c r="J42" s="54" t="n">
        <v>1</v>
      </c>
      <c r="K42" s="44" t="n">
        <v>40.22</v>
      </c>
      <c r="L42" s="44" t="n">
        <v>6</v>
      </c>
      <c r="M42" s="55" t="n">
        <v>241.32</v>
      </c>
      <c r="N42" s="56" t="n">
        <v>19</v>
      </c>
      <c r="O42" s="57" t="n">
        <v>20</v>
      </c>
      <c r="P42" s="44" t="n">
        <v>114</v>
      </c>
      <c r="Q42" s="58" t="n">
        <v>120</v>
      </c>
      <c r="R42" s="44"/>
      <c r="S42" s="59" t="n">
        <v>6</v>
      </c>
      <c r="T42" s="60" t="n">
        <v>241.32</v>
      </c>
    </row>
    <row r="43" customFormat="false" ht="12.75" hidden="false" customHeight="false" outlineLevel="0" collapsed="false">
      <c r="A43" s="47" t="n">
        <v>37022</v>
      </c>
      <c r="B43" s="12" t="n">
        <v>3</v>
      </c>
      <c r="C43" s="48" t="n">
        <v>4</v>
      </c>
      <c r="D43" s="49" t="n">
        <v>19</v>
      </c>
      <c r="E43" s="50" t="n">
        <v>4.32</v>
      </c>
      <c r="F43" s="50" t="n">
        <v>4.32</v>
      </c>
      <c r="G43" s="51" t="n">
        <v>60.22</v>
      </c>
      <c r="H43" s="52" t="n">
        <v>41.22</v>
      </c>
      <c r="I43" s="53" t="n">
        <v>164.88</v>
      </c>
      <c r="J43" s="54" t="n">
        <v>1</v>
      </c>
      <c r="K43" s="44" t="n">
        <v>40.22</v>
      </c>
      <c r="L43" s="44" t="n">
        <v>4</v>
      </c>
      <c r="M43" s="55" t="n">
        <v>160.88</v>
      </c>
      <c r="N43" s="56" t="n">
        <v>19</v>
      </c>
      <c r="O43" s="57" t="n">
        <v>20</v>
      </c>
      <c r="P43" s="44" t="n">
        <v>76</v>
      </c>
      <c r="Q43" s="58" t="n">
        <v>80</v>
      </c>
      <c r="R43" s="44"/>
      <c r="S43" s="59" t="n">
        <v>4</v>
      </c>
      <c r="T43" s="60" t="n">
        <v>160.88</v>
      </c>
    </row>
    <row r="44" customFormat="false" ht="12.75" hidden="false" customHeight="false" outlineLevel="0" collapsed="false">
      <c r="A44" s="47" t="n">
        <v>37022</v>
      </c>
      <c r="B44" s="12" t="n">
        <v>4</v>
      </c>
      <c r="C44" s="48" t="n">
        <v>4</v>
      </c>
      <c r="D44" s="49" t="n">
        <v>19</v>
      </c>
      <c r="E44" s="50" t="n">
        <v>4.32</v>
      </c>
      <c r="F44" s="50" t="n">
        <v>4.32</v>
      </c>
      <c r="G44" s="51" t="n">
        <v>60.22</v>
      </c>
      <c r="H44" s="52" t="n">
        <v>41.22</v>
      </c>
      <c r="I44" s="53" t="n">
        <v>164.88</v>
      </c>
      <c r="J44" s="54" t="n">
        <v>1</v>
      </c>
      <c r="K44" s="44" t="n">
        <v>40.22</v>
      </c>
      <c r="L44" s="44" t="n">
        <v>4</v>
      </c>
      <c r="M44" s="55" t="n">
        <v>160.88</v>
      </c>
      <c r="N44" s="56" t="n">
        <v>19</v>
      </c>
      <c r="O44" s="57" t="n">
        <v>20</v>
      </c>
      <c r="P44" s="44" t="n">
        <v>76</v>
      </c>
      <c r="Q44" s="58" t="n">
        <v>80</v>
      </c>
      <c r="R44" s="44"/>
      <c r="S44" s="59" t="n">
        <v>4</v>
      </c>
      <c r="T44" s="60" t="n">
        <v>160.88</v>
      </c>
    </row>
    <row r="45" customFormat="false" ht="12.75" hidden="false" customHeight="false" outlineLevel="0" collapsed="false">
      <c r="A45" s="47" t="n">
        <v>37022</v>
      </c>
      <c r="B45" s="12" t="n">
        <v>5</v>
      </c>
      <c r="C45" s="48" t="n">
        <v>4</v>
      </c>
      <c r="D45" s="49" t="n">
        <v>19</v>
      </c>
      <c r="E45" s="50" t="n">
        <v>4.32</v>
      </c>
      <c r="F45" s="50" t="n">
        <v>4.32</v>
      </c>
      <c r="G45" s="51" t="n">
        <v>60.22</v>
      </c>
      <c r="H45" s="52" t="n">
        <v>41.22</v>
      </c>
      <c r="I45" s="53" t="n">
        <v>164.88</v>
      </c>
      <c r="J45" s="54" t="n">
        <v>1</v>
      </c>
      <c r="K45" s="44" t="n">
        <v>40.22</v>
      </c>
      <c r="L45" s="44" t="n">
        <v>4</v>
      </c>
      <c r="M45" s="55" t="n">
        <v>160.88</v>
      </c>
      <c r="N45" s="56" t="n">
        <v>19</v>
      </c>
      <c r="O45" s="57" t="n">
        <v>20</v>
      </c>
      <c r="P45" s="44" t="n">
        <v>76</v>
      </c>
      <c r="Q45" s="58" t="n">
        <v>80</v>
      </c>
      <c r="R45" s="44"/>
      <c r="S45" s="59" t="n">
        <v>4</v>
      </c>
      <c r="T45" s="60" t="n">
        <v>160.88</v>
      </c>
    </row>
    <row r="46" customFormat="false" ht="12.75" hidden="false" customHeight="false" outlineLevel="0" collapsed="false">
      <c r="A46" s="47" t="n">
        <v>37022</v>
      </c>
      <c r="B46" s="12" t="n">
        <v>6</v>
      </c>
      <c r="C46" s="48" t="n">
        <v>4</v>
      </c>
      <c r="D46" s="49" t="n">
        <v>19</v>
      </c>
      <c r="E46" s="50" t="n">
        <v>4.32</v>
      </c>
      <c r="F46" s="50" t="n">
        <v>4.32</v>
      </c>
      <c r="G46" s="51" t="n">
        <v>60.22</v>
      </c>
      <c r="H46" s="52" t="n">
        <v>41.22</v>
      </c>
      <c r="I46" s="53" t="n">
        <v>164.88</v>
      </c>
      <c r="J46" s="54" t="n">
        <v>1</v>
      </c>
      <c r="K46" s="44" t="n">
        <v>40.22</v>
      </c>
      <c r="L46" s="44" t="n">
        <v>4</v>
      </c>
      <c r="M46" s="55" t="n">
        <v>160.88</v>
      </c>
      <c r="N46" s="56" t="n">
        <v>19</v>
      </c>
      <c r="O46" s="57" t="n">
        <v>20</v>
      </c>
      <c r="P46" s="44" t="n">
        <v>76</v>
      </c>
      <c r="Q46" s="58" t="n">
        <v>80</v>
      </c>
      <c r="R46" s="44"/>
      <c r="S46" s="59" t="n">
        <v>4</v>
      </c>
      <c r="T46" s="60" t="n">
        <v>160.88</v>
      </c>
    </row>
    <row r="47" customFormat="false" ht="12.75" hidden="false" customHeight="false" outlineLevel="0" collapsed="false">
      <c r="A47" s="47" t="n">
        <v>37022</v>
      </c>
      <c r="B47" s="12" t="n">
        <v>7</v>
      </c>
      <c r="C47" s="48" t="n">
        <v>3</v>
      </c>
      <c r="D47" s="49" t="n">
        <v>27</v>
      </c>
      <c r="E47" s="50" t="n">
        <v>4.32</v>
      </c>
      <c r="F47" s="50" t="n">
        <v>4.32</v>
      </c>
      <c r="G47" s="51" t="n">
        <v>60.22</v>
      </c>
      <c r="H47" s="52" t="n">
        <v>33.22</v>
      </c>
      <c r="I47" s="53" t="n">
        <v>99.66</v>
      </c>
      <c r="J47" s="54" t="n">
        <v>13.288</v>
      </c>
      <c r="K47" s="49" t="n">
        <v>19.932</v>
      </c>
      <c r="L47" s="49" t="n">
        <v>39.864</v>
      </c>
      <c r="M47" s="55" t="n">
        <v>59.796</v>
      </c>
      <c r="N47" s="56" t="n">
        <v>27</v>
      </c>
      <c r="O47" s="57" t="n">
        <v>40.288</v>
      </c>
      <c r="P47" s="44" t="n">
        <v>81</v>
      </c>
      <c r="Q47" s="58" t="n">
        <v>120.864</v>
      </c>
      <c r="R47" s="44"/>
      <c r="S47" s="59" t="n">
        <v>39.864</v>
      </c>
      <c r="T47" s="60" t="n">
        <v>59.796</v>
      </c>
    </row>
    <row r="48" customFormat="false" ht="12.75" hidden="false" customHeight="false" outlineLevel="0" collapsed="false">
      <c r="A48" s="47" t="n">
        <v>37022</v>
      </c>
      <c r="B48" s="12" t="n">
        <v>8</v>
      </c>
      <c r="C48" s="48" t="n">
        <v>0</v>
      </c>
      <c r="D48" s="49" t="n">
        <v>0</v>
      </c>
      <c r="E48" s="50" t="n">
        <v>4.32</v>
      </c>
      <c r="F48" s="50" t="n">
        <v>4.32</v>
      </c>
      <c r="G48" s="51" t="n">
        <v>60.22</v>
      </c>
      <c r="H48" s="52"/>
      <c r="I48" s="53"/>
      <c r="J48" s="54"/>
      <c r="K48" s="49"/>
      <c r="L48" s="49"/>
      <c r="M48" s="55"/>
      <c r="N48" s="56"/>
      <c r="O48" s="57"/>
      <c r="P48" s="44"/>
      <c r="Q48" s="58"/>
      <c r="R48" s="44"/>
      <c r="S48" s="59"/>
      <c r="T48" s="60"/>
    </row>
    <row r="49" customFormat="false" ht="12.75" hidden="false" customHeight="false" outlineLevel="0" collapsed="false">
      <c r="A49" s="47" t="n">
        <v>37022</v>
      </c>
      <c r="B49" s="12" t="n">
        <v>9</v>
      </c>
      <c r="C49" s="48" t="n">
        <v>0</v>
      </c>
      <c r="D49" s="49" t="n">
        <v>0</v>
      </c>
      <c r="E49" s="50" t="n">
        <v>4.32</v>
      </c>
      <c r="F49" s="50" t="n">
        <v>4.32</v>
      </c>
      <c r="G49" s="51" t="n">
        <v>60.22</v>
      </c>
      <c r="H49" s="52"/>
      <c r="I49" s="53"/>
      <c r="J49" s="54"/>
      <c r="K49" s="49"/>
      <c r="L49" s="49"/>
      <c r="M49" s="55"/>
      <c r="N49" s="56"/>
      <c r="O49" s="57"/>
      <c r="P49" s="44"/>
      <c r="Q49" s="58"/>
      <c r="R49" s="44"/>
      <c r="S49" s="59"/>
      <c r="T49" s="60"/>
    </row>
    <row r="50" customFormat="false" ht="12.75" hidden="false" customHeight="false" outlineLevel="0" collapsed="false">
      <c r="A50" s="47" t="n">
        <v>37022</v>
      </c>
      <c r="B50" s="12" t="n">
        <v>10</v>
      </c>
      <c r="C50" s="48" t="n">
        <v>0</v>
      </c>
      <c r="D50" s="49" t="n">
        <v>0</v>
      </c>
      <c r="E50" s="50" t="n">
        <v>4.32</v>
      </c>
      <c r="F50" s="50" t="n">
        <v>4.32</v>
      </c>
      <c r="G50" s="51" t="n">
        <v>60.22</v>
      </c>
      <c r="H50" s="52"/>
      <c r="I50" s="53"/>
      <c r="J50" s="54"/>
      <c r="K50" s="49"/>
      <c r="L50" s="49"/>
      <c r="M50" s="55"/>
      <c r="N50" s="56"/>
      <c r="O50" s="57"/>
      <c r="P50" s="44"/>
      <c r="Q50" s="58"/>
      <c r="R50" s="44"/>
      <c r="S50" s="59"/>
      <c r="T50" s="60"/>
    </row>
    <row r="51" customFormat="false" ht="12.75" hidden="false" customHeight="false" outlineLevel="0" collapsed="false">
      <c r="A51" s="47" t="n">
        <v>37022</v>
      </c>
      <c r="B51" s="12" t="n">
        <v>11</v>
      </c>
      <c r="C51" s="48" t="n">
        <v>0</v>
      </c>
      <c r="D51" s="49" t="n">
        <v>0</v>
      </c>
      <c r="E51" s="50" t="n">
        <v>4.32</v>
      </c>
      <c r="F51" s="50" t="n">
        <v>4.32</v>
      </c>
      <c r="G51" s="51" t="n">
        <v>60.22</v>
      </c>
      <c r="H51" s="52"/>
      <c r="I51" s="53"/>
      <c r="J51" s="54"/>
      <c r="K51" s="49"/>
      <c r="L51" s="49"/>
      <c r="M51" s="55"/>
      <c r="N51" s="56"/>
      <c r="O51" s="57"/>
      <c r="P51" s="44"/>
      <c r="Q51" s="58"/>
      <c r="R51" s="44"/>
      <c r="S51" s="59"/>
      <c r="T51" s="60"/>
    </row>
    <row r="52" customFormat="false" ht="12.75" hidden="false" customHeight="false" outlineLevel="0" collapsed="false">
      <c r="A52" s="47" t="n">
        <v>37022</v>
      </c>
      <c r="B52" s="12" t="n">
        <v>12</v>
      </c>
      <c r="C52" s="48" t="n">
        <v>0</v>
      </c>
      <c r="D52" s="49" t="n">
        <v>0</v>
      </c>
      <c r="E52" s="50" t="n">
        <v>4.32</v>
      </c>
      <c r="F52" s="50" t="n">
        <v>4.32</v>
      </c>
      <c r="G52" s="51" t="n">
        <v>60.22</v>
      </c>
      <c r="H52" s="52"/>
      <c r="I52" s="53"/>
      <c r="J52" s="54"/>
      <c r="K52" s="49"/>
      <c r="L52" s="49"/>
      <c r="M52" s="55"/>
      <c r="N52" s="56"/>
      <c r="O52" s="57"/>
      <c r="P52" s="44"/>
      <c r="Q52" s="58"/>
      <c r="R52" s="44"/>
      <c r="S52" s="59"/>
      <c r="T52" s="60"/>
    </row>
    <row r="53" customFormat="false" ht="12.75" hidden="false" customHeight="false" outlineLevel="0" collapsed="false">
      <c r="A53" s="47" t="n">
        <v>37022</v>
      </c>
      <c r="B53" s="12" t="n">
        <v>13</v>
      </c>
      <c r="C53" s="48" t="n">
        <v>0</v>
      </c>
      <c r="D53" s="49" t="n">
        <v>0</v>
      </c>
      <c r="E53" s="50" t="n">
        <v>4.32</v>
      </c>
      <c r="F53" s="50" t="n">
        <v>4.32</v>
      </c>
      <c r="G53" s="51" t="n">
        <v>60.22</v>
      </c>
      <c r="H53" s="52"/>
      <c r="I53" s="53"/>
      <c r="J53" s="54"/>
      <c r="K53" s="49"/>
      <c r="L53" s="49"/>
      <c r="M53" s="55"/>
      <c r="N53" s="56"/>
      <c r="O53" s="57"/>
      <c r="P53" s="44"/>
      <c r="Q53" s="58"/>
      <c r="R53" s="44"/>
      <c r="S53" s="59"/>
      <c r="T53" s="60"/>
    </row>
    <row r="54" customFormat="false" ht="12.75" hidden="false" customHeight="false" outlineLevel="0" collapsed="false">
      <c r="A54" s="47" t="n">
        <v>37022</v>
      </c>
      <c r="B54" s="12" t="n">
        <v>14</v>
      </c>
      <c r="C54" s="48" t="n">
        <v>5</v>
      </c>
      <c r="D54" s="49" t="n">
        <v>59</v>
      </c>
      <c r="E54" s="50" t="n">
        <v>4.32</v>
      </c>
      <c r="F54" s="50" t="n">
        <v>4.32</v>
      </c>
      <c r="G54" s="51" t="n">
        <v>60.22</v>
      </c>
      <c r="H54" s="52" t="n">
        <v>1.22</v>
      </c>
      <c r="I54" s="53" t="n">
        <v>6.09999999999999</v>
      </c>
      <c r="J54" s="54" t="n">
        <v>0.488</v>
      </c>
      <c r="K54" s="49" t="n">
        <v>0.731999999999999</v>
      </c>
      <c r="L54" s="49" t="n">
        <v>2.44</v>
      </c>
      <c r="M54" s="55" t="n">
        <v>3.66</v>
      </c>
      <c r="N54" s="56" t="n">
        <v>59</v>
      </c>
      <c r="O54" s="57" t="n">
        <v>59.488</v>
      </c>
      <c r="P54" s="44" t="n">
        <v>295</v>
      </c>
      <c r="Q54" s="58" t="n">
        <v>297.44</v>
      </c>
      <c r="R54" s="44"/>
      <c r="S54" s="59" t="n">
        <v>2.44</v>
      </c>
      <c r="T54" s="60" t="n">
        <v>3.66</v>
      </c>
    </row>
    <row r="55" customFormat="false" ht="12.75" hidden="false" customHeight="false" outlineLevel="0" collapsed="false">
      <c r="A55" s="47" t="n">
        <v>37022</v>
      </c>
      <c r="B55" s="12" t="n">
        <v>15</v>
      </c>
      <c r="C55" s="48" t="n">
        <v>5</v>
      </c>
      <c r="D55" s="49" t="n">
        <v>59</v>
      </c>
      <c r="E55" s="50" t="n">
        <v>4.32</v>
      </c>
      <c r="F55" s="50" t="n">
        <v>4.32</v>
      </c>
      <c r="G55" s="51" t="n">
        <v>60.22</v>
      </c>
      <c r="H55" s="52" t="n">
        <v>1.22</v>
      </c>
      <c r="I55" s="53" t="n">
        <v>6.09999999999999</v>
      </c>
      <c r="J55" s="54" t="n">
        <v>0.488</v>
      </c>
      <c r="K55" s="49" t="n">
        <v>0.731999999999999</v>
      </c>
      <c r="L55" s="49" t="n">
        <v>2.44</v>
      </c>
      <c r="M55" s="55" t="n">
        <v>3.66</v>
      </c>
      <c r="N55" s="56" t="n">
        <v>59</v>
      </c>
      <c r="O55" s="57"/>
      <c r="P55" s="44" t="n">
        <v>295</v>
      </c>
      <c r="Q55" s="58" t="n">
        <v>0</v>
      </c>
      <c r="R55" s="44"/>
      <c r="S55" s="59" t="n">
        <v>2.44</v>
      </c>
      <c r="T55" s="60" t="n">
        <v>3.66</v>
      </c>
    </row>
    <row r="56" customFormat="false" ht="12.75" hidden="false" customHeight="false" outlineLevel="0" collapsed="false">
      <c r="A56" s="47" t="n">
        <v>37022</v>
      </c>
      <c r="B56" s="12" t="n">
        <v>16</v>
      </c>
      <c r="C56" s="48" t="n">
        <v>5</v>
      </c>
      <c r="D56" s="49" t="n">
        <v>59</v>
      </c>
      <c r="E56" s="50" t="n">
        <v>4.32</v>
      </c>
      <c r="F56" s="50" t="n">
        <v>4.32</v>
      </c>
      <c r="G56" s="51" t="n">
        <v>60.22</v>
      </c>
      <c r="H56" s="52" t="n">
        <v>1.22</v>
      </c>
      <c r="I56" s="53" t="n">
        <v>6.09999999999999</v>
      </c>
      <c r="J56" s="54" t="n">
        <v>0.488</v>
      </c>
      <c r="K56" s="49" t="n">
        <v>0.731999999999999</v>
      </c>
      <c r="L56" s="49" t="n">
        <v>2.44</v>
      </c>
      <c r="M56" s="55" t="n">
        <v>3.66</v>
      </c>
      <c r="N56" s="56" t="n">
        <v>59</v>
      </c>
      <c r="O56" s="57"/>
      <c r="P56" s="44" t="n">
        <v>295</v>
      </c>
      <c r="Q56" s="58" t="n">
        <v>0</v>
      </c>
      <c r="R56" s="44"/>
      <c r="S56" s="59" t="n">
        <v>2.44</v>
      </c>
      <c r="T56" s="60" t="n">
        <v>3.66</v>
      </c>
    </row>
    <row r="57" customFormat="false" ht="12.75" hidden="false" customHeight="false" outlineLevel="0" collapsed="false">
      <c r="A57" s="47" t="n">
        <v>37022</v>
      </c>
      <c r="B57" s="12" t="n">
        <v>17</v>
      </c>
      <c r="C57" s="48" t="n">
        <v>5</v>
      </c>
      <c r="D57" s="49" t="n">
        <v>59</v>
      </c>
      <c r="E57" s="50" t="n">
        <v>4.32</v>
      </c>
      <c r="F57" s="50" t="n">
        <v>4.32</v>
      </c>
      <c r="G57" s="51" t="n">
        <v>60.22</v>
      </c>
      <c r="H57" s="52" t="n">
        <v>1.22</v>
      </c>
      <c r="I57" s="53" t="n">
        <v>6.09999999999999</v>
      </c>
      <c r="J57" s="54" t="n">
        <v>0.488</v>
      </c>
      <c r="K57" s="49" t="n">
        <v>0.731999999999999</v>
      </c>
      <c r="L57" s="49" t="n">
        <v>2.44</v>
      </c>
      <c r="M57" s="55" t="n">
        <v>3.66</v>
      </c>
      <c r="N57" s="56" t="n">
        <v>59</v>
      </c>
      <c r="O57" s="57"/>
      <c r="P57" s="44" t="n">
        <v>295</v>
      </c>
      <c r="Q57" s="58" t="n">
        <v>0</v>
      </c>
      <c r="R57" s="44"/>
      <c r="S57" s="59" t="n">
        <v>2.44</v>
      </c>
      <c r="T57" s="60" t="n">
        <v>3.66</v>
      </c>
    </row>
    <row r="58" customFormat="false" ht="12.75" hidden="false" customHeight="false" outlineLevel="0" collapsed="false">
      <c r="A58" s="47" t="n">
        <v>37022</v>
      </c>
      <c r="B58" s="12" t="n">
        <v>18</v>
      </c>
      <c r="C58" s="48" t="n">
        <v>5</v>
      </c>
      <c r="D58" s="49" t="n">
        <v>59</v>
      </c>
      <c r="E58" s="50" t="n">
        <v>4.32</v>
      </c>
      <c r="F58" s="50" t="n">
        <v>4.32</v>
      </c>
      <c r="G58" s="51" t="n">
        <v>60.22</v>
      </c>
      <c r="H58" s="52" t="n">
        <v>1.22</v>
      </c>
      <c r="I58" s="53" t="n">
        <v>6.09999999999999</v>
      </c>
      <c r="J58" s="54" t="n">
        <v>0.488</v>
      </c>
      <c r="K58" s="49" t="n">
        <v>0.731999999999999</v>
      </c>
      <c r="L58" s="49" t="n">
        <v>2.44</v>
      </c>
      <c r="M58" s="55" t="n">
        <v>3.66</v>
      </c>
      <c r="N58" s="56" t="n">
        <v>59</v>
      </c>
      <c r="O58" s="57" t="n">
        <v>59.488</v>
      </c>
      <c r="P58" s="44" t="n">
        <v>295</v>
      </c>
      <c r="Q58" s="58" t="n">
        <v>297.44</v>
      </c>
      <c r="R58" s="44"/>
      <c r="S58" s="59" t="n">
        <v>2.44</v>
      </c>
      <c r="T58" s="60" t="n">
        <v>3.66</v>
      </c>
    </row>
    <row r="59" customFormat="false" ht="12.75" hidden="false" customHeight="false" outlineLevel="0" collapsed="false">
      <c r="A59" s="47" t="n">
        <v>37022</v>
      </c>
      <c r="B59" s="12" t="n">
        <v>19</v>
      </c>
      <c r="C59" s="48" t="n">
        <v>0</v>
      </c>
      <c r="D59" s="49" t="n">
        <v>0</v>
      </c>
      <c r="E59" s="50" t="n">
        <v>4.32</v>
      </c>
      <c r="F59" s="50" t="n">
        <v>4.32</v>
      </c>
      <c r="G59" s="51" t="n">
        <v>60.22</v>
      </c>
      <c r="H59" s="52"/>
      <c r="I59" s="53"/>
      <c r="J59" s="54"/>
      <c r="K59" s="49"/>
      <c r="L59" s="49"/>
      <c r="M59" s="55"/>
      <c r="N59" s="56"/>
      <c r="O59" s="57"/>
      <c r="P59" s="44"/>
      <c r="Q59" s="58"/>
      <c r="R59" s="44"/>
      <c r="S59" s="59"/>
      <c r="T59" s="60"/>
    </row>
    <row r="60" customFormat="false" ht="12.75" hidden="false" customHeight="false" outlineLevel="0" collapsed="false">
      <c r="A60" s="47" t="n">
        <v>37022</v>
      </c>
      <c r="B60" s="12" t="n">
        <v>20</v>
      </c>
      <c r="C60" s="48" t="n">
        <v>3</v>
      </c>
      <c r="D60" s="49" t="n">
        <v>35</v>
      </c>
      <c r="E60" s="50" t="n">
        <v>4.32</v>
      </c>
      <c r="F60" s="50" t="n">
        <v>4.32</v>
      </c>
      <c r="G60" s="51" t="n">
        <v>60.22</v>
      </c>
      <c r="H60" s="52" t="n">
        <v>25.22</v>
      </c>
      <c r="I60" s="53" t="n">
        <v>75.66</v>
      </c>
      <c r="J60" s="54" t="n">
        <v>10.088</v>
      </c>
      <c r="K60" s="49" t="n">
        <v>15.132</v>
      </c>
      <c r="L60" s="49" t="n">
        <v>30.264</v>
      </c>
      <c r="M60" s="55" t="n">
        <v>45.396</v>
      </c>
      <c r="N60" s="56" t="n">
        <v>35</v>
      </c>
      <c r="O60" s="57" t="n">
        <v>45.088</v>
      </c>
      <c r="P60" s="44" t="n">
        <v>105</v>
      </c>
      <c r="Q60" s="58" t="n">
        <v>135.264</v>
      </c>
      <c r="R60" s="44"/>
      <c r="S60" s="59" t="n">
        <v>30.264</v>
      </c>
      <c r="T60" s="60" t="n">
        <v>45.396</v>
      </c>
    </row>
    <row r="61" customFormat="false" ht="12.75" hidden="false" customHeight="false" outlineLevel="0" collapsed="false">
      <c r="A61" s="47" t="n">
        <v>37022</v>
      </c>
      <c r="B61" s="12" t="n">
        <v>21</v>
      </c>
      <c r="C61" s="48" t="n">
        <v>4</v>
      </c>
      <c r="D61" s="49" t="n">
        <v>32</v>
      </c>
      <c r="E61" s="50" t="n">
        <v>4.32</v>
      </c>
      <c r="F61" s="50" t="n">
        <v>4.32</v>
      </c>
      <c r="G61" s="51" t="n">
        <v>60.22</v>
      </c>
      <c r="H61" s="52" t="n">
        <v>28.22</v>
      </c>
      <c r="I61" s="53" t="n">
        <v>112.88</v>
      </c>
      <c r="J61" s="54" t="n">
        <v>11.288</v>
      </c>
      <c r="K61" s="49" t="n">
        <v>16.932</v>
      </c>
      <c r="L61" s="49" t="n">
        <v>45.152</v>
      </c>
      <c r="M61" s="55" t="n">
        <v>67.728</v>
      </c>
      <c r="N61" s="56" t="n">
        <v>32</v>
      </c>
      <c r="O61" s="57" t="n">
        <v>43.288</v>
      </c>
      <c r="P61" s="44" t="n">
        <v>128</v>
      </c>
      <c r="Q61" s="58" t="n">
        <v>173.152</v>
      </c>
      <c r="R61" s="44"/>
      <c r="S61" s="59" t="n">
        <v>45.152</v>
      </c>
      <c r="T61" s="60" t="n">
        <v>67.728</v>
      </c>
    </row>
    <row r="62" customFormat="false" ht="12.75" hidden="false" customHeight="false" outlineLevel="0" collapsed="false">
      <c r="A62" s="47" t="n">
        <v>37022</v>
      </c>
      <c r="B62" s="12" t="n">
        <v>22</v>
      </c>
      <c r="C62" s="48" t="n">
        <v>0</v>
      </c>
      <c r="D62" s="49" t="n">
        <v>0</v>
      </c>
      <c r="E62" s="50" t="n">
        <v>4.32</v>
      </c>
      <c r="F62" s="50" t="n">
        <v>4.32</v>
      </c>
      <c r="G62" s="51" t="n">
        <v>60.22</v>
      </c>
      <c r="H62" s="52"/>
      <c r="I62" s="53"/>
      <c r="J62" s="54"/>
      <c r="K62" s="49"/>
      <c r="L62" s="49"/>
      <c r="M62" s="55"/>
      <c r="N62" s="56"/>
      <c r="O62" s="57"/>
      <c r="P62" s="44"/>
      <c r="Q62" s="58"/>
      <c r="R62" s="44"/>
      <c r="S62" s="59"/>
      <c r="T62" s="60"/>
    </row>
    <row r="63" customFormat="false" ht="12.75" hidden="false" customHeight="false" outlineLevel="0" collapsed="false">
      <c r="A63" s="47" t="n">
        <v>37022</v>
      </c>
      <c r="B63" s="12" t="n">
        <v>23</v>
      </c>
      <c r="C63" s="48" t="n">
        <v>17</v>
      </c>
      <c r="D63" s="49" t="n">
        <v>25</v>
      </c>
      <c r="E63" s="50" t="n">
        <v>4.32</v>
      </c>
      <c r="F63" s="50" t="n">
        <v>4.32</v>
      </c>
      <c r="G63" s="51" t="n">
        <v>60.22</v>
      </c>
      <c r="H63" s="52" t="n">
        <v>35.22</v>
      </c>
      <c r="I63" s="53" t="n">
        <v>598.74</v>
      </c>
      <c r="J63" s="54" t="n">
        <v>1</v>
      </c>
      <c r="K63" s="44" t="n">
        <v>34.22</v>
      </c>
      <c r="L63" s="44" t="n">
        <v>17</v>
      </c>
      <c r="M63" s="55" t="n">
        <v>581.74</v>
      </c>
      <c r="N63" s="56" t="n">
        <v>25</v>
      </c>
      <c r="O63" s="57" t="n">
        <v>26</v>
      </c>
      <c r="P63" s="44" t="n">
        <v>425</v>
      </c>
      <c r="Q63" s="58" t="n">
        <v>442</v>
      </c>
      <c r="R63" s="44"/>
      <c r="S63" s="59" t="n">
        <v>17</v>
      </c>
      <c r="T63" s="60" t="n">
        <v>581.74</v>
      </c>
    </row>
    <row r="64" customFormat="false" ht="12.75" hidden="false" customHeight="false" outlineLevel="0" collapsed="false">
      <c r="A64" s="61" t="n">
        <v>37022</v>
      </c>
      <c r="B64" s="62" t="n">
        <v>24</v>
      </c>
      <c r="C64" s="63" t="n">
        <v>13</v>
      </c>
      <c r="D64" s="64" t="n">
        <v>21</v>
      </c>
      <c r="E64" s="65" t="n">
        <v>4.32</v>
      </c>
      <c r="F64" s="65" t="n">
        <v>4.32</v>
      </c>
      <c r="G64" s="66" t="n">
        <v>60.22</v>
      </c>
      <c r="H64" s="67" t="n">
        <v>39.22</v>
      </c>
      <c r="I64" s="68" t="n">
        <v>509.86</v>
      </c>
      <c r="J64" s="69" t="n">
        <v>1</v>
      </c>
      <c r="K64" s="70" t="n">
        <v>38.22</v>
      </c>
      <c r="L64" s="70" t="n">
        <v>13</v>
      </c>
      <c r="M64" s="71" t="n">
        <v>496.86</v>
      </c>
      <c r="N64" s="72" t="n">
        <v>21</v>
      </c>
      <c r="O64" s="73" t="n">
        <v>22</v>
      </c>
      <c r="P64" s="70" t="n">
        <v>273</v>
      </c>
      <c r="Q64" s="74" t="n">
        <v>286</v>
      </c>
      <c r="R64" s="44"/>
      <c r="S64" s="75" t="n">
        <v>13</v>
      </c>
      <c r="T64" s="76" t="n">
        <v>496.86</v>
      </c>
    </row>
    <row r="65" customFormat="false" ht="12.75" hidden="false" customHeight="false" outlineLevel="0" collapsed="false">
      <c r="D65" s="0"/>
      <c r="N65" s="0"/>
      <c r="P65" s="0"/>
      <c r="R65" s="0"/>
      <c r="T65" s="0"/>
    </row>
    <row r="66" customFormat="false" ht="12.75" hidden="false" customHeight="false" outlineLevel="0" collapsed="false">
      <c r="Q66" s="78" t="n">
        <v>2372.16</v>
      </c>
      <c r="R66" s="0"/>
      <c r="T66" s="0"/>
    </row>
    <row r="67" customFormat="false" ht="12.75" hidden="false" customHeight="false" outlineLevel="0" collapsed="false">
      <c r="D67" s="0"/>
      <c r="N67" s="0"/>
      <c r="P67" s="0"/>
      <c r="R67" s="0"/>
      <c r="T67" s="0"/>
    </row>
    <row r="68" customFormat="false" ht="12.75" hidden="true" customHeight="true" outlineLevel="0" collapsed="false">
      <c r="B68" s="0" t="s">
        <v>33</v>
      </c>
      <c r="C68" s="0" t="n">
        <v>241</v>
      </c>
      <c r="R68" s="0"/>
      <c r="T68" s="0"/>
    </row>
  </sheetData>
  <mergeCells count="18">
    <mergeCell ref="A1:C1"/>
    <mergeCell ref="A2:B2"/>
    <mergeCell ref="E3:G3"/>
    <mergeCell ref="H3:I3"/>
    <mergeCell ref="J3:M3"/>
    <mergeCell ref="N3:Q3"/>
    <mergeCell ref="S3:T3"/>
    <mergeCell ref="B4:D4"/>
    <mergeCell ref="N4:O4"/>
    <mergeCell ref="P4:Q4"/>
    <mergeCell ref="E37:G37"/>
    <mergeCell ref="H37:I37"/>
    <mergeCell ref="J37:M37"/>
    <mergeCell ref="N37:Q37"/>
    <mergeCell ref="S37:T37"/>
    <mergeCell ref="B38:D38"/>
    <mergeCell ref="N38:O38"/>
    <mergeCell ref="P38:Q38"/>
  </mergeCells>
  <conditionalFormatting sqref="K5:K12 H3:H5 E3:G6 I3:I30 J3:J12 L5:M30 J29:K30 K4:N4 A1:C2 D31:G36 I31:M36 N5:N36 P65:IV65536 P4:T36 U1:IV64 K39:K46 H8:H39 A39:D64 E37:G40 I37:I64 J37:J46 J63:K64 K38:N38 D5:D30 L39:N64 A5:C36 H42:H64 A65:N65536 D1:D3 D37 P38:T64">
    <cfRule type="cellIs" priority="2" operator="equal" aboveAverage="0" equalAverage="0" bottom="0" percent="0" rank="0" text="" dxfId="10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9.9921875" defaultRowHeight="12.75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3" min="3" style="0" width="13.14"/>
    <col collapsed="false" customWidth="true" hidden="false" outlineLevel="0" max="4" min="4" style="1" width="23.99"/>
    <col collapsed="false" customWidth="true" hidden="false" outlineLevel="0" max="7" min="5" style="0" width="14.41"/>
    <col collapsed="false" customWidth="true" hidden="false" outlineLevel="0" max="8" min="8" style="0" width="28.99"/>
    <col collapsed="false" customWidth="true" hidden="false" outlineLevel="0" max="9" min="9" style="0" width="26.56"/>
    <col collapsed="false" customWidth="true" hidden="false" outlineLevel="0" max="10" min="10" style="0" width="17.14"/>
    <col collapsed="false" customWidth="true" hidden="false" outlineLevel="0" max="11" min="11" style="0" width="14.28"/>
    <col collapsed="false" customWidth="true" hidden="false" outlineLevel="0" max="13" min="12" style="0" width="26.56"/>
    <col collapsed="false" customWidth="true" hidden="false" outlineLevel="0" max="14" min="14" style="2" width="15.28"/>
    <col collapsed="false" customWidth="true" hidden="false" outlineLevel="0" max="15" min="15" style="0" width="15.28"/>
    <col collapsed="false" customWidth="true" hidden="false" outlineLevel="0" max="16" min="16" style="2" width="15.28"/>
    <col collapsed="false" customWidth="true" hidden="false" outlineLevel="0" max="17" min="17" style="0" width="17.56"/>
    <col collapsed="false" customWidth="true" hidden="false" outlineLevel="0" max="18" min="18" style="2" width="2.56"/>
    <col collapsed="false" customWidth="true" hidden="false" outlineLevel="0" max="19" min="19" style="0" width="12.42"/>
    <col collapsed="false" customWidth="true" hidden="false" outlineLevel="0" max="20" min="20" style="1" width="14.56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3" t="s">
        <v>1</v>
      </c>
      <c r="B2" s="3"/>
      <c r="C2" s="83" t="n">
        <v>37023</v>
      </c>
      <c r="D2" s="5"/>
    </row>
    <row r="3" customFormat="false" ht="12.75" hidden="false" customHeight="false" outlineLevel="0" collapsed="false">
      <c r="A3" s="6"/>
      <c r="B3" s="6"/>
      <c r="C3" s="84" t="n">
        <v>37023</v>
      </c>
      <c r="D3" s="7"/>
      <c r="E3" s="8" t="s">
        <v>2</v>
      </c>
      <c r="F3" s="8"/>
      <c r="G3" s="8"/>
      <c r="H3" s="9" t="s">
        <v>3</v>
      </c>
      <c r="I3" s="9"/>
      <c r="J3" s="9" t="s">
        <v>4</v>
      </c>
      <c r="K3" s="9"/>
      <c r="L3" s="9"/>
      <c r="M3" s="9"/>
      <c r="N3" s="10" t="s">
        <v>5</v>
      </c>
      <c r="O3" s="10"/>
      <c r="P3" s="10"/>
      <c r="Q3" s="10"/>
      <c r="R3" s="11"/>
      <c r="S3" s="10" t="s">
        <v>6</v>
      </c>
      <c r="T3" s="10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B4" s="85" t="s">
        <v>34</v>
      </c>
      <c r="C4" s="85"/>
      <c r="D4" s="85"/>
      <c r="E4" s="13"/>
      <c r="F4" s="14"/>
      <c r="G4" s="15"/>
      <c r="H4" s="16" t="s">
        <v>7</v>
      </c>
      <c r="I4" s="17" t="s">
        <v>7</v>
      </c>
      <c r="J4" s="16" t="s">
        <v>8</v>
      </c>
      <c r="K4" s="18" t="s">
        <v>9</v>
      </c>
      <c r="L4" s="18" t="s">
        <v>8</v>
      </c>
      <c r="M4" s="17" t="s">
        <v>9</v>
      </c>
      <c r="N4" s="19" t="s">
        <v>10</v>
      </c>
      <c r="O4" s="19"/>
      <c r="P4" s="19" t="s">
        <v>11</v>
      </c>
      <c r="Q4" s="19"/>
      <c r="R4" s="11"/>
      <c r="S4" s="20"/>
      <c r="T4" s="21"/>
    </row>
    <row r="5" customFormat="false" ht="12.75" hidden="false" customHeight="false" outlineLevel="0" collapsed="false">
      <c r="E5" s="16" t="s">
        <v>12</v>
      </c>
      <c r="F5" s="18" t="s">
        <v>12</v>
      </c>
      <c r="G5" s="17" t="s">
        <v>13</v>
      </c>
      <c r="H5" s="16" t="s">
        <v>14</v>
      </c>
      <c r="I5" s="17" t="s">
        <v>14</v>
      </c>
      <c r="J5" s="22" t="s">
        <v>15</v>
      </c>
      <c r="K5" s="18" t="s">
        <v>16</v>
      </c>
      <c r="L5" s="18" t="s">
        <v>17</v>
      </c>
      <c r="M5" s="17" t="s">
        <v>18</v>
      </c>
      <c r="N5" s="23"/>
      <c r="O5" s="15"/>
      <c r="P5" s="22"/>
      <c r="Q5" s="24" t="s">
        <v>19</v>
      </c>
      <c r="R5" s="11"/>
      <c r="S5" s="16" t="s">
        <v>20</v>
      </c>
      <c r="T5" s="25" t="s">
        <v>21</v>
      </c>
    </row>
    <row r="6" customFormat="false" ht="12.75" hidden="false" customHeight="false" outlineLevel="0" collapsed="false">
      <c r="A6" s="26" t="s">
        <v>22</v>
      </c>
      <c r="B6" s="27" t="s">
        <v>23</v>
      </c>
      <c r="C6" s="27" t="s">
        <v>24</v>
      </c>
      <c r="D6" s="28" t="s">
        <v>25</v>
      </c>
      <c r="E6" s="22" t="s">
        <v>26</v>
      </c>
      <c r="F6" s="5" t="s">
        <v>27</v>
      </c>
      <c r="G6" s="25" t="s">
        <v>28</v>
      </c>
      <c r="H6" s="22" t="s">
        <v>29</v>
      </c>
      <c r="I6" s="25" t="s">
        <v>30</v>
      </c>
      <c r="J6" s="22" t="s">
        <v>10</v>
      </c>
      <c r="K6" s="5" t="s">
        <v>10</v>
      </c>
      <c r="L6" s="5" t="s">
        <v>30</v>
      </c>
      <c r="M6" s="25" t="s">
        <v>30</v>
      </c>
      <c r="N6" s="22" t="s">
        <v>20</v>
      </c>
      <c r="O6" s="25" t="s">
        <v>21</v>
      </c>
      <c r="P6" s="22" t="s">
        <v>20</v>
      </c>
      <c r="Q6" s="29" t="s">
        <v>21</v>
      </c>
      <c r="R6" s="5"/>
      <c r="S6" s="22" t="s">
        <v>31</v>
      </c>
      <c r="T6" s="25" t="s">
        <v>32</v>
      </c>
      <c r="U6" s="30"/>
      <c r="V6" s="30"/>
    </row>
    <row r="7" customFormat="false" ht="12.75" hidden="false" customHeight="false" outlineLevel="0" collapsed="false">
      <c r="A7" s="31" t="n">
        <v>37023</v>
      </c>
      <c r="B7" s="32" t="n">
        <v>1</v>
      </c>
      <c r="C7" s="33" t="n">
        <v>0</v>
      </c>
      <c r="D7" s="46" t="n">
        <v>0</v>
      </c>
      <c r="E7" s="35" t="n">
        <v>4.5</v>
      </c>
      <c r="F7" s="35" t="n">
        <v>4.5</v>
      </c>
      <c r="G7" s="36" t="n">
        <v>63.23</v>
      </c>
      <c r="H7" s="37"/>
      <c r="I7" s="38"/>
      <c r="J7" s="39"/>
      <c r="K7" s="40"/>
      <c r="L7" s="40"/>
      <c r="M7" s="21"/>
      <c r="N7" s="41"/>
      <c r="O7" s="42"/>
      <c r="P7" s="40"/>
      <c r="Q7" s="43"/>
      <c r="R7" s="44"/>
      <c r="S7" s="45"/>
      <c r="T7" s="46"/>
    </row>
    <row r="8" customFormat="false" ht="12.75" hidden="false" customHeight="false" outlineLevel="0" collapsed="false">
      <c r="A8" s="47" t="n">
        <v>37023</v>
      </c>
      <c r="B8" s="12" t="n">
        <v>2</v>
      </c>
      <c r="C8" s="48" t="n">
        <v>0</v>
      </c>
      <c r="D8" s="60" t="n">
        <v>0</v>
      </c>
      <c r="E8" s="50" t="n">
        <v>4.5</v>
      </c>
      <c r="F8" s="50" t="n">
        <v>4.5</v>
      </c>
      <c r="G8" s="51" t="n">
        <v>63.23</v>
      </c>
      <c r="H8" s="52"/>
      <c r="I8" s="53"/>
      <c r="J8" s="54"/>
      <c r="K8" s="44"/>
      <c r="L8" s="44"/>
      <c r="M8" s="55"/>
      <c r="N8" s="56"/>
      <c r="O8" s="57"/>
      <c r="P8" s="44"/>
      <c r="Q8" s="58"/>
      <c r="R8" s="44"/>
      <c r="S8" s="59"/>
      <c r="T8" s="60"/>
    </row>
    <row r="9" customFormat="false" ht="12.75" hidden="false" customHeight="false" outlineLevel="0" collapsed="false">
      <c r="A9" s="47" t="n">
        <v>37023</v>
      </c>
      <c r="B9" s="12" t="n">
        <v>3</v>
      </c>
      <c r="C9" s="48" t="n">
        <v>0</v>
      </c>
      <c r="D9" s="60" t="n">
        <v>0</v>
      </c>
      <c r="E9" s="50" t="n">
        <v>4.5</v>
      </c>
      <c r="F9" s="50" t="n">
        <v>4.5</v>
      </c>
      <c r="G9" s="51" t="n">
        <v>63.23</v>
      </c>
      <c r="H9" s="52"/>
      <c r="I9" s="53"/>
      <c r="J9" s="54"/>
      <c r="K9" s="44"/>
      <c r="L9" s="44"/>
      <c r="M9" s="55"/>
      <c r="N9" s="56"/>
      <c r="O9" s="57"/>
      <c r="P9" s="44"/>
      <c r="Q9" s="58"/>
      <c r="R9" s="44"/>
      <c r="S9" s="59"/>
      <c r="T9" s="60"/>
    </row>
    <row r="10" customFormat="false" ht="12.75" hidden="false" customHeight="false" outlineLevel="0" collapsed="false">
      <c r="A10" s="47" t="n">
        <v>37023</v>
      </c>
      <c r="B10" s="12" t="n">
        <v>4</v>
      </c>
      <c r="C10" s="48" t="n">
        <v>0</v>
      </c>
      <c r="D10" s="60" t="n">
        <v>0</v>
      </c>
      <c r="E10" s="50" t="n">
        <v>4.5</v>
      </c>
      <c r="F10" s="50" t="n">
        <v>4.5</v>
      </c>
      <c r="G10" s="51" t="n">
        <v>63.23</v>
      </c>
      <c r="H10" s="52"/>
      <c r="I10" s="53"/>
      <c r="J10" s="54"/>
      <c r="K10" s="44"/>
      <c r="L10" s="44"/>
      <c r="M10" s="55"/>
      <c r="N10" s="56"/>
      <c r="O10" s="57"/>
      <c r="P10" s="44"/>
      <c r="Q10" s="58"/>
      <c r="R10" s="44"/>
      <c r="S10" s="59"/>
      <c r="T10" s="60"/>
    </row>
    <row r="11" customFormat="false" ht="12.75" hidden="false" customHeight="false" outlineLevel="0" collapsed="false">
      <c r="A11" s="47" t="n">
        <v>37023</v>
      </c>
      <c r="B11" s="12" t="n">
        <v>5</v>
      </c>
      <c r="C11" s="48" t="n">
        <v>0</v>
      </c>
      <c r="D11" s="60" t="n">
        <v>0</v>
      </c>
      <c r="E11" s="50" t="n">
        <v>4.5</v>
      </c>
      <c r="F11" s="50" t="n">
        <v>4.5</v>
      </c>
      <c r="G11" s="51" t="n">
        <v>63.23</v>
      </c>
      <c r="H11" s="52"/>
      <c r="I11" s="53"/>
      <c r="J11" s="54"/>
      <c r="K11" s="44"/>
      <c r="L11" s="44"/>
      <c r="M11" s="55"/>
      <c r="N11" s="56"/>
      <c r="O11" s="57"/>
      <c r="P11" s="44"/>
      <c r="Q11" s="58"/>
      <c r="R11" s="44"/>
      <c r="S11" s="59"/>
      <c r="T11" s="60"/>
    </row>
    <row r="12" customFormat="false" ht="12.75" hidden="false" customHeight="false" outlineLevel="0" collapsed="false">
      <c r="A12" s="47" t="n">
        <v>37023</v>
      </c>
      <c r="B12" s="12" t="n">
        <v>6</v>
      </c>
      <c r="C12" s="48" t="n">
        <v>0</v>
      </c>
      <c r="D12" s="60" t="n">
        <v>0</v>
      </c>
      <c r="E12" s="50" t="n">
        <v>4.5</v>
      </c>
      <c r="F12" s="50" t="n">
        <v>4.5</v>
      </c>
      <c r="G12" s="51" t="n">
        <v>63.23</v>
      </c>
      <c r="H12" s="52"/>
      <c r="I12" s="53"/>
      <c r="J12" s="54"/>
      <c r="K12" s="44"/>
      <c r="L12" s="44"/>
      <c r="M12" s="55"/>
      <c r="N12" s="56"/>
      <c r="O12" s="57"/>
      <c r="P12" s="44"/>
      <c r="Q12" s="58"/>
      <c r="R12" s="44"/>
      <c r="S12" s="59"/>
      <c r="T12" s="60"/>
    </row>
    <row r="13" customFormat="false" ht="12.75" hidden="false" customHeight="false" outlineLevel="0" collapsed="false">
      <c r="A13" s="47" t="n">
        <v>37023</v>
      </c>
      <c r="B13" s="12" t="n">
        <v>7</v>
      </c>
      <c r="C13" s="48" t="n">
        <v>0</v>
      </c>
      <c r="D13" s="60" t="n">
        <v>0</v>
      </c>
      <c r="E13" s="50" t="n">
        <v>4.5</v>
      </c>
      <c r="F13" s="50" t="n">
        <v>4.5</v>
      </c>
      <c r="G13" s="51" t="n">
        <v>63.23</v>
      </c>
      <c r="H13" s="52"/>
      <c r="I13" s="53"/>
      <c r="J13" s="54"/>
      <c r="K13" s="49"/>
      <c r="L13" s="49"/>
      <c r="M13" s="55"/>
      <c r="N13" s="56"/>
      <c r="O13" s="57"/>
      <c r="P13" s="44"/>
      <c r="Q13" s="58"/>
      <c r="R13" s="44"/>
      <c r="S13" s="59"/>
      <c r="T13" s="60"/>
    </row>
    <row r="14" customFormat="false" ht="12.75" hidden="false" customHeight="false" outlineLevel="0" collapsed="false">
      <c r="A14" s="47" t="n">
        <v>37023</v>
      </c>
      <c r="B14" s="12" t="n">
        <v>8</v>
      </c>
      <c r="C14" s="48" t="n">
        <v>0</v>
      </c>
      <c r="D14" s="60" t="n">
        <v>0</v>
      </c>
      <c r="E14" s="50" t="n">
        <v>4.5</v>
      </c>
      <c r="F14" s="50" t="n">
        <v>4.5</v>
      </c>
      <c r="G14" s="51" t="n">
        <v>63.23</v>
      </c>
      <c r="H14" s="52"/>
      <c r="I14" s="53"/>
      <c r="J14" s="54"/>
      <c r="K14" s="49"/>
      <c r="L14" s="49"/>
      <c r="M14" s="55"/>
      <c r="N14" s="56"/>
      <c r="O14" s="57"/>
      <c r="P14" s="44"/>
      <c r="Q14" s="58"/>
      <c r="R14" s="44"/>
      <c r="S14" s="59"/>
      <c r="T14" s="60"/>
    </row>
    <row r="15" customFormat="false" ht="12.75" hidden="false" customHeight="false" outlineLevel="0" collapsed="false">
      <c r="A15" s="47" t="n">
        <v>37023</v>
      </c>
      <c r="B15" s="12" t="n">
        <v>9</v>
      </c>
      <c r="C15" s="48" t="n">
        <v>0</v>
      </c>
      <c r="D15" s="60" t="n">
        <v>0</v>
      </c>
      <c r="E15" s="50" t="n">
        <v>4.5</v>
      </c>
      <c r="F15" s="50" t="n">
        <v>4.5</v>
      </c>
      <c r="G15" s="51" t="n">
        <v>63.23</v>
      </c>
      <c r="H15" s="52"/>
      <c r="I15" s="53"/>
      <c r="J15" s="54"/>
      <c r="K15" s="49"/>
      <c r="L15" s="49"/>
      <c r="M15" s="55"/>
      <c r="N15" s="56"/>
      <c r="O15" s="57"/>
      <c r="P15" s="44"/>
      <c r="Q15" s="58"/>
      <c r="R15" s="44"/>
      <c r="S15" s="59"/>
      <c r="T15" s="60"/>
    </row>
    <row r="16" customFormat="false" ht="12.75" hidden="false" customHeight="false" outlineLevel="0" collapsed="false">
      <c r="A16" s="47" t="n">
        <v>37023</v>
      </c>
      <c r="B16" s="12" t="n">
        <v>10</v>
      </c>
      <c r="C16" s="48" t="n">
        <v>0</v>
      </c>
      <c r="D16" s="60" t="n">
        <v>0</v>
      </c>
      <c r="E16" s="50" t="n">
        <v>4.5</v>
      </c>
      <c r="F16" s="50" t="n">
        <v>4.5</v>
      </c>
      <c r="G16" s="51" t="n">
        <v>63.23</v>
      </c>
      <c r="H16" s="52"/>
      <c r="I16" s="53"/>
      <c r="J16" s="54"/>
      <c r="K16" s="49"/>
      <c r="L16" s="49"/>
      <c r="M16" s="55"/>
      <c r="N16" s="56"/>
      <c r="O16" s="57"/>
      <c r="P16" s="44"/>
      <c r="Q16" s="58"/>
      <c r="R16" s="44"/>
      <c r="S16" s="59"/>
      <c r="T16" s="60"/>
    </row>
    <row r="17" customFormat="false" ht="12.75" hidden="false" customHeight="false" outlineLevel="0" collapsed="false">
      <c r="A17" s="47" t="n">
        <v>37023</v>
      </c>
      <c r="B17" s="12" t="n">
        <v>11</v>
      </c>
      <c r="C17" s="48" t="n">
        <v>20</v>
      </c>
      <c r="D17" s="60" t="n">
        <v>35.5</v>
      </c>
      <c r="E17" s="50" t="n">
        <v>4.5</v>
      </c>
      <c r="F17" s="50" t="n">
        <v>4.5</v>
      </c>
      <c r="G17" s="51" t="n">
        <v>63.23</v>
      </c>
      <c r="H17" s="52" t="n">
        <v>27.73</v>
      </c>
      <c r="I17" s="53" t="n">
        <v>554.6</v>
      </c>
      <c r="J17" s="54" t="n">
        <v>11.092</v>
      </c>
      <c r="K17" s="49" t="n">
        <v>16.638</v>
      </c>
      <c r="L17" s="49" t="n">
        <v>221.84</v>
      </c>
      <c r="M17" s="55" t="n">
        <v>332.76</v>
      </c>
      <c r="N17" s="56" t="n">
        <v>35.5</v>
      </c>
      <c r="O17" s="57" t="n">
        <v>46.592</v>
      </c>
      <c r="P17" s="44" t="n">
        <v>710</v>
      </c>
      <c r="Q17" s="58" t="n">
        <v>931.84</v>
      </c>
      <c r="R17" s="44"/>
      <c r="S17" s="59" t="n">
        <v>221.84</v>
      </c>
      <c r="T17" s="60" t="n">
        <v>332.76</v>
      </c>
    </row>
    <row r="18" customFormat="false" ht="12.75" hidden="false" customHeight="false" outlineLevel="0" collapsed="false">
      <c r="A18" s="47" t="n">
        <v>37023</v>
      </c>
      <c r="B18" s="12" t="n">
        <v>12</v>
      </c>
      <c r="C18" s="48" t="n">
        <v>25</v>
      </c>
      <c r="D18" s="60" t="n">
        <v>35.5</v>
      </c>
      <c r="E18" s="50" t="n">
        <v>4.5</v>
      </c>
      <c r="F18" s="50" t="n">
        <v>4.5</v>
      </c>
      <c r="G18" s="51" t="n">
        <v>63.23</v>
      </c>
      <c r="H18" s="52" t="n">
        <v>27.73</v>
      </c>
      <c r="I18" s="53" t="n">
        <v>693.25</v>
      </c>
      <c r="J18" s="54" t="n">
        <v>11.092</v>
      </c>
      <c r="K18" s="49" t="n">
        <v>16.638</v>
      </c>
      <c r="L18" s="49" t="n">
        <v>277.3</v>
      </c>
      <c r="M18" s="55" t="n">
        <v>415.95</v>
      </c>
      <c r="N18" s="56" t="n">
        <v>35.5</v>
      </c>
      <c r="O18" s="57" t="n">
        <v>46.592</v>
      </c>
      <c r="P18" s="44" t="n">
        <v>887.5</v>
      </c>
      <c r="Q18" s="58" t="n">
        <v>1164.8</v>
      </c>
      <c r="R18" s="44"/>
      <c r="S18" s="59" t="n">
        <v>277.3</v>
      </c>
      <c r="T18" s="60" t="n">
        <v>415.95</v>
      </c>
    </row>
    <row r="19" customFormat="false" ht="12.75" hidden="false" customHeight="false" outlineLevel="0" collapsed="false">
      <c r="A19" s="47" t="n">
        <v>37023</v>
      </c>
      <c r="B19" s="12" t="n">
        <v>13</v>
      </c>
      <c r="C19" s="48" t="n">
        <v>25</v>
      </c>
      <c r="D19" s="60" t="n">
        <v>35.5</v>
      </c>
      <c r="E19" s="50" t="n">
        <v>4.5</v>
      </c>
      <c r="F19" s="50" t="n">
        <v>4.5</v>
      </c>
      <c r="G19" s="51" t="n">
        <v>63.23</v>
      </c>
      <c r="H19" s="52" t="n">
        <v>27.73</v>
      </c>
      <c r="I19" s="53" t="n">
        <v>693.25</v>
      </c>
      <c r="J19" s="54" t="n">
        <v>11.092</v>
      </c>
      <c r="K19" s="49" t="n">
        <v>16.638</v>
      </c>
      <c r="L19" s="49" t="n">
        <v>277.3</v>
      </c>
      <c r="M19" s="55" t="n">
        <v>415.95</v>
      </c>
      <c r="N19" s="56" t="n">
        <v>35.5</v>
      </c>
      <c r="O19" s="57" t="n">
        <v>46.592</v>
      </c>
      <c r="P19" s="44" t="n">
        <v>887.5</v>
      </c>
      <c r="Q19" s="58" t="n">
        <v>1164.8</v>
      </c>
      <c r="R19" s="44"/>
      <c r="S19" s="59" t="n">
        <v>277.3</v>
      </c>
      <c r="T19" s="60" t="n">
        <v>415.95</v>
      </c>
    </row>
    <row r="20" customFormat="false" ht="12.75" hidden="false" customHeight="false" outlineLevel="0" collapsed="false">
      <c r="A20" s="47" t="n">
        <v>37023</v>
      </c>
      <c r="B20" s="12" t="n">
        <v>14</v>
      </c>
      <c r="C20" s="48" t="n">
        <v>25</v>
      </c>
      <c r="D20" s="60" t="n">
        <v>35.5</v>
      </c>
      <c r="E20" s="50" t="n">
        <v>4.5</v>
      </c>
      <c r="F20" s="50" t="n">
        <v>4.5</v>
      </c>
      <c r="G20" s="51" t="n">
        <v>63.23</v>
      </c>
      <c r="H20" s="52" t="n">
        <v>27.73</v>
      </c>
      <c r="I20" s="53" t="n">
        <v>693.25</v>
      </c>
      <c r="J20" s="54" t="n">
        <v>11.092</v>
      </c>
      <c r="K20" s="49" t="n">
        <v>16.638</v>
      </c>
      <c r="L20" s="49" t="n">
        <v>277.3</v>
      </c>
      <c r="M20" s="55" t="n">
        <v>415.95</v>
      </c>
      <c r="N20" s="56" t="n">
        <v>35.5</v>
      </c>
      <c r="O20" s="57" t="n">
        <v>46.592</v>
      </c>
      <c r="P20" s="44" t="n">
        <v>887.5</v>
      </c>
      <c r="Q20" s="58" t="n">
        <v>1164.8</v>
      </c>
      <c r="R20" s="44"/>
      <c r="S20" s="59" t="n">
        <v>277.3</v>
      </c>
      <c r="T20" s="60" t="n">
        <v>415.95</v>
      </c>
    </row>
    <row r="21" customFormat="false" ht="12.75" hidden="false" customHeight="false" outlineLevel="0" collapsed="false">
      <c r="A21" s="47" t="n">
        <v>37023</v>
      </c>
      <c r="B21" s="12" t="n">
        <v>15</v>
      </c>
      <c r="C21" s="48" t="n">
        <v>25</v>
      </c>
      <c r="D21" s="60" t="n">
        <v>35.5</v>
      </c>
      <c r="E21" s="50" t="n">
        <v>4.5</v>
      </c>
      <c r="F21" s="50" t="n">
        <v>4.5</v>
      </c>
      <c r="G21" s="51" t="n">
        <v>63.23</v>
      </c>
      <c r="H21" s="52" t="n">
        <v>27.73</v>
      </c>
      <c r="I21" s="53" t="n">
        <v>693.25</v>
      </c>
      <c r="J21" s="54" t="n">
        <v>11.092</v>
      </c>
      <c r="K21" s="49" t="n">
        <v>16.638</v>
      </c>
      <c r="L21" s="49" t="n">
        <v>277.3</v>
      </c>
      <c r="M21" s="55" t="n">
        <v>415.95</v>
      </c>
      <c r="N21" s="56" t="n">
        <v>35.5</v>
      </c>
      <c r="O21" s="57" t="n">
        <v>46.592</v>
      </c>
      <c r="P21" s="44" t="n">
        <v>887.5</v>
      </c>
      <c r="Q21" s="58" t="n">
        <v>1164.8</v>
      </c>
      <c r="R21" s="44"/>
      <c r="S21" s="59" t="n">
        <v>277.3</v>
      </c>
      <c r="T21" s="60" t="n">
        <v>415.95</v>
      </c>
    </row>
    <row r="22" customFormat="false" ht="12.75" hidden="false" customHeight="false" outlineLevel="0" collapsed="false">
      <c r="A22" s="47" t="n">
        <v>37023</v>
      </c>
      <c r="B22" s="12" t="n">
        <v>16</v>
      </c>
      <c r="C22" s="48" t="n">
        <v>25</v>
      </c>
      <c r="D22" s="60" t="n">
        <v>35.5</v>
      </c>
      <c r="E22" s="50" t="n">
        <v>4.5</v>
      </c>
      <c r="F22" s="50" t="n">
        <v>4.5</v>
      </c>
      <c r="G22" s="51" t="n">
        <v>63.23</v>
      </c>
      <c r="H22" s="52" t="n">
        <v>27.73</v>
      </c>
      <c r="I22" s="53" t="n">
        <v>693.25</v>
      </c>
      <c r="J22" s="54" t="n">
        <v>11.092</v>
      </c>
      <c r="K22" s="49" t="n">
        <v>16.638</v>
      </c>
      <c r="L22" s="49" t="n">
        <v>277.3</v>
      </c>
      <c r="M22" s="55" t="n">
        <v>415.95</v>
      </c>
      <c r="N22" s="56" t="n">
        <v>35.5</v>
      </c>
      <c r="O22" s="57" t="n">
        <v>46.592</v>
      </c>
      <c r="P22" s="44" t="n">
        <v>887.5</v>
      </c>
      <c r="Q22" s="58" t="n">
        <v>1164.8</v>
      </c>
      <c r="R22" s="44"/>
      <c r="S22" s="59" t="n">
        <v>277.3</v>
      </c>
      <c r="T22" s="60" t="n">
        <v>415.95</v>
      </c>
    </row>
    <row r="23" customFormat="false" ht="12.75" hidden="false" customHeight="false" outlineLevel="0" collapsed="false">
      <c r="A23" s="47" t="n">
        <v>37023</v>
      </c>
      <c r="B23" s="12" t="n">
        <v>17</v>
      </c>
      <c r="C23" s="48" t="n">
        <v>25</v>
      </c>
      <c r="D23" s="60" t="n">
        <v>35.5</v>
      </c>
      <c r="E23" s="50" t="n">
        <v>4.5</v>
      </c>
      <c r="F23" s="50" t="n">
        <v>4.5</v>
      </c>
      <c r="G23" s="51" t="n">
        <v>63.23</v>
      </c>
      <c r="H23" s="52" t="n">
        <v>27.73</v>
      </c>
      <c r="I23" s="53" t="n">
        <v>693.25</v>
      </c>
      <c r="J23" s="54" t="n">
        <v>11.092</v>
      </c>
      <c r="K23" s="49" t="n">
        <v>16.638</v>
      </c>
      <c r="L23" s="49" t="n">
        <v>277.3</v>
      </c>
      <c r="M23" s="55" t="n">
        <v>415.95</v>
      </c>
      <c r="N23" s="56" t="n">
        <v>35.5</v>
      </c>
      <c r="O23" s="57" t="n">
        <v>46.592</v>
      </c>
      <c r="P23" s="44" t="n">
        <v>887.5</v>
      </c>
      <c r="Q23" s="58" t="n">
        <v>1164.8</v>
      </c>
      <c r="R23" s="44"/>
      <c r="S23" s="59" t="n">
        <v>277.3</v>
      </c>
      <c r="T23" s="60" t="n">
        <v>415.95</v>
      </c>
    </row>
    <row r="24" customFormat="false" ht="12.75" hidden="false" customHeight="false" outlineLevel="0" collapsed="false">
      <c r="A24" s="47" t="n">
        <v>37023</v>
      </c>
      <c r="B24" s="12" t="n">
        <v>18</v>
      </c>
      <c r="C24" s="48" t="n">
        <v>25</v>
      </c>
      <c r="D24" s="60" t="n">
        <v>35.5</v>
      </c>
      <c r="E24" s="50" t="n">
        <v>4.5</v>
      </c>
      <c r="F24" s="50" t="n">
        <v>4.5</v>
      </c>
      <c r="G24" s="51" t="n">
        <v>63.23</v>
      </c>
      <c r="H24" s="52" t="n">
        <v>27.73</v>
      </c>
      <c r="I24" s="53" t="n">
        <v>693.25</v>
      </c>
      <c r="J24" s="54" t="n">
        <v>11.092</v>
      </c>
      <c r="K24" s="49" t="n">
        <v>16.638</v>
      </c>
      <c r="L24" s="49" t="n">
        <v>277.3</v>
      </c>
      <c r="M24" s="55" t="n">
        <v>415.95</v>
      </c>
      <c r="N24" s="56" t="n">
        <v>35.5</v>
      </c>
      <c r="O24" s="57" t="n">
        <v>46.592</v>
      </c>
      <c r="P24" s="44" t="n">
        <v>887.5</v>
      </c>
      <c r="Q24" s="58" t="n">
        <v>1164.8</v>
      </c>
      <c r="R24" s="44"/>
      <c r="S24" s="59" t="n">
        <v>277.3</v>
      </c>
      <c r="T24" s="60" t="n">
        <v>415.95</v>
      </c>
    </row>
    <row r="25" customFormat="false" ht="12.75" hidden="false" customHeight="false" outlineLevel="0" collapsed="false">
      <c r="A25" s="47" t="n">
        <v>37023</v>
      </c>
      <c r="B25" s="12" t="n">
        <v>19</v>
      </c>
      <c r="C25" s="48" t="n">
        <v>25</v>
      </c>
      <c r="D25" s="60" t="n">
        <v>35.5</v>
      </c>
      <c r="E25" s="50" t="n">
        <v>4.5</v>
      </c>
      <c r="F25" s="50" t="n">
        <v>4.5</v>
      </c>
      <c r="G25" s="51" t="n">
        <v>63.23</v>
      </c>
      <c r="H25" s="52" t="n">
        <v>27.73</v>
      </c>
      <c r="I25" s="53" t="n">
        <v>693.25</v>
      </c>
      <c r="J25" s="54" t="n">
        <v>11.092</v>
      </c>
      <c r="K25" s="49" t="n">
        <v>16.638</v>
      </c>
      <c r="L25" s="49" t="n">
        <v>277.3</v>
      </c>
      <c r="M25" s="55" t="n">
        <v>415.95</v>
      </c>
      <c r="N25" s="56" t="n">
        <v>35.5</v>
      </c>
      <c r="O25" s="57" t="n">
        <v>46.592</v>
      </c>
      <c r="P25" s="44" t="n">
        <v>887.5</v>
      </c>
      <c r="Q25" s="58" t="n">
        <v>1164.8</v>
      </c>
      <c r="R25" s="44"/>
      <c r="S25" s="59" t="n">
        <v>277.3</v>
      </c>
      <c r="T25" s="60" t="n">
        <v>415.95</v>
      </c>
    </row>
    <row r="26" customFormat="false" ht="12.75" hidden="false" customHeight="false" outlineLevel="0" collapsed="false">
      <c r="A26" s="47" t="n">
        <v>37023</v>
      </c>
      <c r="B26" s="12" t="n">
        <v>20</v>
      </c>
      <c r="C26" s="48" t="n">
        <v>25</v>
      </c>
      <c r="D26" s="60" t="n">
        <v>35.5</v>
      </c>
      <c r="E26" s="50" t="n">
        <v>4.5</v>
      </c>
      <c r="F26" s="50" t="n">
        <v>4.5</v>
      </c>
      <c r="G26" s="51" t="n">
        <v>63.23</v>
      </c>
      <c r="H26" s="52" t="n">
        <v>27.73</v>
      </c>
      <c r="I26" s="53" t="n">
        <v>693.25</v>
      </c>
      <c r="J26" s="54" t="n">
        <v>11.092</v>
      </c>
      <c r="K26" s="49" t="n">
        <v>16.638</v>
      </c>
      <c r="L26" s="49" t="n">
        <v>277.3</v>
      </c>
      <c r="M26" s="55" t="n">
        <v>415.95</v>
      </c>
      <c r="N26" s="56" t="n">
        <v>35.5</v>
      </c>
      <c r="O26" s="57" t="n">
        <v>46.592</v>
      </c>
      <c r="P26" s="44" t="n">
        <v>887.5</v>
      </c>
      <c r="Q26" s="58" t="n">
        <v>1164.8</v>
      </c>
      <c r="R26" s="44"/>
      <c r="S26" s="59" t="n">
        <v>277.3</v>
      </c>
      <c r="T26" s="60" t="n">
        <v>415.95</v>
      </c>
    </row>
    <row r="27" customFormat="false" ht="12.75" hidden="false" customHeight="false" outlineLevel="0" collapsed="false">
      <c r="A27" s="47" t="n">
        <v>37023</v>
      </c>
      <c r="B27" s="12" t="n">
        <v>21</v>
      </c>
      <c r="C27" s="48" t="n">
        <v>25</v>
      </c>
      <c r="D27" s="60" t="n">
        <v>35.5</v>
      </c>
      <c r="E27" s="50" t="n">
        <v>4.5</v>
      </c>
      <c r="F27" s="50" t="n">
        <v>4.5</v>
      </c>
      <c r="G27" s="51" t="n">
        <v>63.23</v>
      </c>
      <c r="H27" s="52" t="n">
        <v>27.73</v>
      </c>
      <c r="I27" s="53" t="n">
        <v>693.25</v>
      </c>
      <c r="J27" s="54" t="n">
        <v>11.092</v>
      </c>
      <c r="K27" s="49" t="n">
        <v>16.638</v>
      </c>
      <c r="L27" s="49" t="n">
        <v>277.3</v>
      </c>
      <c r="M27" s="55" t="n">
        <v>415.95</v>
      </c>
      <c r="N27" s="56" t="n">
        <v>35.5</v>
      </c>
      <c r="O27" s="57" t="n">
        <v>46.592</v>
      </c>
      <c r="P27" s="44" t="n">
        <v>887.5</v>
      </c>
      <c r="Q27" s="58" t="n">
        <v>1164.8</v>
      </c>
      <c r="R27" s="44"/>
      <c r="S27" s="59" t="n">
        <v>277.3</v>
      </c>
      <c r="T27" s="60" t="n">
        <v>415.95</v>
      </c>
    </row>
    <row r="28" customFormat="false" ht="12.75" hidden="false" customHeight="false" outlineLevel="0" collapsed="false">
      <c r="A28" s="47" t="n">
        <v>37023</v>
      </c>
      <c r="B28" s="12" t="n">
        <v>22</v>
      </c>
      <c r="C28" s="48" t="n">
        <v>25</v>
      </c>
      <c r="D28" s="60" t="n">
        <v>35.5</v>
      </c>
      <c r="E28" s="50" t="n">
        <v>4.5</v>
      </c>
      <c r="F28" s="50" t="n">
        <v>4.5</v>
      </c>
      <c r="G28" s="51" t="n">
        <v>63.23</v>
      </c>
      <c r="H28" s="52" t="n">
        <v>27.73</v>
      </c>
      <c r="I28" s="53" t="n">
        <v>693.25</v>
      </c>
      <c r="J28" s="54" t="n">
        <v>11.092</v>
      </c>
      <c r="K28" s="49" t="n">
        <v>16.638</v>
      </c>
      <c r="L28" s="49" t="n">
        <v>277.3</v>
      </c>
      <c r="M28" s="55" t="n">
        <v>415.95</v>
      </c>
      <c r="N28" s="56" t="n">
        <v>35.5</v>
      </c>
      <c r="O28" s="57" t="n">
        <v>46.592</v>
      </c>
      <c r="P28" s="44" t="n">
        <v>887.5</v>
      </c>
      <c r="Q28" s="58" t="n">
        <v>1164.8</v>
      </c>
      <c r="R28" s="44"/>
      <c r="S28" s="59" t="n">
        <v>277.3</v>
      </c>
      <c r="T28" s="60" t="n">
        <v>415.95</v>
      </c>
    </row>
    <row r="29" customFormat="false" ht="12.75" hidden="false" customHeight="false" outlineLevel="0" collapsed="false">
      <c r="A29" s="47" t="n">
        <v>37023</v>
      </c>
      <c r="B29" s="12" t="n">
        <v>23</v>
      </c>
      <c r="C29" s="48" t="n">
        <v>20</v>
      </c>
      <c r="D29" s="60" t="n">
        <v>35.5</v>
      </c>
      <c r="E29" s="50" t="n">
        <v>4.5</v>
      </c>
      <c r="F29" s="50" t="n">
        <v>4.5</v>
      </c>
      <c r="G29" s="51" t="n">
        <v>63.23</v>
      </c>
      <c r="H29" s="52" t="n">
        <v>27.73</v>
      </c>
      <c r="I29" s="53" t="n">
        <v>554.6</v>
      </c>
      <c r="J29" s="54" t="n">
        <v>1</v>
      </c>
      <c r="K29" s="44" t="n">
        <v>26.73</v>
      </c>
      <c r="L29" s="44" t="n">
        <v>20</v>
      </c>
      <c r="M29" s="55" t="n">
        <v>534.6</v>
      </c>
      <c r="N29" s="56" t="n">
        <v>35.5</v>
      </c>
      <c r="O29" s="57" t="n">
        <v>36.5</v>
      </c>
      <c r="P29" s="44" t="n">
        <v>710</v>
      </c>
      <c r="Q29" s="58" t="n">
        <v>730</v>
      </c>
      <c r="R29" s="44"/>
      <c r="S29" s="59" t="n">
        <v>20</v>
      </c>
      <c r="T29" s="60" t="n">
        <v>534.6</v>
      </c>
    </row>
    <row r="30" customFormat="false" ht="12.75" hidden="false" customHeight="false" outlineLevel="0" collapsed="false">
      <c r="A30" s="61" t="n">
        <v>37023</v>
      </c>
      <c r="B30" s="62" t="n">
        <v>24</v>
      </c>
      <c r="C30" s="63" t="n">
        <v>0</v>
      </c>
      <c r="D30" s="76" t="n">
        <v>0</v>
      </c>
      <c r="E30" s="65" t="n">
        <v>4.5</v>
      </c>
      <c r="F30" s="65" t="n">
        <v>4.5</v>
      </c>
      <c r="G30" s="66" t="n">
        <v>63.23</v>
      </c>
      <c r="H30" s="67"/>
      <c r="I30" s="68"/>
      <c r="J30" s="69"/>
      <c r="K30" s="70"/>
      <c r="L30" s="70"/>
      <c r="M30" s="71"/>
      <c r="N30" s="72"/>
      <c r="O30" s="73"/>
      <c r="P30" s="70"/>
      <c r="Q30" s="74"/>
      <c r="R30" s="44"/>
      <c r="S30" s="75"/>
      <c r="T30" s="76"/>
    </row>
    <row r="31" customFormat="false" ht="4.5" hidden="false" customHeight="true" outlineLevel="0" collapsed="false">
      <c r="E31" s="77"/>
      <c r="F31" s="77"/>
      <c r="G31" s="77"/>
      <c r="I31" s="78"/>
      <c r="Q31" s="2"/>
      <c r="S31" s="2"/>
    </row>
    <row r="32" customFormat="false" ht="12.75" hidden="false" customHeight="false" outlineLevel="0" collapsed="false">
      <c r="K32" s="79"/>
      <c r="L32" s="79"/>
      <c r="M32" s="79"/>
      <c r="N32" s="80"/>
      <c r="O32" s="79"/>
      <c r="P32" s="80"/>
      <c r="Q32" s="81" t="n">
        <v>14474.64</v>
      </c>
      <c r="R32" s="82"/>
      <c r="S32" s="81" t="n">
        <v>3292.14</v>
      </c>
      <c r="T32" s="81" t="n">
        <v>5442.81</v>
      </c>
    </row>
    <row r="33" customFormat="false" ht="12.75" hidden="false" customHeight="false" outlineLevel="0" collapsed="false">
      <c r="D33" s="0"/>
      <c r="N33" s="0"/>
      <c r="P33" s="0"/>
      <c r="R33" s="0"/>
      <c r="T33" s="0"/>
    </row>
    <row r="34" customFormat="false" ht="12.75" hidden="true" customHeight="true" outlineLevel="0" collapsed="false">
      <c r="B34" s="0" t="s">
        <v>33</v>
      </c>
      <c r="C34" s="0" t="n">
        <v>265</v>
      </c>
    </row>
    <row r="35" customFormat="false" ht="12.75" hidden="false" customHeight="false" outlineLevel="0" collapsed="false">
      <c r="D35" s="0"/>
      <c r="N35" s="0"/>
      <c r="P35" s="0"/>
      <c r="R35" s="0"/>
      <c r="T35" s="0"/>
    </row>
    <row r="36" customFormat="false" ht="12.75" hidden="false" customHeight="false" outlineLevel="0" collapsed="false">
      <c r="D36" s="0"/>
      <c r="N36" s="0"/>
      <c r="P36" s="0"/>
      <c r="R36" s="0"/>
      <c r="T36" s="0"/>
    </row>
    <row r="37" customFormat="false" ht="12.75" hidden="false" customHeight="false" outlineLevel="0" collapsed="false">
      <c r="A37" s="6"/>
      <c r="B37" s="6"/>
      <c r="C37" s="6"/>
      <c r="D37" s="7"/>
      <c r="E37" s="8" t="s">
        <v>2</v>
      </c>
      <c r="F37" s="8"/>
      <c r="G37" s="8"/>
      <c r="H37" s="9" t="s">
        <v>3</v>
      </c>
      <c r="I37" s="9"/>
      <c r="J37" s="9" t="s">
        <v>4</v>
      </c>
      <c r="K37" s="9"/>
      <c r="L37" s="9"/>
      <c r="M37" s="9"/>
      <c r="N37" s="10" t="s">
        <v>5</v>
      </c>
      <c r="O37" s="10"/>
      <c r="P37" s="10"/>
      <c r="Q37" s="10"/>
      <c r="R37" s="11"/>
      <c r="S37" s="10" t="s">
        <v>6</v>
      </c>
      <c r="T37" s="10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2.75" hidden="false" customHeight="false" outlineLevel="0" collapsed="false">
      <c r="B38" s="85" t="s">
        <v>35</v>
      </c>
      <c r="C38" s="85"/>
      <c r="D38" s="85"/>
      <c r="E38" s="13"/>
      <c r="F38" s="14"/>
      <c r="G38" s="15"/>
      <c r="H38" s="16" t="s">
        <v>7</v>
      </c>
      <c r="I38" s="17" t="s">
        <v>7</v>
      </c>
      <c r="J38" s="16" t="s">
        <v>8</v>
      </c>
      <c r="K38" s="18" t="s">
        <v>9</v>
      </c>
      <c r="L38" s="18" t="s">
        <v>8</v>
      </c>
      <c r="M38" s="17" t="s">
        <v>9</v>
      </c>
      <c r="N38" s="19" t="s">
        <v>10</v>
      </c>
      <c r="O38" s="19"/>
      <c r="P38" s="19" t="s">
        <v>11</v>
      </c>
      <c r="Q38" s="19"/>
      <c r="R38" s="11"/>
      <c r="S38" s="20"/>
      <c r="T38" s="21"/>
    </row>
    <row r="39" customFormat="false" ht="12.75" hidden="false" customHeight="false" outlineLevel="0" collapsed="false">
      <c r="E39" s="16" t="s">
        <v>12</v>
      </c>
      <c r="F39" s="18" t="s">
        <v>12</v>
      </c>
      <c r="G39" s="17" t="s">
        <v>13</v>
      </c>
      <c r="H39" s="16" t="s">
        <v>14</v>
      </c>
      <c r="I39" s="17" t="s">
        <v>14</v>
      </c>
      <c r="J39" s="22" t="s">
        <v>15</v>
      </c>
      <c r="K39" s="18" t="s">
        <v>16</v>
      </c>
      <c r="L39" s="18" t="s">
        <v>17</v>
      </c>
      <c r="M39" s="17" t="s">
        <v>18</v>
      </c>
      <c r="N39" s="23"/>
      <c r="O39" s="15"/>
      <c r="P39" s="22"/>
      <c r="Q39" s="24" t="s">
        <v>19</v>
      </c>
      <c r="R39" s="11"/>
      <c r="S39" s="16" t="s">
        <v>20</v>
      </c>
      <c r="T39" s="25" t="s">
        <v>21</v>
      </c>
    </row>
    <row r="40" customFormat="false" ht="12.75" hidden="false" customHeight="false" outlineLevel="0" collapsed="false">
      <c r="A40" s="26" t="s">
        <v>22</v>
      </c>
      <c r="B40" s="27" t="s">
        <v>23</v>
      </c>
      <c r="C40" s="27" t="s">
        <v>24</v>
      </c>
      <c r="D40" s="28" t="s">
        <v>25</v>
      </c>
      <c r="E40" s="22" t="s">
        <v>26</v>
      </c>
      <c r="F40" s="5" t="s">
        <v>27</v>
      </c>
      <c r="G40" s="25" t="s">
        <v>28</v>
      </c>
      <c r="H40" s="22" t="s">
        <v>29</v>
      </c>
      <c r="I40" s="25" t="s">
        <v>30</v>
      </c>
      <c r="J40" s="22" t="s">
        <v>10</v>
      </c>
      <c r="K40" s="5" t="s">
        <v>10</v>
      </c>
      <c r="L40" s="5" t="s">
        <v>30</v>
      </c>
      <c r="M40" s="25" t="s">
        <v>30</v>
      </c>
      <c r="N40" s="22" t="s">
        <v>20</v>
      </c>
      <c r="O40" s="25" t="s">
        <v>21</v>
      </c>
      <c r="P40" s="22" t="s">
        <v>20</v>
      </c>
      <c r="Q40" s="29" t="s">
        <v>21</v>
      </c>
      <c r="R40" s="5"/>
      <c r="S40" s="22" t="s">
        <v>31</v>
      </c>
      <c r="T40" s="25" t="s">
        <v>32</v>
      </c>
      <c r="U40" s="30"/>
      <c r="V40" s="30"/>
    </row>
    <row r="41" customFormat="false" ht="12.75" hidden="false" customHeight="false" outlineLevel="0" collapsed="false">
      <c r="A41" s="31" t="n">
        <v>37023</v>
      </c>
      <c r="B41" s="32" t="n">
        <v>1</v>
      </c>
      <c r="C41" s="33" t="n">
        <v>25</v>
      </c>
      <c r="D41" s="34" t="n">
        <v>18</v>
      </c>
      <c r="E41" s="35" t="n">
        <v>4.5</v>
      </c>
      <c r="F41" s="35" t="n">
        <v>4.5</v>
      </c>
      <c r="G41" s="36" t="n">
        <v>63.23</v>
      </c>
      <c r="H41" s="37" t="n">
        <v>45.23</v>
      </c>
      <c r="I41" s="38" t="n">
        <v>1130.75</v>
      </c>
      <c r="J41" s="39" t="n">
        <v>1</v>
      </c>
      <c r="K41" s="40" t="n">
        <v>44.23</v>
      </c>
      <c r="L41" s="40" t="n">
        <v>25</v>
      </c>
      <c r="M41" s="21" t="n">
        <v>1105.75</v>
      </c>
      <c r="N41" s="41" t="n">
        <v>18</v>
      </c>
      <c r="O41" s="42" t="n">
        <v>19</v>
      </c>
      <c r="P41" s="40" t="n">
        <v>450</v>
      </c>
      <c r="Q41" s="43" t="n">
        <v>475</v>
      </c>
      <c r="R41" s="44"/>
      <c r="S41" s="45" t="n">
        <v>25</v>
      </c>
      <c r="T41" s="46" t="n">
        <v>1105.75</v>
      </c>
    </row>
    <row r="42" customFormat="false" ht="12.75" hidden="false" customHeight="false" outlineLevel="0" collapsed="false">
      <c r="A42" s="47" t="n">
        <v>37023</v>
      </c>
      <c r="B42" s="12" t="n">
        <v>2</v>
      </c>
      <c r="C42" s="48" t="n">
        <v>24</v>
      </c>
      <c r="D42" s="49" t="n">
        <v>20</v>
      </c>
      <c r="E42" s="50" t="n">
        <v>4.5</v>
      </c>
      <c r="F42" s="50" t="n">
        <v>4.5</v>
      </c>
      <c r="G42" s="51" t="n">
        <v>63.23</v>
      </c>
      <c r="H42" s="52" t="n">
        <v>43.23</v>
      </c>
      <c r="I42" s="53" t="n">
        <v>1037.52</v>
      </c>
      <c r="J42" s="54" t="n">
        <v>1</v>
      </c>
      <c r="K42" s="44" t="n">
        <v>42.23</v>
      </c>
      <c r="L42" s="44" t="n">
        <v>24</v>
      </c>
      <c r="M42" s="55" t="n">
        <v>1013.52</v>
      </c>
      <c r="N42" s="56" t="n">
        <v>20</v>
      </c>
      <c r="O42" s="57" t="n">
        <v>21</v>
      </c>
      <c r="P42" s="44" t="n">
        <v>480</v>
      </c>
      <c r="Q42" s="58" t="n">
        <v>504</v>
      </c>
      <c r="R42" s="44"/>
      <c r="S42" s="59" t="n">
        <v>24</v>
      </c>
      <c r="T42" s="60" t="n">
        <v>1013.52</v>
      </c>
    </row>
    <row r="43" customFormat="false" ht="12.75" hidden="false" customHeight="false" outlineLevel="0" collapsed="false">
      <c r="A43" s="47" t="n">
        <v>37023</v>
      </c>
      <c r="B43" s="12" t="n">
        <v>3</v>
      </c>
      <c r="C43" s="48" t="n">
        <v>23</v>
      </c>
      <c r="D43" s="49" t="n">
        <v>20</v>
      </c>
      <c r="E43" s="50" t="n">
        <v>4.5</v>
      </c>
      <c r="F43" s="50" t="n">
        <v>4.5</v>
      </c>
      <c r="G43" s="51" t="n">
        <v>63.23</v>
      </c>
      <c r="H43" s="52" t="n">
        <v>43.23</v>
      </c>
      <c r="I43" s="53" t="n">
        <v>994.29</v>
      </c>
      <c r="J43" s="54" t="n">
        <v>1</v>
      </c>
      <c r="K43" s="44" t="n">
        <v>42.23</v>
      </c>
      <c r="L43" s="44" t="n">
        <v>23</v>
      </c>
      <c r="M43" s="55" t="n">
        <v>971.29</v>
      </c>
      <c r="N43" s="56" t="n">
        <v>20</v>
      </c>
      <c r="O43" s="57" t="n">
        <v>21</v>
      </c>
      <c r="P43" s="44" t="n">
        <v>460</v>
      </c>
      <c r="Q43" s="58" t="n">
        <v>483</v>
      </c>
      <c r="R43" s="44"/>
      <c r="S43" s="59" t="n">
        <v>23</v>
      </c>
      <c r="T43" s="60" t="n">
        <v>971.29</v>
      </c>
    </row>
    <row r="44" customFormat="false" ht="12.75" hidden="false" customHeight="false" outlineLevel="0" collapsed="false">
      <c r="A44" s="47" t="n">
        <v>37023</v>
      </c>
      <c r="B44" s="12" t="n">
        <v>4</v>
      </c>
      <c r="C44" s="48" t="n">
        <v>21</v>
      </c>
      <c r="D44" s="49" t="n">
        <v>20</v>
      </c>
      <c r="E44" s="50" t="n">
        <v>4.5</v>
      </c>
      <c r="F44" s="50" t="n">
        <v>4.5</v>
      </c>
      <c r="G44" s="51" t="n">
        <v>63.23</v>
      </c>
      <c r="H44" s="52" t="n">
        <v>43.23</v>
      </c>
      <c r="I44" s="53" t="n">
        <v>907.83</v>
      </c>
      <c r="J44" s="54" t="n">
        <v>1</v>
      </c>
      <c r="K44" s="44" t="n">
        <v>42.23</v>
      </c>
      <c r="L44" s="44" t="n">
        <v>21</v>
      </c>
      <c r="M44" s="55" t="n">
        <v>886.83</v>
      </c>
      <c r="N44" s="56" t="n">
        <v>20</v>
      </c>
      <c r="O44" s="57" t="n">
        <v>21</v>
      </c>
      <c r="P44" s="44" t="n">
        <v>420</v>
      </c>
      <c r="Q44" s="58" t="n">
        <v>441</v>
      </c>
      <c r="R44" s="44"/>
      <c r="S44" s="59" t="n">
        <v>21</v>
      </c>
      <c r="T44" s="60" t="n">
        <v>886.83</v>
      </c>
    </row>
    <row r="45" customFormat="false" ht="12.75" hidden="false" customHeight="false" outlineLevel="0" collapsed="false">
      <c r="A45" s="47" t="n">
        <v>37023</v>
      </c>
      <c r="B45" s="12" t="n">
        <v>5</v>
      </c>
      <c r="C45" s="48" t="n">
        <v>20</v>
      </c>
      <c r="D45" s="49" t="n">
        <v>20</v>
      </c>
      <c r="E45" s="50" t="n">
        <v>4.5</v>
      </c>
      <c r="F45" s="50" t="n">
        <v>4.5</v>
      </c>
      <c r="G45" s="51" t="n">
        <v>63.23</v>
      </c>
      <c r="H45" s="52" t="n">
        <v>43.23</v>
      </c>
      <c r="I45" s="53" t="n">
        <v>864.6</v>
      </c>
      <c r="J45" s="54" t="n">
        <v>1</v>
      </c>
      <c r="K45" s="44" t="n">
        <v>42.23</v>
      </c>
      <c r="L45" s="44" t="n">
        <v>20</v>
      </c>
      <c r="M45" s="55" t="n">
        <v>844.6</v>
      </c>
      <c r="N45" s="56" t="n">
        <v>20</v>
      </c>
      <c r="O45" s="57" t="n">
        <v>21</v>
      </c>
      <c r="P45" s="44" t="n">
        <v>400</v>
      </c>
      <c r="Q45" s="58" t="n">
        <v>420</v>
      </c>
      <c r="R45" s="44"/>
      <c r="S45" s="59" t="n">
        <v>20</v>
      </c>
      <c r="T45" s="60" t="n">
        <v>844.6</v>
      </c>
    </row>
    <row r="46" customFormat="false" ht="12.75" hidden="false" customHeight="false" outlineLevel="0" collapsed="false">
      <c r="A46" s="47" t="n">
        <v>37023</v>
      </c>
      <c r="B46" s="12" t="n">
        <v>6</v>
      </c>
      <c r="C46" s="48" t="n">
        <v>20</v>
      </c>
      <c r="D46" s="49" t="n">
        <v>22</v>
      </c>
      <c r="E46" s="50" t="n">
        <v>4.5</v>
      </c>
      <c r="F46" s="50" t="n">
        <v>4.5</v>
      </c>
      <c r="G46" s="51" t="n">
        <v>63.23</v>
      </c>
      <c r="H46" s="52" t="n">
        <v>41.23</v>
      </c>
      <c r="I46" s="53" t="n">
        <v>824.6</v>
      </c>
      <c r="J46" s="54" t="n">
        <v>1</v>
      </c>
      <c r="K46" s="44" t="n">
        <v>40.23</v>
      </c>
      <c r="L46" s="44" t="n">
        <v>20</v>
      </c>
      <c r="M46" s="55" t="n">
        <v>804.6</v>
      </c>
      <c r="N46" s="56" t="n">
        <v>22</v>
      </c>
      <c r="O46" s="57" t="n">
        <v>23</v>
      </c>
      <c r="P46" s="44" t="n">
        <v>440</v>
      </c>
      <c r="Q46" s="58" t="n">
        <v>460</v>
      </c>
      <c r="R46" s="44"/>
      <c r="S46" s="59" t="n">
        <v>20</v>
      </c>
      <c r="T46" s="60" t="n">
        <v>804.6</v>
      </c>
    </row>
    <row r="47" customFormat="false" ht="12.75" hidden="false" customHeight="false" outlineLevel="0" collapsed="false">
      <c r="A47" s="47" t="n">
        <v>37023</v>
      </c>
      <c r="B47" s="12" t="n">
        <v>7</v>
      </c>
      <c r="C47" s="48" t="n">
        <v>20</v>
      </c>
      <c r="D47" s="49" t="n">
        <v>22</v>
      </c>
      <c r="E47" s="50" t="n">
        <v>4.5</v>
      </c>
      <c r="F47" s="50" t="n">
        <v>4.5</v>
      </c>
      <c r="G47" s="51" t="n">
        <v>63.23</v>
      </c>
      <c r="H47" s="52" t="n">
        <v>41.23</v>
      </c>
      <c r="I47" s="53" t="n">
        <v>824.6</v>
      </c>
      <c r="J47" s="54" t="n">
        <v>16.492</v>
      </c>
      <c r="K47" s="49" t="n">
        <v>24.738</v>
      </c>
      <c r="L47" s="49" t="n">
        <v>329.84</v>
      </c>
      <c r="M47" s="55" t="n">
        <v>494.76</v>
      </c>
      <c r="N47" s="56" t="n">
        <v>22</v>
      </c>
      <c r="O47" s="57" t="n">
        <v>38.492</v>
      </c>
      <c r="P47" s="44" t="n">
        <v>440</v>
      </c>
      <c r="Q47" s="58" t="n">
        <v>769.84</v>
      </c>
      <c r="R47" s="44"/>
      <c r="S47" s="59" t="n">
        <v>329.84</v>
      </c>
      <c r="T47" s="60" t="n">
        <v>494.76</v>
      </c>
    </row>
    <row r="48" customFormat="false" ht="12.75" hidden="false" customHeight="false" outlineLevel="0" collapsed="false">
      <c r="A48" s="47" t="n">
        <v>37023</v>
      </c>
      <c r="B48" s="12" t="n">
        <v>8</v>
      </c>
      <c r="C48" s="48" t="n">
        <v>20</v>
      </c>
      <c r="D48" s="49" t="n">
        <v>22</v>
      </c>
      <c r="E48" s="50" t="n">
        <v>4.5</v>
      </c>
      <c r="F48" s="50" t="n">
        <v>4.5</v>
      </c>
      <c r="G48" s="51" t="n">
        <v>63.23</v>
      </c>
      <c r="H48" s="52" t="n">
        <v>41.23</v>
      </c>
      <c r="I48" s="53" t="n">
        <v>824.6</v>
      </c>
      <c r="J48" s="54" t="n">
        <v>16.492</v>
      </c>
      <c r="K48" s="49" t="n">
        <v>24.738</v>
      </c>
      <c r="L48" s="49" t="n">
        <v>329.84</v>
      </c>
      <c r="M48" s="55" t="n">
        <v>494.76</v>
      </c>
      <c r="N48" s="56" t="n">
        <v>22</v>
      </c>
      <c r="O48" s="57" t="n">
        <v>38.492</v>
      </c>
      <c r="P48" s="44" t="n">
        <v>440</v>
      </c>
      <c r="Q48" s="58" t="n">
        <v>769.84</v>
      </c>
      <c r="R48" s="44"/>
      <c r="S48" s="59" t="n">
        <v>329.84</v>
      </c>
      <c r="T48" s="60" t="n">
        <v>494.76</v>
      </c>
    </row>
    <row r="49" customFormat="false" ht="12.75" hidden="false" customHeight="false" outlineLevel="0" collapsed="false">
      <c r="A49" s="47" t="n">
        <v>37023</v>
      </c>
      <c r="B49" s="12" t="n">
        <v>9</v>
      </c>
      <c r="C49" s="48" t="n">
        <v>20</v>
      </c>
      <c r="D49" s="49" t="n">
        <v>22</v>
      </c>
      <c r="E49" s="50" t="n">
        <v>4.5</v>
      </c>
      <c r="F49" s="50" t="n">
        <v>4.5</v>
      </c>
      <c r="G49" s="51" t="n">
        <v>63.23</v>
      </c>
      <c r="H49" s="52" t="n">
        <v>41.23</v>
      </c>
      <c r="I49" s="53" t="n">
        <v>824.6</v>
      </c>
      <c r="J49" s="54" t="n">
        <v>16.492</v>
      </c>
      <c r="K49" s="49" t="n">
        <v>24.738</v>
      </c>
      <c r="L49" s="49" t="n">
        <v>329.84</v>
      </c>
      <c r="M49" s="55" t="n">
        <v>494.76</v>
      </c>
      <c r="N49" s="56" t="n">
        <v>22</v>
      </c>
      <c r="O49" s="57" t="n">
        <v>38.492</v>
      </c>
      <c r="P49" s="44" t="n">
        <v>440</v>
      </c>
      <c r="Q49" s="58" t="n">
        <v>769.84</v>
      </c>
      <c r="R49" s="44"/>
      <c r="S49" s="59" t="n">
        <v>329.84</v>
      </c>
      <c r="T49" s="60" t="n">
        <v>494.76</v>
      </c>
    </row>
    <row r="50" customFormat="false" ht="12.75" hidden="false" customHeight="false" outlineLevel="0" collapsed="false">
      <c r="A50" s="47" t="n">
        <v>37023</v>
      </c>
      <c r="B50" s="12" t="n">
        <v>10</v>
      </c>
      <c r="C50" s="48" t="n">
        <v>20</v>
      </c>
      <c r="D50" s="49" t="n">
        <v>26</v>
      </c>
      <c r="E50" s="50" t="n">
        <v>4.5</v>
      </c>
      <c r="F50" s="50" t="n">
        <v>4.5</v>
      </c>
      <c r="G50" s="51" t="n">
        <v>63.23</v>
      </c>
      <c r="H50" s="52" t="n">
        <v>37.23</v>
      </c>
      <c r="I50" s="53" t="n">
        <v>744.6</v>
      </c>
      <c r="J50" s="54" t="n">
        <v>14.892</v>
      </c>
      <c r="K50" s="49" t="n">
        <v>22.338</v>
      </c>
      <c r="L50" s="49" t="n">
        <v>297.84</v>
      </c>
      <c r="M50" s="55" t="n">
        <v>446.76</v>
      </c>
      <c r="N50" s="56" t="n">
        <v>26</v>
      </c>
      <c r="O50" s="57" t="n">
        <v>40.892</v>
      </c>
      <c r="P50" s="44" t="n">
        <v>520</v>
      </c>
      <c r="Q50" s="58" t="n">
        <v>817.84</v>
      </c>
      <c r="R50" s="44"/>
      <c r="S50" s="59" t="n">
        <v>297.84</v>
      </c>
      <c r="T50" s="60" t="n">
        <v>446.76</v>
      </c>
    </row>
    <row r="51" customFormat="false" ht="12.75" hidden="false" customHeight="false" outlineLevel="0" collapsed="false">
      <c r="A51" s="47" t="n">
        <v>37023</v>
      </c>
      <c r="B51" s="12" t="n">
        <v>11</v>
      </c>
      <c r="C51" s="48" t="n">
        <v>10</v>
      </c>
      <c r="D51" s="49" t="n">
        <v>27</v>
      </c>
      <c r="E51" s="50" t="n">
        <v>4.5</v>
      </c>
      <c r="F51" s="50" t="n">
        <v>4.5</v>
      </c>
      <c r="G51" s="51" t="n">
        <v>63.23</v>
      </c>
      <c r="H51" s="52" t="n">
        <v>36.23</v>
      </c>
      <c r="I51" s="53" t="n">
        <v>362.3</v>
      </c>
      <c r="J51" s="54" t="n">
        <v>14.492</v>
      </c>
      <c r="K51" s="49" t="n">
        <v>21.738</v>
      </c>
      <c r="L51" s="49" t="n">
        <v>144.92</v>
      </c>
      <c r="M51" s="55" t="n">
        <v>217.38</v>
      </c>
      <c r="N51" s="56" t="n">
        <v>27</v>
      </c>
      <c r="O51" s="57" t="n">
        <v>41.492</v>
      </c>
      <c r="P51" s="44" t="n">
        <v>270</v>
      </c>
      <c r="Q51" s="58" t="n">
        <v>414.92</v>
      </c>
      <c r="R51" s="44"/>
      <c r="S51" s="59" t="n">
        <v>144.92</v>
      </c>
      <c r="T51" s="60" t="n">
        <v>217.38</v>
      </c>
    </row>
    <row r="52" customFormat="false" ht="12.75" hidden="false" customHeight="false" outlineLevel="0" collapsed="false">
      <c r="A52" s="47" t="n">
        <v>37023</v>
      </c>
      <c r="B52" s="12" t="n">
        <v>12</v>
      </c>
      <c r="C52" s="48" t="n">
        <v>7</v>
      </c>
      <c r="D52" s="49" t="n">
        <v>28</v>
      </c>
      <c r="E52" s="50" t="n">
        <v>4.5</v>
      </c>
      <c r="F52" s="50" t="n">
        <v>4.5</v>
      </c>
      <c r="G52" s="51" t="n">
        <v>63.23</v>
      </c>
      <c r="H52" s="52" t="n">
        <v>35.23</v>
      </c>
      <c r="I52" s="53" t="n">
        <v>246.61</v>
      </c>
      <c r="J52" s="54" t="n">
        <v>14.092</v>
      </c>
      <c r="K52" s="49" t="n">
        <v>21.138</v>
      </c>
      <c r="L52" s="49" t="n">
        <v>98.644</v>
      </c>
      <c r="M52" s="55" t="n">
        <v>147.966</v>
      </c>
      <c r="N52" s="56" t="n">
        <v>28</v>
      </c>
      <c r="O52" s="57" t="n">
        <v>42.092</v>
      </c>
      <c r="P52" s="44" t="n">
        <v>196</v>
      </c>
      <c r="Q52" s="58" t="n">
        <v>294.644</v>
      </c>
      <c r="R52" s="44"/>
      <c r="S52" s="59" t="n">
        <v>98.644</v>
      </c>
      <c r="T52" s="60" t="n">
        <v>147.966</v>
      </c>
    </row>
    <row r="53" customFormat="false" ht="12.75" hidden="false" customHeight="false" outlineLevel="0" collapsed="false">
      <c r="A53" s="47" t="n">
        <v>37023</v>
      </c>
      <c r="B53" s="12" t="n">
        <v>13</v>
      </c>
      <c r="C53" s="48" t="n">
        <v>5</v>
      </c>
      <c r="D53" s="49" t="n">
        <v>30</v>
      </c>
      <c r="E53" s="50" t="n">
        <v>4.5</v>
      </c>
      <c r="F53" s="50" t="n">
        <v>4.5</v>
      </c>
      <c r="G53" s="51" t="n">
        <v>63.23</v>
      </c>
      <c r="H53" s="52" t="n">
        <v>33.23</v>
      </c>
      <c r="I53" s="53" t="n">
        <v>166.15</v>
      </c>
      <c r="J53" s="54" t="n">
        <v>13.292</v>
      </c>
      <c r="K53" s="49" t="n">
        <v>19.938</v>
      </c>
      <c r="L53" s="49" t="n">
        <v>66.46</v>
      </c>
      <c r="M53" s="55" t="n">
        <v>99.69</v>
      </c>
      <c r="N53" s="56" t="n">
        <v>30</v>
      </c>
      <c r="O53" s="57" t="n">
        <v>43.292</v>
      </c>
      <c r="P53" s="44" t="n">
        <v>150</v>
      </c>
      <c r="Q53" s="58" t="n">
        <v>216.46</v>
      </c>
      <c r="R53" s="44"/>
      <c r="S53" s="59" t="n">
        <v>66.46</v>
      </c>
      <c r="T53" s="60" t="n">
        <v>99.69</v>
      </c>
    </row>
    <row r="54" customFormat="false" ht="12.75" hidden="false" customHeight="false" outlineLevel="0" collapsed="false">
      <c r="A54" s="47" t="n">
        <v>37023</v>
      </c>
      <c r="B54" s="12" t="n">
        <v>14</v>
      </c>
      <c r="C54" s="48" t="n">
        <v>10</v>
      </c>
      <c r="D54" s="49" t="n">
        <v>40</v>
      </c>
      <c r="E54" s="50" t="n">
        <v>4.5</v>
      </c>
      <c r="F54" s="50" t="n">
        <v>4.5</v>
      </c>
      <c r="G54" s="51" t="n">
        <v>63.23</v>
      </c>
      <c r="H54" s="52" t="n">
        <v>23.23</v>
      </c>
      <c r="I54" s="53" t="n">
        <v>232.3</v>
      </c>
      <c r="J54" s="54" t="n">
        <v>9.292</v>
      </c>
      <c r="K54" s="49" t="n">
        <v>13.938</v>
      </c>
      <c r="L54" s="49" t="n">
        <v>92.92</v>
      </c>
      <c r="M54" s="55" t="n">
        <v>139.38</v>
      </c>
      <c r="N54" s="56" t="n">
        <v>40</v>
      </c>
      <c r="O54" s="57" t="n">
        <v>49.292</v>
      </c>
      <c r="P54" s="44" t="n">
        <v>400</v>
      </c>
      <c r="Q54" s="58" t="n">
        <v>492.92</v>
      </c>
      <c r="R54" s="44"/>
      <c r="S54" s="59" t="n">
        <v>92.92</v>
      </c>
      <c r="T54" s="60" t="n">
        <v>139.38</v>
      </c>
    </row>
    <row r="55" customFormat="false" ht="12.75" hidden="false" customHeight="false" outlineLevel="0" collapsed="false">
      <c r="A55" s="47" t="n">
        <v>37023</v>
      </c>
      <c r="B55" s="12" t="n">
        <v>15</v>
      </c>
      <c r="C55" s="48" t="n">
        <v>13</v>
      </c>
      <c r="D55" s="49" t="n">
        <v>38</v>
      </c>
      <c r="E55" s="50" t="n">
        <v>4.5</v>
      </c>
      <c r="F55" s="50" t="n">
        <v>4.5</v>
      </c>
      <c r="G55" s="51" t="n">
        <v>63.23</v>
      </c>
      <c r="H55" s="52" t="n">
        <v>25.23</v>
      </c>
      <c r="I55" s="53" t="n">
        <v>327.99</v>
      </c>
      <c r="J55" s="54" t="n">
        <v>10.092</v>
      </c>
      <c r="K55" s="49" t="n">
        <v>15.138</v>
      </c>
      <c r="L55" s="49" t="n">
        <v>131.196</v>
      </c>
      <c r="M55" s="55" t="n">
        <v>196.794</v>
      </c>
      <c r="N55" s="56" t="n">
        <v>38</v>
      </c>
      <c r="O55" s="57"/>
      <c r="P55" s="44" t="n">
        <v>494</v>
      </c>
      <c r="Q55" s="58" t="n">
        <v>0</v>
      </c>
      <c r="R55" s="44"/>
      <c r="S55" s="59" t="n">
        <v>131.196</v>
      </c>
      <c r="T55" s="60" t="n">
        <v>196.794</v>
      </c>
    </row>
    <row r="56" customFormat="false" ht="12.75" hidden="false" customHeight="false" outlineLevel="0" collapsed="false">
      <c r="A56" s="47" t="n">
        <v>37023</v>
      </c>
      <c r="B56" s="12" t="n">
        <v>16</v>
      </c>
      <c r="C56" s="48" t="n">
        <v>13</v>
      </c>
      <c r="D56" s="49" t="n">
        <v>35</v>
      </c>
      <c r="E56" s="50" t="n">
        <v>4.5</v>
      </c>
      <c r="F56" s="50" t="n">
        <v>4.5</v>
      </c>
      <c r="G56" s="51" t="n">
        <v>63.23</v>
      </c>
      <c r="H56" s="52" t="n">
        <v>28.23</v>
      </c>
      <c r="I56" s="53" t="n">
        <v>366.99</v>
      </c>
      <c r="J56" s="54" t="n">
        <v>11.292</v>
      </c>
      <c r="K56" s="49" t="n">
        <v>16.938</v>
      </c>
      <c r="L56" s="49" t="n">
        <v>146.796</v>
      </c>
      <c r="M56" s="55" t="n">
        <v>220.194</v>
      </c>
      <c r="N56" s="56" t="n">
        <v>35</v>
      </c>
      <c r="O56" s="57"/>
      <c r="P56" s="44" t="n">
        <v>455</v>
      </c>
      <c r="Q56" s="58" t="n">
        <v>0</v>
      </c>
      <c r="R56" s="44"/>
      <c r="S56" s="59" t="n">
        <v>146.796</v>
      </c>
      <c r="T56" s="60" t="n">
        <v>220.194</v>
      </c>
    </row>
    <row r="57" customFormat="false" ht="12.75" hidden="false" customHeight="false" outlineLevel="0" collapsed="false">
      <c r="A57" s="47" t="n">
        <v>37023</v>
      </c>
      <c r="B57" s="12" t="n">
        <v>17</v>
      </c>
      <c r="C57" s="48" t="n">
        <v>13</v>
      </c>
      <c r="D57" s="49" t="n">
        <v>35</v>
      </c>
      <c r="E57" s="50" t="n">
        <v>4.5</v>
      </c>
      <c r="F57" s="50" t="n">
        <v>4.5</v>
      </c>
      <c r="G57" s="51" t="n">
        <v>63.23</v>
      </c>
      <c r="H57" s="52" t="n">
        <v>28.23</v>
      </c>
      <c r="I57" s="53" t="n">
        <v>366.99</v>
      </c>
      <c r="J57" s="54" t="n">
        <v>11.292</v>
      </c>
      <c r="K57" s="49" t="n">
        <v>16.938</v>
      </c>
      <c r="L57" s="49" t="n">
        <v>146.796</v>
      </c>
      <c r="M57" s="55" t="n">
        <v>220.194</v>
      </c>
      <c r="N57" s="56" t="n">
        <v>35</v>
      </c>
      <c r="O57" s="57"/>
      <c r="P57" s="44" t="n">
        <v>455</v>
      </c>
      <c r="Q57" s="58" t="n">
        <v>0</v>
      </c>
      <c r="R57" s="44"/>
      <c r="S57" s="59" t="n">
        <v>146.796</v>
      </c>
      <c r="T57" s="60" t="n">
        <v>220.194</v>
      </c>
    </row>
    <row r="58" customFormat="false" ht="12.75" hidden="false" customHeight="false" outlineLevel="0" collapsed="false">
      <c r="A58" s="47" t="n">
        <v>37023</v>
      </c>
      <c r="B58" s="12" t="n">
        <v>18</v>
      </c>
      <c r="C58" s="48" t="n">
        <v>13</v>
      </c>
      <c r="D58" s="49" t="n">
        <v>35</v>
      </c>
      <c r="E58" s="50" t="n">
        <v>4.5</v>
      </c>
      <c r="F58" s="50" t="n">
        <v>4.5</v>
      </c>
      <c r="G58" s="51" t="n">
        <v>63.23</v>
      </c>
      <c r="H58" s="52" t="n">
        <v>28.23</v>
      </c>
      <c r="I58" s="53" t="n">
        <v>366.99</v>
      </c>
      <c r="J58" s="54" t="n">
        <v>11.292</v>
      </c>
      <c r="K58" s="49" t="n">
        <v>16.938</v>
      </c>
      <c r="L58" s="49" t="n">
        <v>146.796</v>
      </c>
      <c r="M58" s="55" t="n">
        <v>220.194</v>
      </c>
      <c r="N58" s="56" t="n">
        <v>35</v>
      </c>
      <c r="O58" s="57" t="n">
        <v>46.292</v>
      </c>
      <c r="P58" s="44" t="n">
        <v>455</v>
      </c>
      <c r="Q58" s="58" t="n">
        <v>601.796</v>
      </c>
      <c r="R58" s="44"/>
      <c r="S58" s="59" t="n">
        <v>146.796</v>
      </c>
      <c r="T58" s="60" t="n">
        <v>220.194</v>
      </c>
    </row>
    <row r="59" customFormat="false" ht="12.75" hidden="false" customHeight="false" outlineLevel="0" collapsed="false">
      <c r="A59" s="47" t="n">
        <v>37023</v>
      </c>
      <c r="B59" s="12" t="n">
        <v>19</v>
      </c>
      <c r="C59" s="48" t="n">
        <v>13</v>
      </c>
      <c r="D59" s="49" t="n">
        <v>35</v>
      </c>
      <c r="E59" s="50" t="n">
        <v>4.5</v>
      </c>
      <c r="F59" s="50" t="n">
        <v>4.5</v>
      </c>
      <c r="G59" s="51" t="n">
        <v>63.23</v>
      </c>
      <c r="H59" s="52" t="n">
        <v>28.23</v>
      </c>
      <c r="I59" s="53" t="n">
        <v>366.99</v>
      </c>
      <c r="J59" s="54" t="n">
        <v>11.292</v>
      </c>
      <c r="K59" s="49" t="n">
        <v>16.938</v>
      </c>
      <c r="L59" s="49" t="n">
        <v>146.796</v>
      </c>
      <c r="M59" s="55" t="n">
        <v>220.194</v>
      </c>
      <c r="N59" s="56" t="n">
        <v>35</v>
      </c>
      <c r="O59" s="57" t="n">
        <v>46.292</v>
      </c>
      <c r="P59" s="44" t="n">
        <v>455</v>
      </c>
      <c r="Q59" s="58" t="n">
        <v>601.796</v>
      </c>
      <c r="R59" s="44"/>
      <c r="S59" s="59" t="n">
        <v>146.796</v>
      </c>
      <c r="T59" s="60" t="n">
        <v>220.194</v>
      </c>
    </row>
    <row r="60" customFormat="false" ht="12.75" hidden="false" customHeight="false" outlineLevel="0" collapsed="false">
      <c r="A60" s="47" t="n">
        <v>37023</v>
      </c>
      <c r="B60" s="12" t="n">
        <v>20</v>
      </c>
      <c r="C60" s="48" t="n">
        <v>10</v>
      </c>
      <c r="D60" s="49" t="n">
        <v>30</v>
      </c>
      <c r="E60" s="50" t="n">
        <v>4.5</v>
      </c>
      <c r="F60" s="50" t="n">
        <v>4.5</v>
      </c>
      <c r="G60" s="51" t="n">
        <v>63.23</v>
      </c>
      <c r="H60" s="52" t="n">
        <v>33.23</v>
      </c>
      <c r="I60" s="53" t="n">
        <v>332.3</v>
      </c>
      <c r="J60" s="54" t="n">
        <v>13.292</v>
      </c>
      <c r="K60" s="49" t="n">
        <v>19.938</v>
      </c>
      <c r="L60" s="49" t="n">
        <v>132.92</v>
      </c>
      <c r="M60" s="55" t="n">
        <v>199.38</v>
      </c>
      <c r="N60" s="56" t="n">
        <v>30</v>
      </c>
      <c r="O60" s="57" t="n">
        <v>43.292</v>
      </c>
      <c r="P60" s="44" t="n">
        <v>300</v>
      </c>
      <c r="Q60" s="58" t="n">
        <v>432.92</v>
      </c>
      <c r="R60" s="44"/>
      <c r="S60" s="59" t="n">
        <v>132.92</v>
      </c>
      <c r="T60" s="60" t="n">
        <v>199.38</v>
      </c>
    </row>
    <row r="61" customFormat="false" ht="12.75" hidden="false" customHeight="false" outlineLevel="0" collapsed="false">
      <c r="A61" s="47" t="n">
        <v>37023</v>
      </c>
      <c r="B61" s="12" t="n">
        <v>21</v>
      </c>
      <c r="C61" s="48" t="n">
        <v>5</v>
      </c>
      <c r="D61" s="49" t="n">
        <v>30</v>
      </c>
      <c r="E61" s="50" t="n">
        <v>4.5</v>
      </c>
      <c r="F61" s="50" t="n">
        <v>4.5</v>
      </c>
      <c r="G61" s="51" t="n">
        <v>63.23</v>
      </c>
      <c r="H61" s="52" t="n">
        <v>33.23</v>
      </c>
      <c r="I61" s="53" t="n">
        <v>166.15</v>
      </c>
      <c r="J61" s="54" t="n">
        <v>13.292</v>
      </c>
      <c r="K61" s="49" t="n">
        <v>19.938</v>
      </c>
      <c r="L61" s="49" t="n">
        <v>66.46</v>
      </c>
      <c r="M61" s="55" t="n">
        <v>99.69</v>
      </c>
      <c r="N61" s="56" t="n">
        <v>30</v>
      </c>
      <c r="O61" s="57" t="n">
        <v>43.292</v>
      </c>
      <c r="P61" s="44" t="n">
        <v>150</v>
      </c>
      <c r="Q61" s="58" t="n">
        <v>216.46</v>
      </c>
      <c r="R61" s="44"/>
      <c r="S61" s="59" t="n">
        <v>66.46</v>
      </c>
      <c r="T61" s="60" t="n">
        <v>99.69</v>
      </c>
    </row>
    <row r="62" customFormat="false" ht="12.75" hidden="false" customHeight="false" outlineLevel="0" collapsed="false">
      <c r="A62" s="47" t="n">
        <v>37023</v>
      </c>
      <c r="B62" s="12" t="n">
        <v>22</v>
      </c>
      <c r="C62" s="48" t="n">
        <v>7</v>
      </c>
      <c r="D62" s="49" t="n">
        <v>24</v>
      </c>
      <c r="E62" s="50" t="n">
        <v>4.5</v>
      </c>
      <c r="F62" s="50" t="n">
        <v>4.5</v>
      </c>
      <c r="G62" s="51" t="n">
        <v>63.23</v>
      </c>
      <c r="H62" s="52" t="n">
        <v>39.23</v>
      </c>
      <c r="I62" s="53" t="n">
        <v>274.61</v>
      </c>
      <c r="J62" s="54" t="n">
        <v>15.692</v>
      </c>
      <c r="K62" s="49" t="n">
        <v>23.538</v>
      </c>
      <c r="L62" s="49" t="n">
        <v>109.844</v>
      </c>
      <c r="M62" s="55" t="n">
        <v>164.766</v>
      </c>
      <c r="N62" s="56" t="n">
        <v>24</v>
      </c>
      <c r="O62" s="57" t="n">
        <v>39.692</v>
      </c>
      <c r="P62" s="44" t="n">
        <v>168</v>
      </c>
      <c r="Q62" s="58" t="n">
        <v>277.844</v>
      </c>
      <c r="R62" s="44"/>
      <c r="S62" s="59" t="n">
        <v>109.844</v>
      </c>
      <c r="T62" s="60" t="n">
        <v>164.766</v>
      </c>
    </row>
    <row r="63" customFormat="false" ht="12.75" hidden="false" customHeight="false" outlineLevel="0" collapsed="false">
      <c r="A63" s="47" t="n">
        <v>37023</v>
      </c>
      <c r="B63" s="12" t="n">
        <v>23</v>
      </c>
      <c r="C63" s="48" t="n">
        <v>9</v>
      </c>
      <c r="D63" s="49" t="n">
        <v>22</v>
      </c>
      <c r="E63" s="50" t="n">
        <v>4.5</v>
      </c>
      <c r="F63" s="50" t="n">
        <v>4.5</v>
      </c>
      <c r="G63" s="51" t="n">
        <v>63.23</v>
      </c>
      <c r="H63" s="52" t="n">
        <v>41.23</v>
      </c>
      <c r="I63" s="53" t="n">
        <v>371.07</v>
      </c>
      <c r="J63" s="54" t="n">
        <v>1</v>
      </c>
      <c r="K63" s="44" t="n">
        <v>40.23</v>
      </c>
      <c r="L63" s="44" t="n">
        <v>9</v>
      </c>
      <c r="M63" s="55" t="n">
        <v>362.07</v>
      </c>
      <c r="N63" s="56" t="n">
        <v>22</v>
      </c>
      <c r="O63" s="57" t="n">
        <v>23</v>
      </c>
      <c r="P63" s="44" t="n">
        <v>198</v>
      </c>
      <c r="Q63" s="58" t="n">
        <v>207</v>
      </c>
      <c r="R63" s="44"/>
      <c r="S63" s="59" t="n">
        <v>9</v>
      </c>
      <c r="T63" s="60" t="n">
        <v>362.07</v>
      </c>
    </row>
    <row r="64" customFormat="false" ht="12.75" hidden="false" customHeight="false" outlineLevel="0" collapsed="false">
      <c r="A64" s="61" t="n">
        <v>37023</v>
      </c>
      <c r="B64" s="62" t="n">
        <v>24</v>
      </c>
      <c r="C64" s="63" t="n">
        <v>27</v>
      </c>
      <c r="D64" s="64" t="n">
        <v>21</v>
      </c>
      <c r="E64" s="65" t="n">
        <v>4.5</v>
      </c>
      <c r="F64" s="65" t="n">
        <v>4.5</v>
      </c>
      <c r="G64" s="66" t="n">
        <v>63.23</v>
      </c>
      <c r="H64" s="67" t="n">
        <v>42.23</v>
      </c>
      <c r="I64" s="68" t="n">
        <v>1140.21</v>
      </c>
      <c r="J64" s="69" t="n">
        <v>1</v>
      </c>
      <c r="K64" s="70" t="n">
        <v>41.23</v>
      </c>
      <c r="L64" s="70" t="n">
        <v>27</v>
      </c>
      <c r="M64" s="71" t="n">
        <v>1113.21</v>
      </c>
      <c r="N64" s="72" t="n">
        <v>21</v>
      </c>
      <c r="O64" s="73" t="n">
        <v>22</v>
      </c>
      <c r="P64" s="70" t="n">
        <v>567</v>
      </c>
      <c r="Q64" s="74" t="n">
        <v>594</v>
      </c>
      <c r="R64" s="44"/>
      <c r="S64" s="75" t="n">
        <v>27</v>
      </c>
      <c r="T64" s="76" t="n">
        <v>1113.21</v>
      </c>
    </row>
    <row r="65" customFormat="false" ht="12.75" hidden="false" customHeight="false" outlineLevel="0" collapsed="false">
      <c r="D65" s="0"/>
      <c r="N65" s="0"/>
      <c r="P65" s="0"/>
      <c r="R65" s="0"/>
      <c r="T65" s="0"/>
    </row>
    <row r="66" customFormat="false" ht="12.75" hidden="false" customHeight="false" outlineLevel="0" collapsed="false">
      <c r="Q66" s="78" t="n">
        <v>10261.12</v>
      </c>
      <c r="R66" s="0"/>
      <c r="T66" s="0"/>
    </row>
    <row r="67" customFormat="false" ht="12.75" hidden="false" customHeight="false" outlineLevel="0" collapsed="false">
      <c r="D67" s="0"/>
      <c r="N67" s="0"/>
      <c r="P67" s="0"/>
      <c r="R67" s="0"/>
      <c r="T67" s="0"/>
    </row>
    <row r="68" customFormat="false" ht="12.75" hidden="true" customHeight="true" outlineLevel="0" collapsed="false">
      <c r="B68" s="0" t="s">
        <v>33</v>
      </c>
      <c r="C68" s="0" t="n">
        <v>265</v>
      </c>
      <c r="R68" s="0"/>
      <c r="T68" s="0"/>
    </row>
  </sheetData>
  <mergeCells count="18">
    <mergeCell ref="A1:C1"/>
    <mergeCell ref="A2:B2"/>
    <mergeCell ref="E3:G3"/>
    <mergeCell ref="H3:I3"/>
    <mergeCell ref="J3:M3"/>
    <mergeCell ref="N3:Q3"/>
    <mergeCell ref="S3:T3"/>
    <mergeCell ref="B4:D4"/>
    <mergeCell ref="N4:O4"/>
    <mergeCell ref="P4:Q4"/>
    <mergeCell ref="E37:G37"/>
    <mergeCell ref="H37:I37"/>
    <mergeCell ref="J37:M37"/>
    <mergeCell ref="N37:Q37"/>
    <mergeCell ref="S37:T37"/>
    <mergeCell ref="B38:D38"/>
    <mergeCell ref="N38:O38"/>
    <mergeCell ref="P38:Q38"/>
  </mergeCells>
  <conditionalFormatting sqref="K5:K12 H3:H5 E3:G6 I3:I30 J3:J12 L5:M30 J29:K30 K4:N4 A1:C2 D31:G36 I31:M36 N5:N36 P65:IV65536 P4:T36 U1:IV64 K39:K46 H8:H39 A39:D64 E37:G40 I37:I64 J37:J46 J63:K64 K38:N38 D5:D30 L39:N64 A5:C36 H42:H64 A65:N65536 D1:D3 D37 P38:T64">
    <cfRule type="cellIs" priority="2" operator="equal" aboveAverage="0" equalAverage="0" bottom="0" percent="0" rank="0" text="" dxfId="11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9.9921875" defaultRowHeight="12.75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3" min="3" style="0" width="13.14"/>
    <col collapsed="false" customWidth="true" hidden="false" outlineLevel="0" max="4" min="4" style="1" width="23.99"/>
    <col collapsed="false" customWidth="true" hidden="false" outlineLevel="0" max="7" min="5" style="0" width="14.41"/>
    <col collapsed="false" customWidth="true" hidden="false" outlineLevel="0" max="8" min="8" style="0" width="28.99"/>
    <col collapsed="false" customWidth="true" hidden="false" outlineLevel="0" max="9" min="9" style="0" width="26.56"/>
    <col collapsed="false" customWidth="true" hidden="false" outlineLevel="0" max="10" min="10" style="0" width="17.14"/>
    <col collapsed="false" customWidth="true" hidden="false" outlineLevel="0" max="11" min="11" style="0" width="14.28"/>
    <col collapsed="false" customWidth="true" hidden="false" outlineLevel="0" max="13" min="12" style="0" width="26.56"/>
    <col collapsed="false" customWidth="true" hidden="false" outlineLevel="0" max="14" min="14" style="2" width="15.28"/>
    <col collapsed="false" customWidth="true" hidden="false" outlineLevel="0" max="15" min="15" style="0" width="15.28"/>
    <col collapsed="false" customWidth="true" hidden="false" outlineLevel="0" max="16" min="16" style="2" width="15.28"/>
    <col collapsed="false" customWidth="true" hidden="false" outlineLevel="0" max="17" min="17" style="0" width="17.56"/>
    <col collapsed="false" customWidth="true" hidden="false" outlineLevel="0" max="18" min="18" style="2" width="2.56"/>
    <col collapsed="false" customWidth="true" hidden="false" outlineLevel="0" max="19" min="19" style="0" width="12.42"/>
    <col collapsed="false" customWidth="true" hidden="false" outlineLevel="0" max="20" min="20" style="1" width="14.56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3" t="s">
        <v>1</v>
      </c>
      <c r="B2" s="3"/>
      <c r="C2" s="83" t="n">
        <v>37024</v>
      </c>
      <c r="D2" s="5"/>
    </row>
    <row r="3" customFormat="false" ht="12.75" hidden="false" customHeight="false" outlineLevel="0" collapsed="false">
      <c r="A3" s="6"/>
      <c r="B3" s="6"/>
      <c r="C3" s="84" t="n">
        <v>37024</v>
      </c>
      <c r="D3" s="7"/>
      <c r="E3" s="8" t="s">
        <v>2</v>
      </c>
      <c r="F3" s="8"/>
      <c r="G3" s="8"/>
      <c r="H3" s="9" t="s">
        <v>3</v>
      </c>
      <c r="I3" s="9"/>
      <c r="J3" s="9" t="s">
        <v>4</v>
      </c>
      <c r="K3" s="9"/>
      <c r="L3" s="9"/>
      <c r="M3" s="9"/>
      <c r="N3" s="10" t="s">
        <v>5</v>
      </c>
      <c r="O3" s="10"/>
      <c r="P3" s="10"/>
      <c r="Q3" s="10"/>
      <c r="R3" s="11"/>
      <c r="S3" s="10" t="s">
        <v>6</v>
      </c>
      <c r="T3" s="10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B4" s="85" t="s">
        <v>34</v>
      </c>
      <c r="C4" s="85"/>
      <c r="D4" s="85"/>
      <c r="E4" s="13"/>
      <c r="F4" s="14"/>
      <c r="G4" s="15"/>
      <c r="H4" s="16" t="s">
        <v>7</v>
      </c>
      <c r="I4" s="17" t="s">
        <v>7</v>
      </c>
      <c r="J4" s="16" t="s">
        <v>8</v>
      </c>
      <c r="K4" s="18" t="s">
        <v>9</v>
      </c>
      <c r="L4" s="18" t="s">
        <v>8</v>
      </c>
      <c r="M4" s="17" t="s">
        <v>9</v>
      </c>
      <c r="N4" s="19" t="s">
        <v>10</v>
      </c>
      <c r="O4" s="19"/>
      <c r="P4" s="19" t="s">
        <v>11</v>
      </c>
      <c r="Q4" s="19"/>
      <c r="R4" s="11"/>
      <c r="S4" s="20"/>
      <c r="T4" s="21"/>
    </row>
    <row r="5" customFormat="false" ht="12.75" hidden="false" customHeight="false" outlineLevel="0" collapsed="false">
      <c r="E5" s="16" t="s">
        <v>12</v>
      </c>
      <c r="F5" s="18" t="s">
        <v>12</v>
      </c>
      <c r="G5" s="17" t="s">
        <v>13</v>
      </c>
      <c r="H5" s="16" t="s">
        <v>14</v>
      </c>
      <c r="I5" s="17" t="s">
        <v>14</v>
      </c>
      <c r="J5" s="22" t="s">
        <v>15</v>
      </c>
      <c r="K5" s="18" t="s">
        <v>16</v>
      </c>
      <c r="L5" s="18" t="s">
        <v>17</v>
      </c>
      <c r="M5" s="17" t="s">
        <v>18</v>
      </c>
      <c r="N5" s="23"/>
      <c r="O5" s="15"/>
      <c r="P5" s="22"/>
      <c r="Q5" s="24" t="s">
        <v>19</v>
      </c>
      <c r="R5" s="11"/>
      <c r="S5" s="16" t="s">
        <v>20</v>
      </c>
      <c r="T5" s="25" t="s">
        <v>21</v>
      </c>
    </row>
    <row r="6" customFormat="false" ht="12.75" hidden="false" customHeight="false" outlineLevel="0" collapsed="false">
      <c r="A6" s="26" t="s">
        <v>22</v>
      </c>
      <c r="B6" s="27" t="s">
        <v>23</v>
      </c>
      <c r="C6" s="27" t="s">
        <v>24</v>
      </c>
      <c r="D6" s="28" t="s">
        <v>25</v>
      </c>
      <c r="E6" s="22" t="s">
        <v>26</v>
      </c>
      <c r="F6" s="5" t="s">
        <v>27</v>
      </c>
      <c r="G6" s="25" t="s">
        <v>28</v>
      </c>
      <c r="H6" s="22" t="s">
        <v>29</v>
      </c>
      <c r="I6" s="25" t="s">
        <v>30</v>
      </c>
      <c r="J6" s="22" t="s">
        <v>10</v>
      </c>
      <c r="K6" s="5" t="s">
        <v>10</v>
      </c>
      <c r="L6" s="5" t="s">
        <v>30</v>
      </c>
      <c r="M6" s="25" t="s">
        <v>30</v>
      </c>
      <c r="N6" s="22" t="s">
        <v>20</v>
      </c>
      <c r="O6" s="25" t="s">
        <v>21</v>
      </c>
      <c r="P6" s="22" t="s">
        <v>20</v>
      </c>
      <c r="Q6" s="29" t="s">
        <v>21</v>
      </c>
      <c r="R6" s="5"/>
      <c r="S6" s="22" t="s">
        <v>31</v>
      </c>
      <c r="T6" s="25" t="s">
        <v>32</v>
      </c>
      <c r="U6" s="30"/>
      <c r="V6" s="30"/>
    </row>
    <row r="7" customFormat="false" ht="12.75" hidden="false" customHeight="false" outlineLevel="0" collapsed="false">
      <c r="A7" s="31" t="n">
        <v>37024</v>
      </c>
      <c r="B7" s="32" t="n">
        <v>1</v>
      </c>
      <c r="C7" s="33" t="n">
        <v>0</v>
      </c>
      <c r="D7" s="46" t="n">
        <v>0</v>
      </c>
      <c r="E7" s="35" t="n">
        <v>4.5</v>
      </c>
      <c r="F7" s="35" t="n">
        <v>4.5</v>
      </c>
      <c r="G7" s="36" t="n">
        <v>63.07</v>
      </c>
      <c r="H7" s="37"/>
      <c r="I7" s="38"/>
      <c r="J7" s="39"/>
      <c r="K7" s="40"/>
      <c r="L7" s="40"/>
      <c r="M7" s="21"/>
      <c r="N7" s="41"/>
      <c r="O7" s="42"/>
      <c r="P7" s="40"/>
      <c r="Q7" s="43"/>
      <c r="R7" s="44"/>
      <c r="S7" s="45"/>
      <c r="T7" s="46"/>
    </row>
    <row r="8" customFormat="false" ht="12.75" hidden="false" customHeight="false" outlineLevel="0" collapsed="false">
      <c r="A8" s="47" t="n">
        <v>37024</v>
      </c>
      <c r="B8" s="12" t="n">
        <v>2</v>
      </c>
      <c r="C8" s="48" t="n">
        <v>0</v>
      </c>
      <c r="D8" s="60" t="n">
        <v>0</v>
      </c>
      <c r="E8" s="50" t="n">
        <v>4.5</v>
      </c>
      <c r="F8" s="50" t="n">
        <v>4.5</v>
      </c>
      <c r="G8" s="51" t="n">
        <v>63.07</v>
      </c>
      <c r="H8" s="52"/>
      <c r="I8" s="53"/>
      <c r="J8" s="54"/>
      <c r="K8" s="44"/>
      <c r="L8" s="44"/>
      <c r="M8" s="55"/>
      <c r="N8" s="56"/>
      <c r="O8" s="57"/>
      <c r="P8" s="44"/>
      <c r="Q8" s="58"/>
      <c r="R8" s="44"/>
      <c r="S8" s="59"/>
      <c r="T8" s="60"/>
    </row>
    <row r="9" customFormat="false" ht="12.75" hidden="false" customHeight="false" outlineLevel="0" collapsed="false">
      <c r="A9" s="47" t="n">
        <v>37024</v>
      </c>
      <c r="B9" s="12" t="n">
        <v>3</v>
      </c>
      <c r="C9" s="48" t="n">
        <v>0</v>
      </c>
      <c r="D9" s="60" t="n">
        <v>0</v>
      </c>
      <c r="E9" s="50" t="n">
        <v>4.5</v>
      </c>
      <c r="F9" s="50" t="n">
        <v>4.5</v>
      </c>
      <c r="G9" s="51" t="n">
        <v>63.07</v>
      </c>
      <c r="H9" s="52"/>
      <c r="I9" s="53"/>
      <c r="J9" s="54"/>
      <c r="K9" s="44"/>
      <c r="L9" s="44"/>
      <c r="M9" s="55"/>
      <c r="N9" s="56"/>
      <c r="O9" s="57"/>
      <c r="P9" s="44"/>
      <c r="Q9" s="58"/>
      <c r="R9" s="44"/>
      <c r="S9" s="59"/>
      <c r="T9" s="60"/>
    </row>
    <row r="10" customFormat="false" ht="12.75" hidden="false" customHeight="false" outlineLevel="0" collapsed="false">
      <c r="A10" s="47" t="n">
        <v>37024</v>
      </c>
      <c r="B10" s="12" t="n">
        <v>4</v>
      </c>
      <c r="C10" s="48" t="n">
        <v>0</v>
      </c>
      <c r="D10" s="60" t="n">
        <v>0</v>
      </c>
      <c r="E10" s="50" t="n">
        <v>4.5</v>
      </c>
      <c r="F10" s="50" t="n">
        <v>4.5</v>
      </c>
      <c r="G10" s="51" t="n">
        <v>63.07</v>
      </c>
      <c r="H10" s="52"/>
      <c r="I10" s="53"/>
      <c r="J10" s="54"/>
      <c r="K10" s="44"/>
      <c r="L10" s="44"/>
      <c r="M10" s="55"/>
      <c r="N10" s="56"/>
      <c r="O10" s="57"/>
      <c r="P10" s="44"/>
      <c r="Q10" s="58"/>
      <c r="R10" s="44"/>
      <c r="S10" s="59"/>
      <c r="T10" s="60"/>
    </row>
    <row r="11" customFormat="false" ht="12.75" hidden="false" customHeight="false" outlineLevel="0" collapsed="false">
      <c r="A11" s="47" t="n">
        <v>37024</v>
      </c>
      <c r="B11" s="12" t="n">
        <v>5</v>
      </c>
      <c r="C11" s="48" t="n">
        <v>0</v>
      </c>
      <c r="D11" s="60" t="n">
        <v>0</v>
      </c>
      <c r="E11" s="50" t="n">
        <v>4.5</v>
      </c>
      <c r="F11" s="50" t="n">
        <v>4.5</v>
      </c>
      <c r="G11" s="51" t="n">
        <v>63.07</v>
      </c>
      <c r="H11" s="52"/>
      <c r="I11" s="53"/>
      <c r="J11" s="54"/>
      <c r="K11" s="44"/>
      <c r="L11" s="44"/>
      <c r="M11" s="55"/>
      <c r="N11" s="56"/>
      <c r="O11" s="57"/>
      <c r="P11" s="44"/>
      <c r="Q11" s="58"/>
      <c r="R11" s="44"/>
      <c r="S11" s="59"/>
      <c r="T11" s="60"/>
    </row>
    <row r="12" customFormat="false" ht="12.75" hidden="false" customHeight="false" outlineLevel="0" collapsed="false">
      <c r="A12" s="47" t="n">
        <v>37024</v>
      </c>
      <c r="B12" s="12" t="n">
        <v>6</v>
      </c>
      <c r="C12" s="48" t="n">
        <v>0</v>
      </c>
      <c r="D12" s="60" t="n">
        <v>0</v>
      </c>
      <c r="E12" s="50" t="n">
        <v>4.5</v>
      </c>
      <c r="F12" s="50" t="n">
        <v>4.5</v>
      </c>
      <c r="G12" s="51" t="n">
        <v>63.07</v>
      </c>
      <c r="H12" s="52"/>
      <c r="I12" s="53"/>
      <c r="J12" s="54"/>
      <c r="K12" s="44"/>
      <c r="L12" s="44"/>
      <c r="M12" s="55"/>
      <c r="N12" s="56"/>
      <c r="O12" s="57"/>
      <c r="P12" s="44"/>
      <c r="Q12" s="58"/>
      <c r="R12" s="44"/>
      <c r="S12" s="59"/>
      <c r="T12" s="60"/>
    </row>
    <row r="13" customFormat="false" ht="12.75" hidden="false" customHeight="false" outlineLevel="0" collapsed="false">
      <c r="A13" s="47" t="n">
        <v>37024</v>
      </c>
      <c r="B13" s="12" t="n">
        <v>7</v>
      </c>
      <c r="C13" s="48" t="n">
        <v>0</v>
      </c>
      <c r="D13" s="60" t="n">
        <v>0</v>
      </c>
      <c r="E13" s="50" t="n">
        <v>4.5</v>
      </c>
      <c r="F13" s="50" t="n">
        <v>4.5</v>
      </c>
      <c r="G13" s="51" t="n">
        <v>63.07</v>
      </c>
      <c r="H13" s="52"/>
      <c r="I13" s="53"/>
      <c r="J13" s="54"/>
      <c r="K13" s="49"/>
      <c r="L13" s="49"/>
      <c r="M13" s="55"/>
      <c r="N13" s="56"/>
      <c r="O13" s="57"/>
      <c r="P13" s="44"/>
      <c r="Q13" s="58"/>
      <c r="R13" s="44"/>
      <c r="S13" s="59"/>
      <c r="T13" s="60"/>
    </row>
    <row r="14" customFormat="false" ht="12.75" hidden="false" customHeight="false" outlineLevel="0" collapsed="false">
      <c r="A14" s="47" t="n">
        <v>37024</v>
      </c>
      <c r="B14" s="12" t="n">
        <v>8</v>
      </c>
      <c r="C14" s="48" t="n">
        <v>0</v>
      </c>
      <c r="D14" s="60" t="n">
        <v>0</v>
      </c>
      <c r="E14" s="50" t="n">
        <v>4.5</v>
      </c>
      <c r="F14" s="50" t="n">
        <v>4.5</v>
      </c>
      <c r="G14" s="51" t="n">
        <v>63.07</v>
      </c>
      <c r="H14" s="52"/>
      <c r="I14" s="53"/>
      <c r="J14" s="54"/>
      <c r="K14" s="49"/>
      <c r="L14" s="49"/>
      <c r="M14" s="55"/>
      <c r="N14" s="56"/>
      <c r="O14" s="57"/>
      <c r="P14" s="44"/>
      <c r="Q14" s="58"/>
      <c r="R14" s="44"/>
      <c r="S14" s="59"/>
      <c r="T14" s="60"/>
    </row>
    <row r="15" customFormat="false" ht="12.75" hidden="false" customHeight="false" outlineLevel="0" collapsed="false">
      <c r="A15" s="47" t="n">
        <v>37024</v>
      </c>
      <c r="B15" s="12" t="n">
        <v>9</v>
      </c>
      <c r="C15" s="48" t="n">
        <v>0</v>
      </c>
      <c r="D15" s="60" t="n">
        <v>0</v>
      </c>
      <c r="E15" s="50" t="n">
        <v>4.5</v>
      </c>
      <c r="F15" s="50" t="n">
        <v>4.5</v>
      </c>
      <c r="G15" s="51" t="n">
        <v>63.07</v>
      </c>
      <c r="H15" s="52"/>
      <c r="I15" s="53"/>
      <c r="J15" s="54"/>
      <c r="K15" s="49"/>
      <c r="L15" s="49"/>
      <c r="M15" s="55"/>
      <c r="N15" s="56"/>
      <c r="O15" s="57"/>
      <c r="P15" s="44"/>
      <c r="Q15" s="58"/>
      <c r="R15" s="44"/>
      <c r="S15" s="59"/>
      <c r="T15" s="60"/>
    </row>
    <row r="16" customFormat="false" ht="12.75" hidden="false" customHeight="false" outlineLevel="0" collapsed="false">
      <c r="A16" s="47" t="n">
        <v>37024</v>
      </c>
      <c r="B16" s="12" t="n">
        <v>10</v>
      </c>
      <c r="C16" s="48" t="n">
        <v>0</v>
      </c>
      <c r="D16" s="60" t="n">
        <v>0</v>
      </c>
      <c r="E16" s="50" t="n">
        <v>4.5</v>
      </c>
      <c r="F16" s="50" t="n">
        <v>4.5</v>
      </c>
      <c r="G16" s="51" t="n">
        <v>63.07</v>
      </c>
      <c r="H16" s="52"/>
      <c r="I16" s="53"/>
      <c r="J16" s="54"/>
      <c r="K16" s="49"/>
      <c r="L16" s="49"/>
      <c r="M16" s="55"/>
      <c r="N16" s="56"/>
      <c r="O16" s="57"/>
      <c r="P16" s="44"/>
      <c r="Q16" s="58"/>
      <c r="R16" s="44"/>
      <c r="S16" s="59"/>
      <c r="T16" s="60"/>
    </row>
    <row r="17" customFormat="false" ht="12.75" hidden="false" customHeight="false" outlineLevel="0" collapsed="false">
      <c r="A17" s="47" t="n">
        <v>37024</v>
      </c>
      <c r="B17" s="12" t="n">
        <v>11</v>
      </c>
      <c r="C17" s="48" t="n">
        <v>0</v>
      </c>
      <c r="D17" s="60" t="n">
        <v>0</v>
      </c>
      <c r="E17" s="50" t="n">
        <v>4.5</v>
      </c>
      <c r="F17" s="50" t="n">
        <v>4.5</v>
      </c>
      <c r="G17" s="51" t="n">
        <v>63.07</v>
      </c>
      <c r="H17" s="52"/>
      <c r="I17" s="53"/>
      <c r="J17" s="54"/>
      <c r="K17" s="49"/>
      <c r="L17" s="49"/>
      <c r="M17" s="55"/>
      <c r="N17" s="56"/>
      <c r="O17" s="57"/>
      <c r="P17" s="44"/>
      <c r="Q17" s="58"/>
      <c r="R17" s="44"/>
      <c r="S17" s="59"/>
      <c r="T17" s="60"/>
    </row>
    <row r="18" customFormat="false" ht="12.75" hidden="false" customHeight="false" outlineLevel="0" collapsed="false">
      <c r="A18" s="47" t="n">
        <v>37024</v>
      </c>
      <c r="B18" s="12" t="n">
        <v>12</v>
      </c>
      <c r="C18" s="48" t="n">
        <v>20</v>
      </c>
      <c r="D18" s="60" t="n">
        <v>38.75</v>
      </c>
      <c r="E18" s="50" t="n">
        <v>4.5</v>
      </c>
      <c r="F18" s="50" t="n">
        <v>4.5</v>
      </c>
      <c r="G18" s="51" t="n">
        <v>63.07</v>
      </c>
      <c r="H18" s="52" t="n">
        <v>24.32</v>
      </c>
      <c r="I18" s="53" t="n">
        <v>486.4</v>
      </c>
      <c r="J18" s="54" t="n">
        <v>9.728</v>
      </c>
      <c r="K18" s="49" t="n">
        <v>14.592</v>
      </c>
      <c r="L18" s="49" t="n">
        <v>194.56</v>
      </c>
      <c r="M18" s="55" t="n">
        <v>291.84</v>
      </c>
      <c r="N18" s="56" t="n">
        <v>38.75</v>
      </c>
      <c r="O18" s="57" t="n">
        <v>48.478</v>
      </c>
      <c r="P18" s="44" t="n">
        <v>775</v>
      </c>
      <c r="Q18" s="58" t="n">
        <v>969.56</v>
      </c>
      <c r="R18" s="44"/>
      <c r="S18" s="59" t="n">
        <v>194.56</v>
      </c>
      <c r="T18" s="60" t="n">
        <v>291.84</v>
      </c>
    </row>
    <row r="19" customFormat="false" ht="12.75" hidden="false" customHeight="false" outlineLevel="0" collapsed="false">
      <c r="A19" s="47" t="n">
        <v>37024</v>
      </c>
      <c r="B19" s="12" t="n">
        <v>13</v>
      </c>
      <c r="C19" s="48" t="n">
        <v>20</v>
      </c>
      <c r="D19" s="60" t="n">
        <v>38.75</v>
      </c>
      <c r="E19" s="50" t="n">
        <v>4.5</v>
      </c>
      <c r="F19" s="50" t="n">
        <v>4.5</v>
      </c>
      <c r="G19" s="51" t="n">
        <v>63.07</v>
      </c>
      <c r="H19" s="52" t="n">
        <v>24.32</v>
      </c>
      <c r="I19" s="53" t="n">
        <v>486.4</v>
      </c>
      <c r="J19" s="54" t="n">
        <v>9.728</v>
      </c>
      <c r="K19" s="49" t="n">
        <v>14.592</v>
      </c>
      <c r="L19" s="49" t="n">
        <v>194.56</v>
      </c>
      <c r="M19" s="55" t="n">
        <v>291.84</v>
      </c>
      <c r="N19" s="56" t="n">
        <v>38.75</v>
      </c>
      <c r="O19" s="57" t="n">
        <v>48.478</v>
      </c>
      <c r="P19" s="44" t="n">
        <v>775</v>
      </c>
      <c r="Q19" s="58" t="n">
        <v>969.56</v>
      </c>
      <c r="R19" s="44"/>
      <c r="S19" s="59" t="n">
        <v>194.56</v>
      </c>
      <c r="T19" s="60" t="n">
        <v>291.84</v>
      </c>
    </row>
    <row r="20" customFormat="false" ht="12.75" hidden="false" customHeight="false" outlineLevel="0" collapsed="false">
      <c r="A20" s="47" t="n">
        <v>37024</v>
      </c>
      <c r="B20" s="12" t="n">
        <v>14</v>
      </c>
      <c r="C20" s="48" t="n">
        <v>20</v>
      </c>
      <c r="D20" s="60" t="n">
        <v>38.75</v>
      </c>
      <c r="E20" s="50" t="n">
        <v>4.5</v>
      </c>
      <c r="F20" s="50" t="n">
        <v>4.5</v>
      </c>
      <c r="G20" s="51" t="n">
        <v>63.07</v>
      </c>
      <c r="H20" s="52" t="n">
        <v>24.32</v>
      </c>
      <c r="I20" s="53" t="n">
        <v>486.4</v>
      </c>
      <c r="J20" s="54" t="n">
        <v>9.728</v>
      </c>
      <c r="K20" s="49" t="n">
        <v>14.592</v>
      </c>
      <c r="L20" s="49" t="n">
        <v>194.56</v>
      </c>
      <c r="M20" s="55" t="n">
        <v>291.84</v>
      </c>
      <c r="N20" s="56" t="n">
        <v>38.75</v>
      </c>
      <c r="O20" s="57" t="n">
        <v>48.478</v>
      </c>
      <c r="P20" s="44" t="n">
        <v>775</v>
      </c>
      <c r="Q20" s="58" t="n">
        <v>969.56</v>
      </c>
      <c r="R20" s="44"/>
      <c r="S20" s="59" t="n">
        <v>194.56</v>
      </c>
      <c r="T20" s="60" t="n">
        <v>291.84</v>
      </c>
    </row>
    <row r="21" customFormat="false" ht="12.75" hidden="false" customHeight="false" outlineLevel="0" collapsed="false">
      <c r="A21" s="47" t="n">
        <v>37024</v>
      </c>
      <c r="B21" s="12" t="n">
        <v>15</v>
      </c>
      <c r="C21" s="48" t="n">
        <v>20</v>
      </c>
      <c r="D21" s="60" t="n">
        <v>38.75</v>
      </c>
      <c r="E21" s="50" t="n">
        <v>4.5</v>
      </c>
      <c r="F21" s="50" t="n">
        <v>4.5</v>
      </c>
      <c r="G21" s="51" t="n">
        <v>63.07</v>
      </c>
      <c r="H21" s="52" t="n">
        <v>24.32</v>
      </c>
      <c r="I21" s="53" t="n">
        <v>486.4</v>
      </c>
      <c r="J21" s="54" t="n">
        <v>9.728</v>
      </c>
      <c r="K21" s="49" t="n">
        <v>14.592</v>
      </c>
      <c r="L21" s="49" t="n">
        <v>194.56</v>
      </c>
      <c r="M21" s="55" t="n">
        <v>291.84</v>
      </c>
      <c r="N21" s="56" t="n">
        <v>38.75</v>
      </c>
      <c r="O21" s="57" t="n">
        <v>48.478</v>
      </c>
      <c r="P21" s="44" t="n">
        <v>775</v>
      </c>
      <c r="Q21" s="58" t="n">
        <v>969.56</v>
      </c>
      <c r="R21" s="44"/>
      <c r="S21" s="59" t="n">
        <v>194.56</v>
      </c>
      <c r="T21" s="60" t="n">
        <v>291.84</v>
      </c>
    </row>
    <row r="22" customFormat="false" ht="12.75" hidden="false" customHeight="false" outlineLevel="0" collapsed="false">
      <c r="A22" s="47" t="n">
        <v>37024</v>
      </c>
      <c r="B22" s="12" t="n">
        <v>16</v>
      </c>
      <c r="C22" s="48" t="n">
        <v>20</v>
      </c>
      <c r="D22" s="60" t="n">
        <v>38.75</v>
      </c>
      <c r="E22" s="50" t="n">
        <v>4.5</v>
      </c>
      <c r="F22" s="50" t="n">
        <v>4.5</v>
      </c>
      <c r="G22" s="51" t="n">
        <v>63.07</v>
      </c>
      <c r="H22" s="52" t="n">
        <v>24.32</v>
      </c>
      <c r="I22" s="53" t="n">
        <v>486.4</v>
      </c>
      <c r="J22" s="54" t="n">
        <v>9.728</v>
      </c>
      <c r="K22" s="49" t="n">
        <v>14.592</v>
      </c>
      <c r="L22" s="49" t="n">
        <v>194.56</v>
      </c>
      <c r="M22" s="55" t="n">
        <v>291.84</v>
      </c>
      <c r="N22" s="56" t="n">
        <v>38.75</v>
      </c>
      <c r="O22" s="57" t="n">
        <v>48.478</v>
      </c>
      <c r="P22" s="44" t="n">
        <v>775</v>
      </c>
      <c r="Q22" s="58" t="n">
        <v>969.56</v>
      </c>
      <c r="R22" s="44"/>
      <c r="S22" s="59" t="n">
        <v>194.56</v>
      </c>
      <c r="T22" s="60" t="n">
        <v>291.84</v>
      </c>
    </row>
    <row r="23" customFormat="false" ht="12.75" hidden="false" customHeight="false" outlineLevel="0" collapsed="false">
      <c r="A23" s="47" t="n">
        <v>37024</v>
      </c>
      <c r="B23" s="12" t="n">
        <v>17</v>
      </c>
      <c r="C23" s="48" t="n">
        <v>20</v>
      </c>
      <c r="D23" s="60" t="n">
        <v>38.75</v>
      </c>
      <c r="E23" s="50" t="n">
        <v>4.5</v>
      </c>
      <c r="F23" s="50" t="n">
        <v>4.5</v>
      </c>
      <c r="G23" s="51" t="n">
        <v>63.07</v>
      </c>
      <c r="H23" s="52" t="n">
        <v>24.32</v>
      </c>
      <c r="I23" s="53" t="n">
        <v>486.4</v>
      </c>
      <c r="J23" s="54" t="n">
        <v>9.728</v>
      </c>
      <c r="K23" s="49" t="n">
        <v>14.592</v>
      </c>
      <c r="L23" s="49" t="n">
        <v>194.56</v>
      </c>
      <c r="M23" s="55" t="n">
        <v>291.84</v>
      </c>
      <c r="N23" s="56" t="n">
        <v>38.75</v>
      </c>
      <c r="O23" s="57" t="n">
        <v>48.478</v>
      </c>
      <c r="P23" s="44" t="n">
        <v>775</v>
      </c>
      <c r="Q23" s="58" t="n">
        <v>969.56</v>
      </c>
      <c r="R23" s="44"/>
      <c r="S23" s="59" t="n">
        <v>194.56</v>
      </c>
      <c r="T23" s="60" t="n">
        <v>291.84</v>
      </c>
    </row>
    <row r="24" customFormat="false" ht="12.75" hidden="false" customHeight="false" outlineLevel="0" collapsed="false">
      <c r="A24" s="47" t="n">
        <v>37024</v>
      </c>
      <c r="B24" s="12" t="n">
        <v>18</v>
      </c>
      <c r="C24" s="48" t="n">
        <v>20</v>
      </c>
      <c r="D24" s="60" t="n">
        <v>38.75</v>
      </c>
      <c r="E24" s="50" t="n">
        <v>4.5</v>
      </c>
      <c r="F24" s="50" t="n">
        <v>4.5</v>
      </c>
      <c r="G24" s="51" t="n">
        <v>63.07</v>
      </c>
      <c r="H24" s="52" t="n">
        <v>24.32</v>
      </c>
      <c r="I24" s="53" t="n">
        <v>486.4</v>
      </c>
      <c r="J24" s="54" t="n">
        <v>9.728</v>
      </c>
      <c r="K24" s="49" t="n">
        <v>14.592</v>
      </c>
      <c r="L24" s="49" t="n">
        <v>194.56</v>
      </c>
      <c r="M24" s="55" t="n">
        <v>291.84</v>
      </c>
      <c r="N24" s="56" t="n">
        <v>38.75</v>
      </c>
      <c r="O24" s="57" t="n">
        <v>48.478</v>
      </c>
      <c r="P24" s="44" t="n">
        <v>775</v>
      </c>
      <c r="Q24" s="58" t="n">
        <v>969.56</v>
      </c>
      <c r="R24" s="44"/>
      <c r="S24" s="59" t="n">
        <v>194.56</v>
      </c>
      <c r="T24" s="60" t="n">
        <v>291.84</v>
      </c>
    </row>
    <row r="25" customFormat="false" ht="12.75" hidden="false" customHeight="false" outlineLevel="0" collapsed="false">
      <c r="A25" s="47" t="n">
        <v>37024</v>
      </c>
      <c r="B25" s="12" t="n">
        <v>19</v>
      </c>
      <c r="C25" s="48" t="n">
        <v>20</v>
      </c>
      <c r="D25" s="60" t="n">
        <v>38.75</v>
      </c>
      <c r="E25" s="50" t="n">
        <v>4.5</v>
      </c>
      <c r="F25" s="50" t="n">
        <v>4.5</v>
      </c>
      <c r="G25" s="51" t="n">
        <v>63.07</v>
      </c>
      <c r="H25" s="52" t="n">
        <v>24.32</v>
      </c>
      <c r="I25" s="53" t="n">
        <v>486.4</v>
      </c>
      <c r="J25" s="54" t="n">
        <v>9.728</v>
      </c>
      <c r="K25" s="49" t="n">
        <v>14.592</v>
      </c>
      <c r="L25" s="49" t="n">
        <v>194.56</v>
      </c>
      <c r="M25" s="55" t="n">
        <v>291.84</v>
      </c>
      <c r="N25" s="56" t="n">
        <v>38.75</v>
      </c>
      <c r="O25" s="57" t="n">
        <v>48.478</v>
      </c>
      <c r="P25" s="44" t="n">
        <v>775</v>
      </c>
      <c r="Q25" s="58" t="n">
        <v>969.56</v>
      </c>
      <c r="R25" s="44"/>
      <c r="S25" s="59" t="n">
        <v>194.56</v>
      </c>
      <c r="T25" s="60" t="n">
        <v>291.84</v>
      </c>
    </row>
    <row r="26" customFormat="false" ht="12.75" hidden="false" customHeight="false" outlineLevel="0" collapsed="false">
      <c r="A26" s="47" t="n">
        <v>37024</v>
      </c>
      <c r="B26" s="12" t="n">
        <v>20</v>
      </c>
      <c r="C26" s="48" t="n">
        <v>20</v>
      </c>
      <c r="D26" s="60" t="n">
        <v>38.75</v>
      </c>
      <c r="E26" s="50" t="n">
        <v>4.5</v>
      </c>
      <c r="F26" s="50" t="n">
        <v>4.5</v>
      </c>
      <c r="G26" s="51" t="n">
        <v>63.07</v>
      </c>
      <c r="H26" s="52" t="n">
        <v>24.32</v>
      </c>
      <c r="I26" s="53" t="n">
        <v>486.4</v>
      </c>
      <c r="J26" s="54" t="n">
        <v>9.728</v>
      </c>
      <c r="K26" s="49" t="n">
        <v>14.592</v>
      </c>
      <c r="L26" s="49" t="n">
        <v>194.56</v>
      </c>
      <c r="M26" s="55" t="n">
        <v>291.84</v>
      </c>
      <c r="N26" s="56" t="n">
        <v>38.75</v>
      </c>
      <c r="O26" s="57" t="n">
        <v>48.478</v>
      </c>
      <c r="P26" s="44" t="n">
        <v>775</v>
      </c>
      <c r="Q26" s="58" t="n">
        <v>969.56</v>
      </c>
      <c r="R26" s="44"/>
      <c r="S26" s="59" t="n">
        <v>194.56</v>
      </c>
      <c r="T26" s="60" t="n">
        <v>291.84</v>
      </c>
    </row>
    <row r="27" customFormat="false" ht="12.75" hidden="false" customHeight="false" outlineLevel="0" collapsed="false">
      <c r="A27" s="47" t="n">
        <v>37024</v>
      </c>
      <c r="B27" s="12" t="n">
        <v>21</v>
      </c>
      <c r="C27" s="48" t="n">
        <v>20</v>
      </c>
      <c r="D27" s="60" t="n">
        <v>38.75</v>
      </c>
      <c r="E27" s="50" t="n">
        <v>4.5</v>
      </c>
      <c r="F27" s="50" t="n">
        <v>4.5</v>
      </c>
      <c r="G27" s="51" t="n">
        <v>63.07</v>
      </c>
      <c r="H27" s="52" t="n">
        <v>24.32</v>
      </c>
      <c r="I27" s="53" t="n">
        <v>486.4</v>
      </c>
      <c r="J27" s="54" t="n">
        <v>9.728</v>
      </c>
      <c r="K27" s="49" t="n">
        <v>14.592</v>
      </c>
      <c r="L27" s="49" t="n">
        <v>194.56</v>
      </c>
      <c r="M27" s="55" t="n">
        <v>291.84</v>
      </c>
      <c r="N27" s="56" t="n">
        <v>38.75</v>
      </c>
      <c r="O27" s="57" t="n">
        <v>48.478</v>
      </c>
      <c r="P27" s="44" t="n">
        <v>775</v>
      </c>
      <c r="Q27" s="58" t="n">
        <v>969.56</v>
      </c>
      <c r="R27" s="44"/>
      <c r="S27" s="59" t="n">
        <v>194.56</v>
      </c>
      <c r="T27" s="60" t="n">
        <v>291.84</v>
      </c>
    </row>
    <row r="28" customFormat="false" ht="12.75" hidden="false" customHeight="false" outlineLevel="0" collapsed="false">
      <c r="A28" s="47" t="n">
        <v>37024</v>
      </c>
      <c r="B28" s="12" t="n">
        <v>22</v>
      </c>
      <c r="C28" s="48" t="n">
        <v>20</v>
      </c>
      <c r="D28" s="60" t="n">
        <v>38.75</v>
      </c>
      <c r="E28" s="50" t="n">
        <v>4.5</v>
      </c>
      <c r="F28" s="50" t="n">
        <v>4.5</v>
      </c>
      <c r="G28" s="51" t="n">
        <v>63.07</v>
      </c>
      <c r="H28" s="52" t="n">
        <v>24.32</v>
      </c>
      <c r="I28" s="53" t="n">
        <v>486.4</v>
      </c>
      <c r="J28" s="54" t="n">
        <v>9.728</v>
      </c>
      <c r="K28" s="49" t="n">
        <v>14.592</v>
      </c>
      <c r="L28" s="49" t="n">
        <v>194.56</v>
      </c>
      <c r="M28" s="55" t="n">
        <v>291.84</v>
      </c>
      <c r="N28" s="56" t="n">
        <v>38.75</v>
      </c>
      <c r="O28" s="57" t="n">
        <v>48.478</v>
      </c>
      <c r="P28" s="44" t="n">
        <v>775</v>
      </c>
      <c r="Q28" s="58" t="n">
        <v>969.56</v>
      </c>
      <c r="R28" s="44"/>
      <c r="S28" s="59" t="n">
        <v>194.56</v>
      </c>
      <c r="T28" s="60" t="n">
        <v>291.84</v>
      </c>
    </row>
    <row r="29" customFormat="false" ht="12.75" hidden="false" customHeight="false" outlineLevel="0" collapsed="false">
      <c r="A29" s="47" t="n">
        <v>37024</v>
      </c>
      <c r="B29" s="12" t="n">
        <v>23</v>
      </c>
      <c r="C29" s="48" t="n">
        <v>20</v>
      </c>
      <c r="D29" s="60" t="n">
        <v>38.75</v>
      </c>
      <c r="E29" s="50" t="n">
        <v>4.5</v>
      </c>
      <c r="F29" s="50" t="n">
        <v>4.5</v>
      </c>
      <c r="G29" s="51" t="n">
        <v>63.07</v>
      </c>
      <c r="H29" s="52" t="n">
        <v>24.32</v>
      </c>
      <c r="I29" s="53" t="n">
        <v>486.4</v>
      </c>
      <c r="J29" s="54" t="n">
        <v>1</v>
      </c>
      <c r="K29" s="44" t="n">
        <v>23.32</v>
      </c>
      <c r="L29" s="44" t="n">
        <v>20</v>
      </c>
      <c r="M29" s="55" t="n">
        <v>466.4</v>
      </c>
      <c r="N29" s="56" t="n">
        <v>38.75</v>
      </c>
      <c r="O29" s="57" t="n">
        <v>39.75</v>
      </c>
      <c r="P29" s="44" t="n">
        <v>775</v>
      </c>
      <c r="Q29" s="58" t="n">
        <v>795</v>
      </c>
      <c r="R29" s="44"/>
      <c r="S29" s="59" t="n">
        <v>20</v>
      </c>
      <c r="T29" s="60" t="n">
        <v>466.4</v>
      </c>
    </row>
    <row r="30" customFormat="false" ht="12.75" hidden="false" customHeight="false" outlineLevel="0" collapsed="false">
      <c r="A30" s="61" t="n">
        <v>37024</v>
      </c>
      <c r="B30" s="62" t="n">
        <v>24</v>
      </c>
      <c r="C30" s="63" t="n">
        <v>0</v>
      </c>
      <c r="D30" s="76" t="n">
        <v>0</v>
      </c>
      <c r="E30" s="65" t="n">
        <v>4.5</v>
      </c>
      <c r="F30" s="65" t="n">
        <v>4.5</v>
      </c>
      <c r="G30" s="66" t="n">
        <v>63.07</v>
      </c>
      <c r="H30" s="67"/>
      <c r="I30" s="68"/>
      <c r="J30" s="69"/>
      <c r="K30" s="70"/>
      <c r="L30" s="70"/>
      <c r="M30" s="71"/>
      <c r="N30" s="72"/>
      <c r="O30" s="73"/>
      <c r="P30" s="70"/>
      <c r="Q30" s="74"/>
      <c r="R30" s="44"/>
      <c r="S30" s="75"/>
      <c r="T30" s="76"/>
    </row>
    <row r="31" customFormat="false" ht="4.5" hidden="false" customHeight="true" outlineLevel="0" collapsed="false">
      <c r="E31" s="77"/>
      <c r="F31" s="77"/>
      <c r="G31" s="77"/>
      <c r="I31" s="78"/>
      <c r="Q31" s="2"/>
      <c r="S31" s="2"/>
    </row>
    <row r="32" customFormat="false" ht="12.75" hidden="false" customHeight="false" outlineLevel="0" collapsed="false">
      <c r="K32" s="79"/>
      <c r="L32" s="79"/>
      <c r="M32" s="79"/>
      <c r="N32" s="80"/>
      <c r="O32" s="79"/>
      <c r="P32" s="80"/>
      <c r="Q32" s="81" t="n">
        <v>11460.16</v>
      </c>
      <c r="R32" s="82"/>
      <c r="S32" s="81" t="n">
        <v>2160.16</v>
      </c>
      <c r="T32" s="81" t="n">
        <v>3676.64</v>
      </c>
    </row>
    <row r="33" customFormat="false" ht="12.75" hidden="false" customHeight="false" outlineLevel="0" collapsed="false">
      <c r="D33" s="0"/>
      <c r="N33" s="0"/>
      <c r="P33" s="0"/>
      <c r="R33" s="0"/>
      <c r="T33" s="0"/>
    </row>
    <row r="34" customFormat="false" ht="12.75" hidden="true" customHeight="true" outlineLevel="0" collapsed="false">
      <c r="B34" s="0" t="s">
        <v>33</v>
      </c>
      <c r="C34" s="0" t="n">
        <v>289</v>
      </c>
    </row>
    <row r="35" customFormat="false" ht="12.75" hidden="false" customHeight="false" outlineLevel="0" collapsed="false">
      <c r="D35" s="0"/>
      <c r="N35" s="0"/>
      <c r="P35" s="0"/>
      <c r="R35" s="0"/>
      <c r="T35" s="0"/>
    </row>
    <row r="36" customFormat="false" ht="12.75" hidden="false" customHeight="false" outlineLevel="0" collapsed="false">
      <c r="D36" s="0"/>
      <c r="N36" s="0"/>
      <c r="P36" s="0"/>
      <c r="R36" s="0"/>
      <c r="T36" s="0"/>
    </row>
    <row r="37" customFormat="false" ht="12.75" hidden="false" customHeight="false" outlineLevel="0" collapsed="false">
      <c r="A37" s="6"/>
      <c r="B37" s="6"/>
      <c r="C37" s="6"/>
      <c r="D37" s="7"/>
      <c r="E37" s="8" t="s">
        <v>2</v>
      </c>
      <c r="F37" s="8"/>
      <c r="G37" s="8"/>
      <c r="H37" s="9" t="s">
        <v>3</v>
      </c>
      <c r="I37" s="9"/>
      <c r="J37" s="9" t="s">
        <v>4</v>
      </c>
      <c r="K37" s="9"/>
      <c r="L37" s="9"/>
      <c r="M37" s="9"/>
      <c r="N37" s="10" t="s">
        <v>5</v>
      </c>
      <c r="O37" s="10"/>
      <c r="P37" s="10"/>
      <c r="Q37" s="10"/>
      <c r="R37" s="11"/>
      <c r="S37" s="10" t="s">
        <v>6</v>
      </c>
      <c r="T37" s="10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2.75" hidden="false" customHeight="false" outlineLevel="0" collapsed="false">
      <c r="B38" s="85" t="s">
        <v>35</v>
      </c>
      <c r="C38" s="85"/>
      <c r="D38" s="85"/>
      <c r="E38" s="13"/>
      <c r="F38" s="14"/>
      <c r="G38" s="15"/>
      <c r="H38" s="16" t="s">
        <v>7</v>
      </c>
      <c r="I38" s="17" t="s">
        <v>7</v>
      </c>
      <c r="J38" s="16" t="s">
        <v>8</v>
      </c>
      <c r="K38" s="18" t="s">
        <v>9</v>
      </c>
      <c r="L38" s="18" t="s">
        <v>8</v>
      </c>
      <c r="M38" s="17" t="s">
        <v>9</v>
      </c>
      <c r="N38" s="19" t="s">
        <v>10</v>
      </c>
      <c r="O38" s="19"/>
      <c r="P38" s="19" t="s">
        <v>11</v>
      </c>
      <c r="Q38" s="19"/>
      <c r="R38" s="11"/>
      <c r="S38" s="20"/>
      <c r="T38" s="21"/>
    </row>
    <row r="39" customFormat="false" ht="12.75" hidden="false" customHeight="false" outlineLevel="0" collapsed="false">
      <c r="E39" s="16" t="s">
        <v>12</v>
      </c>
      <c r="F39" s="18" t="s">
        <v>12</v>
      </c>
      <c r="G39" s="17" t="s">
        <v>13</v>
      </c>
      <c r="H39" s="16" t="s">
        <v>14</v>
      </c>
      <c r="I39" s="17" t="s">
        <v>14</v>
      </c>
      <c r="J39" s="22" t="s">
        <v>15</v>
      </c>
      <c r="K39" s="18" t="s">
        <v>16</v>
      </c>
      <c r="L39" s="18" t="s">
        <v>17</v>
      </c>
      <c r="M39" s="17" t="s">
        <v>18</v>
      </c>
      <c r="N39" s="23"/>
      <c r="O39" s="15"/>
      <c r="P39" s="22"/>
      <c r="Q39" s="24" t="s">
        <v>19</v>
      </c>
      <c r="R39" s="11"/>
      <c r="S39" s="16" t="s">
        <v>20</v>
      </c>
      <c r="T39" s="25" t="s">
        <v>21</v>
      </c>
    </row>
    <row r="40" customFormat="false" ht="12.75" hidden="false" customHeight="false" outlineLevel="0" collapsed="false">
      <c r="A40" s="26" t="s">
        <v>22</v>
      </c>
      <c r="B40" s="27" t="s">
        <v>23</v>
      </c>
      <c r="C40" s="27" t="s">
        <v>24</v>
      </c>
      <c r="D40" s="28" t="s">
        <v>25</v>
      </c>
      <c r="E40" s="22" t="s">
        <v>26</v>
      </c>
      <c r="F40" s="5" t="s">
        <v>27</v>
      </c>
      <c r="G40" s="25" t="s">
        <v>28</v>
      </c>
      <c r="H40" s="22" t="s">
        <v>29</v>
      </c>
      <c r="I40" s="25" t="s">
        <v>30</v>
      </c>
      <c r="J40" s="22" t="s">
        <v>10</v>
      </c>
      <c r="K40" s="5" t="s">
        <v>10</v>
      </c>
      <c r="L40" s="5" t="s">
        <v>30</v>
      </c>
      <c r="M40" s="25" t="s">
        <v>30</v>
      </c>
      <c r="N40" s="22" t="s">
        <v>20</v>
      </c>
      <c r="O40" s="25" t="s">
        <v>21</v>
      </c>
      <c r="P40" s="22" t="s">
        <v>20</v>
      </c>
      <c r="Q40" s="29" t="s">
        <v>21</v>
      </c>
      <c r="R40" s="5"/>
      <c r="S40" s="22" t="s">
        <v>31</v>
      </c>
      <c r="T40" s="25" t="s">
        <v>32</v>
      </c>
      <c r="U40" s="30"/>
      <c r="V40" s="30"/>
    </row>
    <row r="41" customFormat="false" ht="12.75" hidden="false" customHeight="false" outlineLevel="0" collapsed="false">
      <c r="A41" s="31" t="n">
        <v>37024</v>
      </c>
      <c r="B41" s="32" t="n">
        <v>1</v>
      </c>
      <c r="C41" s="33" t="n">
        <v>24</v>
      </c>
      <c r="D41" s="34" t="n">
        <v>18</v>
      </c>
      <c r="E41" s="35" t="n">
        <v>4.5</v>
      </c>
      <c r="F41" s="35" t="n">
        <v>4.5</v>
      </c>
      <c r="G41" s="36" t="n">
        <v>63.07</v>
      </c>
      <c r="H41" s="37" t="n">
        <v>45.07</v>
      </c>
      <c r="I41" s="38" t="n">
        <v>1081.68</v>
      </c>
      <c r="J41" s="39" t="n">
        <v>1</v>
      </c>
      <c r="K41" s="40" t="n">
        <v>44.07</v>
      </c>
      <c r="L41" s="40" t="n">
        <v>24</v>
      </c>
      <c r="M41" s="21" t="n">
        <v>1057.68</v>
      </c>
      <c r="N41" s="41" t="n">
        <v>18</v>
      </c>
      <c r="O41" s="42" t="n">
        <v>19</v>
      </c>
      <c r="P41" s="40" t="n">
        <v>432</v>
      </c>
      <c r="Q41" s="43" t="n">
        <v>456</v>
      </c>
      <c r="R41" s="44"/>
      <c r="S41" s="45" t="n">
        <v>24</v>
      </c>
      <c r="T41" s="46" t="n">
        <v>1057.68</v>
      </c>
    </row>
    <row r="42" customFormat="false" ht="12.75" hidden="false" customHeight="false" outlineLevel="0" collapsed="false">
      <c r="A42" s="47" t="n">
        <v>37024</v>
      </c>
      <c r="B42" s="12" t="n">
        <v>2</v>
      </c>
      <c r="C42" s="48" t="n">
        <v>21</v>
      </c>
      <c r="D42" s="49" t="n">
        <v>18</v>
      </c>
      <c r="E42" s="50" t="n">
        <v>4.5</v>
      </c>
      <c r="F42" s="50" t="n">
        <v>4.5</v>
      </c>
      <c r="G42" s="51" t="n">
        <v>63.07</v>
      </c>
      <c r="H42" s="52" t="n">
        <v>45.07</v>
      </c>
      <c r="I42" s="53" t="n">
        <v>946.47</v>
      </c>
      <c r="J42" s="54" t="n">
        <v>1</v>
      </c>
      <c r="K42" s="44" t="n">
        <v>44.07</v>
      </c>
      <c r="L42" s="44" t="n">
        <v>21</v>
      </c>
      <c r="M42" s="55" t="n">
        <v>925.47</v>
      </c>
      <c r="N42" s="56" t="n">
        <v>18</v>
      </c>
      <c r="O42" s="57" t="n">
        <v>19</v>
      </c>
      <c r="P42" s="44" t="n">
        <v>378</v>
      </c>
      <c r="Q42" s="58" t="n">
        <v>399</v>
      </c>
      <c r="R42" s="44"/>
      <c r="S42" s="59" t="n">
        <v>21</v>
      </c>
      <c r="T42" s="60" t="n">
        <v>925.47</v>
      </c>
    </row>
    <row r="43" customFormat="false" ht="12.75" hidden="false" customHeight="false" outlineLevel="0" collapsed="false">
      <c r="A43" s="47" t="n">
        <v>37024</v>
      </c>
      <c r="B43" s="12" t="n">
        <v>3</v>
      </c>
      <c r="C43" s="48" t="n">
        <v>20</v>
      </c>
      <c r="D43" s="49" t="n">
        <v>15</v>
      </c>
      <c r="E43" s="50" t="n">
        <v>4.5</v>
      </c>
      <c r="F43" s="50" t="n">
        <v>4.5</v>
      </c>
      <c r="G43" s="51" t="n">
        <v>63.07</v>
      </c>
      <c r="H43" s="52" t="n">
        <v>48.07</v>
      </c>
      <c r="I43" s="53" t="n">
        <v>961.4</v>
      </c>
      <c r="J43" s="54" t="n">
        <v>1</v>
      </c>
      <c r="K43" s="44" t="n">
        <v>47.07</v>
      </c>
      <c r="L43" s="44" t="n">
        <v>20</v>
      </c>
      <c r="M43" s="55" t="n">
        <v>941.4</v>
      </c>
      <c r="N43" s="56" t="n">
        <v>15</v>
      </c>
      <c r="O43" s="57" t="n">
        <v>16</v>
      </c>
      <c r="P43" s="44" t="n">
        <v>300</v>
      </c>
      <c r="Q43" s="58" t="n">
        <v>320</v>
      </c>
      <c r="R43" s="44"/>
      <c r="S43" s="59" t="n">
        <v>20</v>
      </c>
      <c r="T43" s="60" t="n">
        <v>941.4</v>
      </c>
    </row>
    <row r="44" customFormat="false" ht="12.75" hidden="false" customHeight="false" outlineLevel="0" collapsed="false">
      <c r="A44" s="47" t="n">
        <v>37024</v>
      </c>
      <c r="B44" s="12" t="n">
        <v>4</v>
      </c>
      <c r="C44" s="48" t="n">
        <v>18</v>
      </c>
      <c r="D44" s="49" t="n">
        <v>15</v>
      </c>
      <c r="E44" s="50" t="n">
        <v>4.5</v>
      </c>
      <c r="F44" s="50" t="n">
        <v>4.5</v>
      </c>
      <c r="G44" s="51" t="n">
        <v>63.07</v>
      </c>
      <c r="H44" s="52" t="n">
        <v>48.07</v>
      </c>
      <c r="I44" s="53" t="n">
        <v>865.26</v>
      </c>
      <c r="J44" s="54" t="n">
        <v>1</v>
      </c>
      <c r="K44" s="44" t="n">
        <v>47.07</v>
      </c>
      <c r="L44" s="44" t="n">
        <v>18</v>
      </c>
      <c r="M44" s="55" t="n">
        <v>847.26</v>
      </c>
      <c r="N44" s="56" t="n">
        <v>15</v>
      </c>
      <c r="O44" s="57" t="n">
        <v>16</v>
      </c>
      <c r="P44" s="44" t="n">
        <v>270</v>
      </c>
      <c r="Q44" s="58" t="n">
        <v>288</v>
      </c>
      <c r="R44" s="44"/>
      <c r="S44" s="59" t="n">
        <v>18</v>
      </c>
      <c r="T44" s="60" t="n">
        <v>847.26</v>
      </c>
    </row>
    <row r="45" customFormat="false" ht="12.75" hidden="false" customHeight="false" outlineLevel="0" collapsed="false">
      <c r="A45" s="47" t="n">
        <v>37024</v>
      </c>
      <c r="B45" s="12" t="n">
        <v>5</v>
      </c>
      <c r="C45" s="48" t="n">
        <v>17</v>
      </c>
      <c r="D45" s="49" t="n">
        <v>15</v>
      </c>
      <c r="E45" s="50" t="n">
        <v>4.5</v>
      </c>
      <c r="F45" s="50" t="n">
        <v>4.5</v>
      </c>
      <c r="G45" s="51" t="n">
        <v>63.07</v>
      </c>
      <c r="H45" s="52" t="n">
        <v>48.07</v>
      </c>
      <c r="I45" s="53" t="n">
        <v>817.19</v>
      </c>
      <c r="J45" s="54" t="n">
        <v>1</v>
      </c>
      <c r="K45" s="44" t="n">
        <v>47.07</v>
      </c>
      <c r="L45" s="44" t="n">
        <v>17</v>
      </c>
      <c r="M45" s="55" t="n">
        <v>800.19</v>
      </c>
      <c r="N45" s="56" t="n">
        <v>15</v>
      </c>
      <c r="O45" s="57" t="n">
        <v>16</v>
      </c>
      <c r="P45" s="44" t="n">
        <v>255</v>
      </c>
      <c r="Q45" s="58" t="n">
        <v>272</v>
      </c>
      <c r="R45" s="44"/>
      <c r="S45" s="59" t="n">
        <v>17</v>
      </c>
      <c r="T45" s="60" t="n">
        <v>800.19</v>
      </c>
    </row>
    <row r="46" customFormat="false" ht="12.75" hidden="false" customHeight="false" outlineLevel="0" collapsed="false">
      <c r="A46" s="47" t="n">
        <v>37024</v>
      </c>
      <c r="B46" s="12" t="n">
        <v>6</v>
      </c>
      <c r="C46" s="48" t="n">
        <v>18</v>
      </c>
      <c r="D46" s="49" t="n">
        <v>15</v>
      </c>
      <c r="E46" s="50" t="n">
        <v>4.5</v>
      </c>
      <c r="F46" s="50" t="n">
        <v>4.5</v>
      </c>
      <c r="G46" s="51" t="n">
        <v>63.07</v>
      </c>
      <c r="H46" s="52" t="n">
        <v>48.07</v>
      </c>
      <c r="I46" s="53" t="n">
        <v>865.26</v>
      </c>
      <c r="J46" s="54" t="n">
        <v>1</v>
      </c>
      <c r="K46" s="44" t="n">
        <v>47.07</v>
      </c>
      <c r="L46" s="44" t="n">
        <v>18</v>
      </c>
      <c r="M46" s="55" t="n">
        <v>847.26</v>
      </c>
      <c r="N46" s="56" t="n">
        <v>15</v>
      </c>
      <c r="O46" s="57" t="n">
        <v>16</v>
      </c>
      <c r="P46" s="44" t="n">
        <v>270</v>
      </c>
      <c r="Q46" s="58" t="n">
        <v>288</v>
      </c>
      <c r="R46" s="44"/>
      <c r="S46" s="59" t="n">
        <v>18</v>
      </c>
      <c r="T46" s="60" t="n">
        <v>847.26</v>
      </c>
    </row>
    <row r="47" customFormat="false" ht="12.75" hidden="false" customHeight="false" outlineLevel="0" collapsed="false">
      <c r="A47" s="47" t="n">
        <v>37024</v>
      </c>
      <c r="B47" s="12" t="n">
        <v>7</v>
      </c>
      <c r="C47" s="48" t="n">
        <v>18</v>
      </c>
      <c r="D47" s="49" t="n">
        <v>17</v>
      </c>
      <c r="E47" s="50" t="n">
        <v>4.5</v>
      </c>
      <c r="F47" s="50" t="n">
        <v>4.5</v>
      </c>
      <c r="G47" s="51" t="n">
        <v>63.07</v>
      </c>
      <c r="H47" s="52" t="n">
        <v>46.07</v>
      </c>
      <c r="I47" s="53" t="n">
        <v>829.26</v>
      </c>
      <c r="J47" s="54" t="n">
        <v>18.428</v>
      </c>
      <c r="K47" s="49" t="n">
        <v>27.642</v>
      </c>
      <c r="L47" s="49" t="n">
        <v>331.704</v>
      </c>
      <c r="M47" s="55" t="n">
        <v>497.556</v>
      </c>
      <c r="N47" s="56" t="n">
        <v>17</v>
      </c>
      <c r="O47" s="57" t="n">
        <v>35.428</v>
      </c>
      <c r="P47" s="44" t="n">
        <v>306</v>
      </c>
      <c r="Q47" s="58" t="n">
        <v>637.704</v>
      </c>
      <c r="R47" s="44"/>
      <c r="S47" s="59" t="n">
        <v>331.704</v>
      </c>
      <c r="T47" s="60" t="n">
        <v>497.556</v>
      </c>
    </row>
    <row r="48" customFormat="false" ht="12.75" hidden="false" customHeight="false" outlineLevel="0" collapsed="false">
      <c r="A48" s="47" t="n">
        <v>37024</v>
      </c>
      <c r="B48" s="12" t="n">
        <v>8</v>
      </c>
      <c r="C48" s="48" t="n">
        <v>18</v>
      </c>
      <c r="D48" s="49" t="n">
        <v>17</v>
      </c>
      <c r="E48" s="50" t="n">
        <v>4.5</v>
      </c>
      <c r="F48" s="50" t="n">
        <v>4.5</v>
      </c>
      <c r="G48" s="51" t="n">
        <v>63.07</v>
      </c>
      <c r="H48" s="52" t="n">
        <v>46.07</v>
      </c>
      <c r="I48" s="53" t="n">
        <v>829.26</v>
      </c>
      <c r="J48" s="54" t="n">
        <v>18.428</v>
      </c>
      <c r="K48" s="49" t="n">
        <v>27.642</v>
      </c>
      <c r="L48" s="49" t="n">
        <v>331.704</v>
      </c>
      <c r="M48" s="55" t="n">
        <v>497.556</v>
      </c>
      <c r="N48" s="56" t="n">
        <v>17</v>
      </c>
      <c r="O48" s="57" t="n">
        <v>35.428</v>
      </c>
      <c r="P48" s="44" t="n">
        <v>306</v>
      </c>
      <c r="Q48" s="58" t="n">
        <v>637.704</v>
      </c>
      <c r="R48" s="44"/>
      <c r="S48" s="59" t="n">
        <v>331.704</v>
      </c>
      <c r="T48" s="60" t="n">
        <v>497.556</v>
      </c>
    </row>
    <row r="49" customFormat="false" ht="12.75" hidden="false" customHeight="false" outlineLevel="0" collapsed="false">
      <c r="A49" s="47" t="n">
        <v>37024</v>
      </c>
      <c r="B49" s="12" t="n">
        <v>9</v>
      </c>
      <c r="C49" s="48" t="n">
        <v>18</v>
      </c>
      <c r="D49" s="49" t="n">
        <v>17</v>
      </c>
      <c r="E49" s="50" t="n">
        <v>4.5</v>
      </c>
      <c r="F49" s="50" t="n">
        <v>4.5</v>
      </c>
      <c r="G49" s="51" t="n">
        <v>63.07</v>
      </c>
      <c r="H49" s="52" t="n">
        <v>46.07</v>
      </c>
      <c r="I49" s="53" t="n">
        <v>829.26</v>
      </c>
      <c r="J49" s="54" t="n">
        <v>18.428</v>
      </c>
      <c r="K49" s="49" t="n">
        <v>27.642</v>
      </c>
      <c r="L49" s="49" t="n">
        <v>331.704</v>
      </c>
      <c r="M49" s="55" t="n">
        <v>497.556</v>
      </c>
      <c r="N49" s="56" t="n">
        <v>17</v>
      </c>
      <c r="O49" s="57" t="n">
        <v>35.428</v>
      </c>
      <c r="P49" s="44" t="n">
        <v>306</v>
      </c>
      <c r="Q49" s="58" t="n">
        <v>637.704</v>
      </c>
      <c r="R49" s="44"/>
      <c r="S49" s="59" t="n">
        <v>331.704</v>
      </c>
      <c r="T49" s="60" t="n">
        <v>497.556</v>
      </c>
    </row>
    <row r="50" customFormat="false" ht="12.75" hidden="false" customHeight="false" outlineLevel="0" collapsed="false">
      <c r="A50" s="47" t="n">
        <v>37024</v>
      </c>
      <c r="B50" s="12" t="n">
        <v>10</v>
      </c>
      <c r="C50" s="48" t="n">
        <v>18</v>
      </c>
      <c r="D50" s="49" t="n">
        <v>19</v>
      </c>
      <c r="E50" s="50" t="n">
        <v>4.5</v>
      </c>
      <c r="F50" s="50" t="n">
        <v>4.5</v>
      </c>
      <c r="G50" s="51" t="n">
        <v>63.07</v>
      </c>
      <c r="H50" s="52" t="n">
        <v>44.07</v>
      </c>
      <c r="I50" s="53" t="n">
        <v>793.26</v>
      </c>
      <c r="J50" s="54" t="n">
        <v>17.628</v>
      </c>
      <c r="K50" s="49" t="n">
        <v>26.442</v>
      </c>
      <c r="L50" s="49" t="n">
        <v>317.304</v>
      </c>
      <c r="M50" s="55" t="n">
        <v>475.956</v>
      </c>
      <c r="N50" s="56" t="n">
        <v>19</v>
      </c>
      <c r="O50" s="57" t="n">
        <v>36.628</v>
      </c>
      <c r="P50" s="44" t="n">
        <v>342</v>
      </c>
      <c r="Q50" s="58" t="n">
        <v>659.304</v>
      </c>
      <c r="R50" s="44"/>
      <c r="S50" s="59" t="n">
        <v>317.304</v>
      </c>
      <c r="T50" s="60" t="n">
        <v>475.956</v>
      </c>
    </row>
    <row r="51" customFormat="false" ht="12.75" hidden="false" customHeight="false" outlineLevel="0" collapsed="false">
      <c r="A51" s="47" t="n">
        <v>37024</v>
      </c>
      <c r="B51" s="12" t="n">
        <v>11</v>
      </c>
      <c r="C51" s="48" t="n">
        <v>18</v>
      </c>
      <c r="D51" s="49" t="n">
        <v>19</v>
      </c>
      <c r="E51" s="50" t="n">
        <v>4.5</v>
      </c>
      <c r="F51" s="50" t="n">
        <v>4.5</v>
      </c>
      <c r="G51" s="51" t="n">
        <v>63.07</v>
      </c>
      <c r="H51" s="52" t="n">
        <v>44.07</v>
      </c>
      <c r="I51" s="53" t="n">
        <v>793.26</v>
      </c>
      <c r="J51" s="54" t="n">
        <v>17.628</v>
      </c>
      <c r="K51" s="49" t="n">
        <v>26.442</v>
      </c>
      <c r="L51" s="49" t="n">
        <v>317.304</v>
      </c>
      <c r="M51" s="55" t="n">
        <v>475.956</v>
      </c>
      <c r="N51" s="56" t="n">
        <v>19</v>
      </c>
      <c r="O51" s="57" t="n">
        <v>36.628</v>
      </c>
      <c r="P51" s="44" t="n">
        <v>342</v>
      </c>
      <c r="Q51" s="58" t="n">
        <v>659.304</v>
      </c>
      <c r="R51" s="44"/>
      <c r="S51" s="59" t="n">
        <v>317.304</v>
      </c>
      <c r="T51" s="60" t="n">
        <v>475.956</v>
      </c>
    </row>
    <row r="52" customFormat="false" ht="12.75" hidden="false" customHeight="false" outlineLevel="0" collapsed="false">
      <c r="A52" s="47" t="n">
        <v>37024</v>
      </c>
      <c r="B52" s="12" t="n">
        <v>12</v>
      </c>
      <c r="C52" s="48" t="n">
        <v>10</v>
      </c>
      <c r="D52" s="49" t="n">
        <v>20</v>
      </c>
      <c r="E52" s="50" t="n">
        <v>4.5</v>
      </c>
      <c r="F52" s="50" t="n">
        <v>4.5</v>
      </c>
      <c r="G52" s="51" t="n">
        <v>63.07</v>
      </c>
      <c r="H52" s="52" t="n">
        <v>43.07</v>
      </c>
      <c r="I52" s="53" t="n">
        <v>430.7</v>
      </c>
      <c r="J52" s="54" t="n">
        <v>17.228</v>
      </c>
      <c r="K52" s="49" t="n">
        <v>25.842</v>
      </c>
      <c r="L52" s="49" t="n">
        <v>172.28</v>
      </c>
      <c r="M52" s="55" t="n">
        <v>258.42</v>
      </c>
      <c r="N52" s="56" t="n">
        <v>20</v>
      </c>
      <c r="O52" s="57" t="n">
        <v>37.228</v>
      </c>
      <c r="P52" s="44" t="n">
        <v>200</v>
      </c>
      <c r="Q52" s="58" t="n">
        <v>372.28</v>
      </c>
      <c r="R52" s="44"/>
      <c r="S52" s="59" t="n">
        <v>172.28</v>
      </c>
      <c r="T52" s="60" t="n">
        <v>258.42</v>
      </c>
    </row>
    <row r="53" customFormat="false" ht="12.75" hidden="false" customHeight="false" outlineLevel="0" collapsed="false">
      <c r="A53" s="47" t="n">
        <v>37024</v>
      </c>
      <c r="B53" s="12" t="n">
        <v>13</v>
      </c>
      <c r="C53" s="48" t="n">
        <v>10</v>
      </c>
      <c r="D53" s="49" t="n">
        <v>20</v>
      </c>
      <c r="E53" s="50" t="n">
        <v>4.5</v>
      </c>
      <c r="F53" s="50" t="n">
        <v>4.5</v>
      </c>
      <c r="G53" s="51" t="n">
        <v>63.07</v>
      </c>
      <c r="H53" s="52" t="n">
        <v>43.07</v>
      </c>
      <c r="I53" s="53" t="n">
        <v>430.7</v>
      </c>
      <c r="J53" s="54" t="n">
        <v>17.228</v>
      </c>
      <c r="K53" s="49" t="n">
        <v>25.842</v>
      </c>
      <c r="L53" s="49" t="n">
        <v>172.28</v>
      </c>
      <c r="M53" s="55" t="n">
        <v>258.42</v>
      </c>
      <c r="N53" s="56" t="n">
        <v>20</v>
      </c>
      <c r="O53" s="57" t="n">
        <v>37.228</v>
      </c>
      <c r="P53" s="44" t="n">
        <v>200</v>
      </c>
      <c r="Q53" s="58" t="n">
        <v>372.28</v>
      </c>
      <c r="R53" s="44"/>
      <c r="S53" s="59" t="n">
        <v>172.28</v>
      </c>
      <c r="T53" s="60" t="n">
        <v>258.42</v>
      </c>
    </row>
    <row r="54" customFormat="false" ht="12.75" hidden="false" customHeight="false" outlineLevel="0" collapsed="false">
      <c r="A54" s="47" t="n">
        <v>37024</v>
      </c>
      <c r="B54" s="12" t="n">
        <v>14</v>
      </c>
      <c r="C54" s="48" t="n">
        <v>10</v>
      </c>
      <c r="D54" s="49" t="n">
        <v>20</v>
      </c>
      <c r="E54" s="50" t="n">
        <v>4.5</v>
      </c>
      <c r="F54" s="50" t="n">
        <v>4.5</v>
      </c>
      <c r="G54" s="51" t="n">
        <v>63.07</v>
      </c>
      <c r="H54" s="52" t="n">
        <v>43.07</v>
      </c>
      <c r="I54" s="53" t="n">
        <v>430.7</v>
      </c>
      <c r="J54" s="54" t="n">
        <v>17.228</v>
      </c>
      <c r="K54" s="49" t="n">
        <v>25.842</v>
      </c>
      <c r="L54" s="49" t="n">
        <v>172.28</v>
      </c>
      <c r="M54" s="55" t="n">
        <v>258.42</v>
      </c>
      <c r="N54" s="56" t="n">
        <v>20</v>
      </c>
      <c r="O54" s="57" t="n">
        <v>37.228</v>
      </c>
      <c r="P54" s="44" t="n">
        <v>200</v>
      </c>
      <c r="Q54" s="58" t="n">
        <v>372.28</v>
      </c>
      <c r="R54" s="44"/>
      <c r="S54" s="59" t="n">
        <v>172.28</v>
      </c>
      <c r="T54" s="60" t="n">
        <v>258.42</v>
      </c>
    </row>
    <row r="55" customFormat="false" ht="12.75" hidden="false" customHeight="false" outlineLevel="0" collapsed="false">
      <c r="A55" s="47" t="n">
        <v>37024</v>
      </c>
      <c r="B55" s="12" t="n">
        <v>15</v>
      </c>
      <c r="C55" s="48" t="n">
        <v>10</v>
      </c>
      <c r="D55" s="49" t="n">
        <v>20</v>
      </c>
      <c r="E55" s="50" t="n">
        <v>4.5</v>
      </c>
      <c r="F55" s="50" t="n">
        <v>4.5</v>
      </c>
      <c r="G55" s="51" t="n">
        <v>63.07</v>
      </c>
      <c r="H55" s="52" t="n">
        <v>43.07</v>
      </c>
      <c r="I55" s="53" t="n">
        <v>430.7</v>
      </c>
      <c r="J55" s="54" t="n">
        <v>17.228</v>
      </c>
      <c r="K55" s="49" t="n">
        <v>25.842</v>
      </c>
      <c r="L55" s="49" t="n">
        <v>172.28</v>
      </c>
      <c r="M55" s="55" t="n">
        <v>258.42</v>
      </c>
      <c r="N55" s="56" t="n">
        <v>20</v>
      </c>
      <c r="O55" s="57"/>
      <c r="P55" s="44" t="n">
        <v>200</v>
      </c>
      <c r="Q55" s="58" t="n">
        <v>0</v>
      </c>
      <c r="R55" s="44"/>
      <c r="S55" s="59" t="n">
        <v>172.28</v>
      </c>
      <c r="T55" s="60" t="n">
        <v>258.42</v>
      </c>
    </row>
    <row r="56" customFormat="false" ht="12.75" hidden="false" customHeight="false" outlineLevel="0" collapsed="false">
      <c r="A56" s="47" t="n">
        <v>37024</v>
      </c>
      <c r="B56" s="12" t="n">
        <v>16</v>
      </c>
      <c r="C56" s="48" t="n">
        <v>10</v>
      </c>
      <c r="D56" s="49" t="n">
        <v>21</v>
      </c>
      <c r="E56" s="50" t="n">
        <v>4.5</v>
      </c>
      <c r="F56" s="50" t="n">
        <v>4.5</v>
      </c>
      <c r="G56" s="51" t="n">
        <v>63.07</v>
      </c>
      <c r="H56" s="52" t="n">
        <v>42.07</v>
      </c>
      <c r="I56" s="53" t="n">
        <v>420.7</v>
      </c>
      <c r="J56" s="54" t="n">
        <v>16.828</v>
      </c>
      <c r="K56" s="49" t="n">
        <v>25.242</v>
      </c>
      <c r="L56" s="49" t="n">
        <v>168.28</v>
      </c>
      <c r="M56" s="55" t="n">
        <v>252.42</v>
      </c>
      <c r="N56" s="56" t="n">
        <v>21</v>
      </c>
      <c r="O56" s="57"/>
      <c r="P56" s="44" t="n">
        <v>210</v>
      </c>
      <c r="Q56" s="58" t="n">
        <v>0</v>
      </c>
      <c r="R56" s="44"/>
      <c r="S56" s="59" t="n">
        <v>168.28</v>
      </c>
      <c r="T56" s="60" t="n">
        <v>252.42</v>
      </c>
    </row>
    <row r="57" customFormat="false" ht="12.75" hidden="false" customHeight="false" outlineLevel="0" collapsed="false">
      <c r="A57" s="47" t="n">
        <v>37024</v>
      </c>
      <c r="B57" s="12" t="n">
        <v>17</v>
      </c>
      <c r="C57" s="48" t="n">
        <v>10</v>
      </c>
      <c r="D57" s="49" t="n">
        <v>23</v>
      </c>
      <c r="E57" s="50" t="n">
        <v>4.5</v>
      </c>
      <c r="F57" s="50" t="n">
        <v>4.5</v>
      </c>
      <c r="G57" s="51" t="n">
        <v>63.07</v>
      </c>
      <c r="H57" s="52" t="n">
        <v>40.07</v>
      </c>
      <c r="I57" s="53" t="n">
        <v>400.7</v>
      </c>
      <c r="J57" s="54" t="n">
        <v>16.028</v>
      </c>
      <c r="K57" s="49" t="n">
        <v>24.042</v>
      </c>
      <c r="L57" s="49" t="n">
        <v>160.28</v>
      </c>
      <c r="M57" s="55" t="n">
        <v>240.42</v>
      </c>
      <c r="N57" s="56" t="n">
        <v>23</v>
      </c>
      <c r="O57" s="57"/>
      <c r="P57" s="44" t="n">
        <v>230</v>
      </c>
      <c r="Q57" s="58" t="n">
        <v>0</v>
      </c>
      <c r="R57" s="44"/>
      <c r="S57" s="59" t="n">
        <v>160.28</v>
      </c>
      <c r="T57" s="60" t="n">
        <v>240.42</v>
      </c>
    </row>
    <row r="58" customFormat="false" ht="12.75" hidden="false" customHeight="false" outlineLevel="0" collapsed="false">
      <c r="A58" s="47" t="n">
        <v>37024</v>
      </c>
      <c r="B58" s="12" t="n">
        <v>18</v>
      </c>
      <c r="C58" s="48" t="n">
        <v>10</v>
      </c>
      <c r="D58" s="49" t="n">
        <v>23</v>
      </c>
      <c r="E58" s="50" t="n">
        <v>4.5</v>
      </c>
      <c r="F58" s="50" t="n">
        <v>4.5</v>
      </c>
      <c r="G58" s="51" t="n">
        <v>63.07</v>
      </c>
      <c r="H58" s="52" t="n">
        <v>40.07</v>
      </c>
      <c r="I58" s="53" t="n">
        <v>400.7</v>
      </c>
      <c r="J58" s="54" t="n">
        <v>16.028</v>
      </c>
      <c r="K58" s="49" t="n">
        <v>24.042</v>
      </c>
      <c r="L58" s="49" t="n">
        <v>160.28</v>
      </c>
      <c r="M58" s="55" t="n">
        <v>240.42</v>
      </c>
      <c r="N58" s="56" t="n">
        <v>23</v>
      </c>
      <c r="O58" s="57" t="n">
        <v>39.028</v>
      </c>
      <c r="P58" s="44" t="n">
        <v>230</v>
      </c>
      <c r="Q58" s="58" t="n">
        <v>390.28</v>
      </c>
      <c r="R58" s="44"/>
      <c r="S58" s="59" t="n">
        <v>160.28</v>
      </c>
      <c r="T58" s="60" t="n">
        <v>240.42</v>
      </c>
    </row>
    <row r="59" customFormat="false" ht="12.75" hidden="false" customHeight="false" outlineLevel="0" collapsed="false">
      <c r="A59" s="47" t="n">
        <v>37024</v>
      </c>
      <c r="B59" s="12" t="n">
        <v>19</v>
      </c>
      <c r="C59" s="48" t="n">
        <v>15</v>
      </c>
      <c r="D59" s="49" t="n">
        <v>23</v>
      </c>
      <c r="E59" s="50" t="n">
        <v>4.5</v>
      </c>
      <c r="F59" s="50" t="n">
        <v>4.5</v>
      </c>
      <c r="G59" s="51" t="n">
        <v>63.07</v>
      </c>
      <c r="H59" s="52" t="n">
        <v>40.07</v>
      </c>
      <c r="I59" s="53" t="n">
        <v>601.05</v>
      </c>
      <c r="J59" s="54" t="n">
        <v>16.028</v>
      </c>
      <c r="K59" s="49" t="n">
        <v>24.042</v>
      </c>
      <c r="L59" s="49" t="n">
        <v>240.42</v>
      </c>
      <c r="M59" s="55" t="n">
        <v>360.63</v>
      </c>
      <c r="N59" s="56" t="n">
        <v>23</v>
      </c>
      <c r="O59" s="57" t="n">
        <v>39.028</v>
      </c>
      <c r="P59" s="44" t="n">
        <v>345</v>
      </c>
      <c r="Q59" s="58" t="n">
        <v>585.42</v>
      </c>
      <c r="R59" s="44"/>
      <c r="S59" s="59" t="n">
        <v>240.42</v>
      </c>
      <c r="T59" s="60" t="n">
        <v>360.63</v>
      </c>
    </row>
    <row r="60" customFormat="false" ht="12.75" hidden="false" customHeight="false" outlineLevel="0" collapsed="false">
      <c r="A60" s="47" t="n">
        <v>37024</v>
      </c>
      <c r="B60" s="12" t="n">
        <v>20</v>
      </c>
      <c r="C60" s="48" t="n">
        <v>13</v>
      </c>
      <c r="D60" s="49" t="n">
        <v>23</v>
      </c>
      <c r="E60" s="50" t="n">
        <v>4.5</v>
      </c>
      <c r="F60" s="50" t="n">
        <v>4.5</v>
      </c>
      <c r="G60" s="51" t="n">
        <v>63.07</v>
      </c>
      <c r="H60" s="52" t="n">
        <v>40.07</v>
      </c>
      <c r="I60" s="53" t="n">
        <v>520.91</v>
      </c>
      <c r="J60" s="54" t="n">
        <v>16.028</v>
      </c>
      <c r="K60" s="49" t="n">
        <v>24.042</v>
      </c>
      <c r="L60" s="49" t="n">
        <v>208.364</v>
      </c>
      <c r="M60" s="55" t="n">
        <v>312.546</v>
      </c>
      <c r="N60" s="56" t="n">
        <v>23</v>
      </c>
      <c r="O60" s="57" t="n">
        <v>39.028</v>
      </c>
      <c r="P60" s="44" t="n">
        <v>299</v>
      </c>
      <c r="Q60" s="58" t="n">
        <v>507.364</v>
      </c>
      <c r="R60" s="44"/>
      <c r="S60" s="59" t="n">
        <v>208.364</v>
      </c>
      <c r="T60" s="60" t="n">
        <v>312.546</v>
      </c>
    </row>
    <row r="61" customFormat="false" ht="12.75" hidden="false" customHeight="false" outlineLevel="0" collapsed="false">
      <c r="A61" s="47" t="n">
        <v>37024</v>
      </c>
      <c r="B61" s="12" t="n">
        <v>21</v>
      </c>
      <c r="C61" s="48" t="n">
        <v>11</v>
      </c>
      <c r="D61" s="49" t="n">
        <v>23</v>
      </c>
      <c r="E61" s="50" t="n">
        <v>4.5</v>
      </c>
      <c r="F61" s="50" t="n">
        <v>4.5</v>
      </c>
      <c r="G61" s="51" t="n">
        <v>63.07</v>
      </c>
      <c r="H61" s="52" t="n">
        <v>40.07</v>
      </c>
      <c r="I61" s="53" t="n">
        <v>440.77</v>
      </c>
      <c r="J61" s="54" t="n">
        <v>16.028</v>
      </c>
      <c r="K61" s="49" t="n">
        <v>24.042</v>
      </c>
      <c r="L61" s="49" t="n">
        <v>176.308</v>
      </c>
      <c r="M61" s="55" t="n">
        <v>264.462</v>
      </c>
      <c r="N61" s="56" t="n">
        <v>23</v>
      </c>
      <c r="O61" s="57" t="n">
        <v>39.028</v>
      </c>
      <c r="P61" s="44" t="n">
        <v>253</v>
      </c>
      <c r="Q61" s="58" t="n">
        <v>429.308</v>
      </c>
      <c r="R61" s="44"/>
      <c r="S61" s="59" t="n">
        <v>176.308</v>
      </c>
      <c r="T61" s="60" t="n">
        <v>264.462</v>
      </c>
    </row>
    <row r="62" customFormat="false" ht="12.75" hidden="false" customHeight="false" outlineLevel="0" collapsed="false">
      <c r="A62" s="47" t="n">
        <v>37024</v>
      </c>
      <c r="B62" s="12" t="n">
        <v>22</v>
      </c>
      <c r="C62" s="48" t="n">
        <v>9</v>
      </c>
      <c r="D62" s="49" t="n">
        <v>23</v>
      </c>
      <c r="E62" s="50" t="n">
        <v>4.5</v>
      </c>
      <c r="F62" s="50" t="n">
        <v>4.5</v>
      </c>
      <c r="G62" s="51" t="n">
        <v>63.07</v>
      </c>
      <c r="H62" s="52" t="n">
        <v>40.07</v>
      </c>
      <c r="I62" s="53" t="n">
        <v>360.63</v>
      </c>
      <c r="J62" s="54" t="n">
        <v>16.028</v>
      </c>
      <c r="K62" s="49" t="n">
        <v>24.042</v>
      </c>
      <c r="L62" s="49" t="n">
        <v>144.252</v>
      </c>
      <c r="M62" s="55" t="n">
        <v>216.378</v>
      </c>
      <c r="N62" s="56" t="n">
        <v>23</v>
      </c>
      <c r="O62" s="57" t="n">
        <v>39.028</v>
      </c>
      <c r="P62" s="44" t="n">
        <v>207</v>
      </c>
      <c r="Q62" s="58" t="n">
        <v>351.252</v>
      </c>
      <c r="R62" s="44"/>
      <c r="S62" s="59" t="n">
        <v>144.252</v>
      </c>
      <c r="T62" s="60" t="n">
        <v>216.378</v>
      </c>
    </row>
    <row r="63" customFormat="false" ht="12.75" hidden="false" customHeight="false" outlineLevel="0" collapsed="false">
      <c r="A63" s="47" t="n">
        <v>37024</v>
      </c>
      <c r="B63" s="12" t="n">
        <v>23</v>
      </c>
      <c r="C63" s="48" t="n">
        <v>6</v>
      </c>
      <c r="D63" s="49" t="n">
        <v>22</v>
      </c>
      <c r="E63" s="50" t="n">
        <v>4.5</v>
      </c>
      <c r="F63" s="50" t="n">
        <v>4.5</v>
      </c>
      <c r="G63" s="51" t="n">
        <v>63.07</v>
      </c>
      <c r="H63" s="52" t="n">
        <v>41.07</v>
      </c>
      <c r="I63" s="53" t="n">
        <v>246.42</v>
      </c>
      <c r="J63" s="54" t="n">
        <v>1</v>
      </c>
      <c r="K63" s="44" t="n">
        <v>40.07</v>
      </c>
      <c r="L63" s="44" t="n">
        <v>6</v>
      </c>
      <c r="M63" s="55" t="n">
        <v>240.42</v>
      </c>
      <c r="N63" s="56" t="n">
        <v>22</v>
      </c>
      <c r="O63" s="57" t="n">
        <v>23</v>
      </c>
      <c r="P63" s="44" t="n">
        <v>132</v>
      </c>
      <c r="Q63" s="58" t="n">
        <v>138</v>
      </c>
      <c r="R63" s="44"/>
      <c r="S63" s="59" t="n">
        <v>6</v>
      </c>
      <c r="T63" s="60" t="n">
        <v>240.42</v>
      </c>
    </row>
    <row r="64" customFormat="false" ht="12.75" hidden="false" customHeight="false" outlineLevel="0" collapsed="false">
      <c r="A64" s="61" t="n">
        <v>37024</v>
      </c>
      <c r="B64" s="62" t="n">
        <v>24</v>
      </c>
      <c r="C64" s="63" t="n">
        <v>25</v>
      </c>
      <c r="D64" s="64" t="n">
        <v>21</v>
      </c>
      <c r="E64" s="65" t="n">
        <v>4.5</v>
      </c>
      <c r="F64" s="65" t="n">
        <v>4.5</v>
      </c>
      <c r="G64" s="66" t="n">
        <v>63.07</v>
      </c>
      <c r="H64" s="67" t="n">
        <v>42.07</v>
      </c>
      <c r="I64" s="68" t="n">
        <v>1051.75</v>
      </c>
      <c r="J64" s="69" t="n">
        <v>1</v>
      </c>
      <c r="K64" s="70" t="n">
        <v>41.07</v>
      </c>
      <c r="L64" s="70" t="n">
        <v>25</v>
      </c>
      <c r="M64" s="71" t="n">
        <v>1026.75</v>
      </c>
      <c r="N64" s="72" t="n">
        <v>21</v>
      </c>
      <c r="O64" s="73" t="n">
        <v>22</v>
      </c>
      <c r="P64" s="70" t="n">
        <v>525</v>
      </c>
      <c r="Q64" s="74" t="n">
        <v>550</v>
      </c>
      <c r="R64" s="44"/>
      <c r="S64" s="75" t="n">
        <v>25</v>
      </c>
      <c r="T64" s="76" t="n">
        <v>1026.75</v>
      </c>
    </row>
    <row r="65" customFormat="false" ht="12.75" hidden="false" customHeight="false" outlineLevel="0" collapsed="false">
      <c r="D65" s="0"/>
      <c r="N65" s="0"/>
      <c r="P65" s="0"/>
      <c r="R65" s="0"/>
      <c r="T65" s="0"/>
    </row>
    <row r="66" customFormat="false" ht="12.75" hidden="false" customHeight="false" outlineLevel="0" collapsed="false">
      <c r="Q66" s="78" t="n">
        <v>9323.184</v>
      </c>
      <c r="R66" s="0"/>
      <c r="T66" s="0"/>
    </row>
    <row r="67" customFormat="false" ht="12.75" hidden="false" customHeight="false" outlineLevel="0" collapsed="false">
      <c r="D67" s="0"/>
      <c r="N67" s="0"/>
      <c r="P67" s="0"/>
      <c r="R67" s="0"/>
      <c r="T67" s="0"/>
    </row>
    <row r="68" customFormat="false" ht="12.75" hidden="true" customHeight="true" outlineLevel="0" collapsed="false">
      <c r="B68" s="0" t="s">
        <v>33</v>
      </c>
      <c r="C68" s="0" t="n">
        <v>289</v>
      </c>
      <c r="R68" s="0"/>
      <c r="T68" s="0"/>
    </row>
  </sheetData>
  <mergeCells count="18">
    <mergeCell ref="A1:C1"/>
    <mergeCell ref="A2:B2"/>
    <mergeCell ref="E3:G3"/>
    <mergeCell ref="H3:I3"/>
    <mergeCell ref="J3:M3"/>
    <mergeCell ref="N3:Q3"/>
    <mergeCell ref="S3:T3"/>
    <mergeCell ref="B4:D4"/>
    <mergeCell ref="N4:O4"/>
    <mergeCell ref="P4:Q4"/>
    <mergeCell ref="E37:G37"/>
    <mergeCell ref="H37:I37"/>
    <mergeCell ref="J37:M37"/>
    <mergeCell ref="N37:Q37"/>
    <mergeCell ref="S37:T37"/>
    <mergeCell ref="B38:D38"/>
    <mergeCell ref="N38:O38"/>
    <mergeCell ref="P38:Q38"/>
  </mergeCells>
  <conditionalFormatting sqref="K5:K12 H3:H5 E3:G6 I3:I30 J3:J12 L5:M30 J29:K30 K4:N4 A1:C2 D31:G36 I31:M36 N5:N36 P65:IV65536 P4:T36 U1:IV64 K39:K46 H8:H39 A39:D64 E37:G40 I37:I64 J37:J46 J63:K64 K38:N38 D5:D30 L39:N64 A5:C36 H42:H64 A65:N65536 D1:D3 D37 P38:T64">
    <cfRule type="cellIs" priority="2" operator="equal" aboveAverage="0" equalAverage="0" bottom="0" percent="0" rank="0" text="" dxfId="1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9.9921875" defaultRowHeight="12.75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3" min="3" style="0" width="13.14"/>
    <col collapsed="false" customWidth="true" hidden="false" outlineLevel="0" max="4" min="4" style="1" width="23.99"/>
    <col collapsed="false" customWidth="true" hidden="false" outlineLevel="0" max="7" min="5" style="0" width="14.41"/>
    <col collapsed="false" customWidth="true" hidden="false" outlineLevel="0" max="8" min="8" style="0" width="28.99"/>
    <col collapsed="false" customWidth="true" hidden="false" outlineLevel="0" max="9" min="9" style="0" width="26.56"/>
    <col collapsed="false" customWidth="true" hidden="false" outlineLevel="0" max="10" min="10" style="0" width="17.14"/>
    <col collapsed="false" customWidth="true" hidden="false" outlineLevel="0" max="11" min="11" style="0" width="14.28"/>
    <col collapsed="false" customWidth="true" hidden="false" outlineLevel="0" max="13" min="12" style="0" width="26.56"/>
    <col collapsed="false" customWidth="true" hidden="false" outlineLevel="0" max="14" min="14" style="2" width="15.28"/>
    <col collapsed="false" customWidth="true" hidden="false" outlineLevel="0" max="15" min="15" style="0" width="15.28"/>
    <col collapsed="false" customWidth="true" hidden="false" outlineLevel="0" max="16" min="16" style="2" width="15.28"/>
    <col collapsed="false" customWidth="true" hidden="false" outlineLevel="0" max="17" min="17" style="0" width="17.56"/>
    <col collapsed="false" customWidth="true" hidden="false" outlineLevel="0" max="18" min="18" style="2" width="2.56"/>
    <col collapsed="false" customWidth="true" hidden="false" outlineLevel="0" max="19" min="19" style="0" width="12.42"/>
    <col collapsed="false" customWidth="true" hidden="false" outlineLevel="0" max="20" min="20" style="1" width="14.56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3" t="s">
        <v>1</v>
      </c>
      <c r="B2" s="3"/>
      <c r="C2" s="83" t="n">
        <v>37025</v>
      </c>
      <c r="D2" s="5"/>
    </row>
    <row r="3" customFormat="false" ht="12.75" hidden="false" customHeight="false" outlineLevel="0" collapsed="false">
      <c r="A3" s="6"/>
      <c r="B3" s="6"/>
      <c r="C3" s="84" t="n">
        <v>37025</v>
      </c>
      <c r="D3" s="7"/>
      <c r="E3" s="8" t="s">
        <v>2</v>
      </c>
      <c r="F3" s="8"/>
      <c r="G3" s="8"/>
      <c r="H3" s="9" t="s">
        <v>3</v>
      </c>
      <c r="I3" s="9"/>
      <c r="J3" s="9" t="s">
        <v>4</v>
      </c>
      <c r="K3" s="9"/>
      <c r="L3" s="9"/>
      <c r="M3" s="9"/>
      <c r="N3" s="10" t="s">
        <v>5</v>
      </c>
      <c r="O3" s="10"/>
      <c r="P3" s="10"/>
      <c r="Q3" s="10"/>
      <c r="R3" s="11"/>
      <c r="S3" s="10" t="s">
        <v>6</v>
      </c>
      <c r="T3" s="10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B4" s="85" t="s">
        <v>34</v>
      </c>
      <c r="C4" s="85"/>
      <c r="D4" s="85"/>
      <c r="E4" s="13"/>
      <c r="F4" s="14"/>
      <c r="G4" s="15"/>
      <c r="H4" s="16" t="s">
        <v>7</v>
      </c>
      <c r="I4" s="17" t="s">
        <v>7</v>
      </c>
      <c r="J4" s="16" t="s">
        <v>8</v>
      </c>
      <c r="K4" s="18" t="s">
        <v>9</v>
      </c>
      <c r="L4" s="18" t="s">
        <v>8</v>
      </c>
      <c r="M4" s="17" t="s">
        <v>9</v>
      </c>
      <c r="N4" s="19" t="s">
        <v>10</v>
      </c>
      <c r="O4" s="19"/>
      <c r="P4" s="19" t="s">
        <v>11</v>
      </c>
      <c r="Q4" s="19"/>
      <c r="R4" s="11"/>
      <c r="S4" s="20"/>
      <c r="T4" s="21"/>
    </row>
    <row r="5" customFormat="false" ht="12.75" hidden="false" customHeight="false" outlineLevel="0" collapsed="false">
      <c r="E5" s="16" t="s">
        <v>12</v>
      </c>
      <c r="F5" s="18" t="s">
        <v>12</v>
      </c>
      <c r="G5" s="17" t="s">
        <v>13</v>
      </c>
      <c r="H5" s="16" t="s">
        <v>14</v>
      </c>
      <c r="I5" s="17" t="s">
        <v>14</v>
      </c>
      <c r="J5" s="22" t="s">
        <v>15</v>
      </c>
      <c r="K5" s="18" t="s">
        <v>16</v>
      </c>
      <c r="L5" s="18" t="s">
        <v>17</v>
      </c>
      <c r="M5" s="17" t="s">
        <v>18</v>
      </c>
      <c r="N5" s="23"/>
      <c r="O5" s="15"/>
      <c r="P5" s="22"/>
      <c r="Q5" s="24" t="s">
        <v>19</v>
      </c>
      <c r="R5" s="11"/>
      <c r="S5" s="16" t="s">
        <v>20</v>
      </c>
      <c r="T5" s="25" t="s">
        <v>21</v>
      </c>
    </row>
    <row r="6" customFormat="false" ht="12.75" hidden="false" customHeight="false" outlineLevel="0" collapsed="false">
      <c r="A6" s="26" t="s">
        <v>22</v>
      </c>
      <c r="B6" s="27" t="s">
        <v>23</v>
      </c>
      <c r="C6" s="27" t="s">
        <v>24</v>
      </c>
      <c r="D6" s="28" t="s">
        <v>25</v>
      </c>
      <c r="E6" s="22" t="s">
        <v>26</v>
      </c>
      <c r="F6" s="5" t="s">
        <v>27</v>
      </c>
      <c r="G6" s="25" t="s">
        <v>28</v>
      </c>
      <c r="H6" s="22" t="s">
        <v>29</v>
      </c>
      <c r="I6" s="25" t="s">
        <v>30</v>
      </c>
      <c r="J6" s="22" t="s">
        <v>10</v>
      </c>
      <c r="K6" s="5" t="s">
        <v>10</v>
      </c>
      <c r="L6" s="5" t="s">
        <v>30</v>
      </c>
      <c r="M6" s="25" t="s">
        <v>30</v>
      </c>
      <c r="N6" s="22" t="s">
        <v>20</v>
      </c>
      <c r="O6" s="25" t="s">
        <v>21</v>
      </c>
      <c r="P6" s="22" t="s">
        <v>20</v>
      </c>
      <c r="Q6" s="29" t="s">
        <v>21</v>
      </c>
      <c r="R6" s="5"/>
      <c r="S6" s="22" t="s">
        <v>31</v>
      </c>
      <c r="T6" s="25" t="s">
        <v>32</v>
      </c>
      <c r="U6" s="30"/>
      <c r="V6" s="30"/>
    </row>
    <row r="7" customFormat="false" ht="12.75" hidden="false" customHeight="false" outlineLevel="0" collapsed="false">
      <c r="A7" s="31" t="n">
        <v>37025</v>
      </c>
      <c r="B7" s="32" t="n">
        <v>1</v>
      </c>
      <c r="C7" s="33" t="n">
        <v>0</v>
      </c>
      <c r="D7" s="46" t="n">
        <v>0</v>
      </c>
      <c r="E7" s="35" t="n">
        <v>4.55</v>
      </c>
      <c r="F7" s="35" t="n">
        <v>4.55</v>
      </c>
      <c r="G7" s="36" t="n">
        <v>65.32</v>
      </c>
      <c r="H7" s="37"/>
      <c r="I7" s="38"/>
      <c r="J7" s="39"/>
      <c r="K7" s="40"/>
      <c r="L7" s="40"/>
      <c r="M7" s="21"/>
      <c r="N7" s="41"/>
      <c r="O7" s="42"/>
      <c r="P7" s="40"/>
      <c r="Q7" s="43"/>
      <c r="R7" s="44"/>
      <c r="S7" s="45"/>
      <c r="T7" s="46"/>
    </row>
    <row r="8" customFormat="false" ht="12.75" hidden="false" customHeight="false" outlineLevel="0" collapsed="false">
      <c r="A8" s="47" t="n">
        <v>37025</v>
      </c>
      <c r="B8" s="12" t="n">
        <v>2</v>
      </c>
      <c r="C8" s="48" t="n">
        <v>0</v>
      </c>
      <c r="D8" s="60" t="n">
        <v>0</v>
      </c>
      <c r="E8" s="50" t="n">
        <v>4.55</v>
      </c>
      <c r="F8" s="50" t="n">
        <v>4.55</v>
      </c>
      <c r="G8" s="51" t="n">
        <v>65.32</v>
      </c>
      <c r="H8" s="52"/>
      <c r="I8" s="53"/>
      <c r="J8" s="54"/>
      <c r="K8" s="44"/>
      <c r="L8" s="44"/>
      <c r="M8" s="55"/>
      <c r="N8" s="56"/>
      <c r="O8" s="57"/>
      <c r="P8" s="44"/>
      <c r="Q8" s="58"/>
      <c r="R8" s="44"/>
      <c r="S8" s="59"/>
      <c r="T8" s="60"/>
    </row>
    <row r="9" customFormat="false" ht="12.75" hidden="false" customHeight="false" outlineLevel="0" collapsed="false">
      <c r="A9" s="47" t="n">
        <v>37025</v>
      </c>
      <c r="B9" s="12" t="n">
        <v>3</v>
      </c>
      <c r="C9" s="48" t="n">
        <v>0</v>
      </c>
      <c r="D9" s="60" t="n">
        <v>0</v>
      </c>
      <c r="E9" s="50" t="n">
        <v>4.55</v>
      </c>
      <c r="F9" s="50" t="n">
        <v>4.55</v>
      </c>
      <c r="G9" s="51" t="n">
        <v>65.32</v>
      </c>
      <c r="H9" s="52"/>
      <c r="I9" s="53"/>
      <c r="J9" s="54"/>
      <c r="K9" s="44"/>
      <c r="L9" s="44"/>
      <c r="M9" s="55"/>
      <c r="N9" s="56"/>
      <c r="O9" s="57"/>
      <c r="P9" s="44"/>
      <c r="Q9" s="58"/>
      <c r="R9" s="44"/>
      <c r="S9" s="59"/>
      <c r="T9" s="60"/>
    </row>
    <row r="10" customFormat="false" ht="12.75" hidden="false" customHeight="false" outlineLevel="0" collapsed="false">
      <c r="A10" s="47" t="n">
        <v>37025</v>
      </c>
      <c r="B10" s="12" t="n">
        <v>4</v>
      </c>
      <c r="C10" s="48" t="n">
        <v>0</v>
      </c>
      <c r="D10" s="60" t="n">
        <v>0</v>
      </c>
      <c r="E10" s="50" t="n">
        <v>4.55</v>
      </c>
      <c r="F10" s="50" t="n">
        <v>4.55</v>
      </c>
      <c r="G10" s="51" t="n">
        <v>65.32</v>
      </c>
      <c r="H10" s="52"/>
      <c r="I10" s="53"/>
      <c r="J10" s="54"/>
      <c r="K10" s="44"/>
      <c r="L10" s="44"/>
      <c r="M10" s="55"/>
      <c r="N10" s="56"/>
      <c r="O10" s="57"/>
      <c r="P10" s="44"/>
      <c r="Q10" s="58"/>
      <c r="R10" s="44"/>
      <c r="S10" s="59"/>
      <c r="T10" s="60"/>
    </row>
    <row r="11" customFormat="false" ht="12.75" hidden="false" customHeight="false" outlineLevel="0" collapsed="false">
      <c r="A11" s="47" t="n">
        <v>37025</v>
      </c>
      <c r="B11" s="12" t="n">
        <v>5</v>
      </c>
      <c r="C11" s="48" t="n">
        <v>0</v>
      </c>
      <c r="D11" s="60" t="n">
        <v>0</v>
      </c>
      <c r="E11" s="50" t="n">
        <v>4.55</v>
      </c>
      <c r="F11" s="50" t="n">
        <v>4.55</v>
      </c>
      <c r="G11" s="51" t="n">
        <v>65.32</v>
      </c>
      <c r="H11" s="52"/>
      <c r="I11" s="53"/>
      <c r="J11" s="54"/>
      <c r="K11" s="44"/>
      <c r="L11" s="44"/>
      <c r="M11" s="55"/>
      <c r="N11" s="56"/>
      <c r="O11" s="57"/>
      <c r="P11" s="44"/>
      <c r="Q11" s="58"/>
      <c r="R11" s="44"/>
      <c r="S11" s="59"/>
      <c r="T11" s="60"/>
    </row>
    <row r="12" customFormat="false" ht="12.75" hidden="false" customHeight="false" outlineLevel="0" collapsed="false">
      <c r="A12" s="47" t="n">
        <v>37025</v>
      </c>
      <c r="B12" s="12" t="n">
        <v>6</v>
      </c>
      <c r="C12" s="48" t="n">
        <v>0</v>
      </c>
      <c r="D12" s="60" t="n">
        <v>0</v>
      </c>
      <c r="E12" s="50" t="n">
        <v>4.55</v>
      </c>
      <c r="F12" s="50" t="n">
        <v>4.55</v>
      </c>
      <c r="G12" s="51" t="n">
        <v>65.32</v>
      </c>
      <c r="H12" s="52"/>
      <c r="I12" s="53"/>
      <c r="J12" s="54"/>
      <c r="K12" s="44"/>
      <c r="L12" s="44"/>
      <c r="M12" s="55"/>
      <c r="N12" s="56"/>
      <c r="O12" s="57"/>
      <c r="P12" s="44"/>
      <c r="Q12" s="58"/>
      <c r="R12" s="44"/>
      <c r="S12" s="59"/>
      <c r="T12" s="60"/>
    </row>
    <row r="13" customFormat="false" ht="12.75" hidden="false" customHeight="false" outlineLevel="0" collapsed="false">
      <c r="A13" s="47" t="n">
        <v>37025</v>
      </c>
      <c r="B13" s="12" t="n">
        <v>7</v>
      </c>
      <c r="C13" s="48" t="n">
        <v>20</v>
      </c>
      <c r="D13" s="60" t="n">
        <v>44.5</v>
      </c>
      <c r="E13" s="50" t="n">
        <v>4.55</v>
      </c>
      <c r="F13" s="50" t="n">
        <v>4.55</v>
      </c>
      <c r="G13" s="51" t="n">
        <v>65.32</v>
      </c>
      <c r="H13" s="52" t="n">
        <v>20.82</v>
      </c>
      <c r="I13" s="53" t="n">
        <v>416.4</v>
      </c>
      <c r="J13" s="54" t="n">
        <v>8.328</v>
      </c>
      <c r="K13" s="49" t="n">
        <v>12.492</v>
      </c>
      <c r="L13" s="49" t="n">
        <v>166.56</v>
      </c>
      <c r="M13" s="55" t="n">
        <v>249.84</v>
      </c>
      <c r="N13" s="56" t="n">
        <v>44.5</v>
      </c>
      <c r="O13" s="57" t="n">
        <v>52.828</v>
      </c>
      <c r="P13" s="44" t="n">
        <v>890</v>
      </c>
      <c r="Q13" s="58" t="n">
        <v>1056.56</v>
      </c>
      <c r="R13" s="44"/>
      <c r="S13" s="59" t="n">
        <v>166.56</v>
      </c>
      <c r="T13" s="60" t="n">
        <v>249.84</v>
      </c>
    </row>
    <row r="14" customFormat="false" ht="12.75" hidden="false" customHeight="false" outlineLevel="0" collapsed="false">
      <c r="A14" s="47" t="n">
        <v>37025</v>
      </c>
      <c r="B14" s="12" t="n">
        <v>8</v>
      </c>
      <c r="C14" s="48" t="n">
        <v>30</v>
      </c>
      <c r="D14" s="60" t="n">
        <v>44.5</v>
      </c>
      <c r="E14" s="50" t="n">
        <v>4.55</v>
      </c>
      <c r="F14" s="50" t="n">
        <v>4.55</v>
      </c>
      <c r="G14" s="51" t="n">
        <v>65.32</v>
      </c>
      <c r="H14" s="52" t="n">
        <v>20.82</v>
      </c>
      <c r="I14" s="53" t="n">
        <v>624.6</v>
      </c>
      <c r="J14" s="54" t="n">
        <v>8.328</v>
      </c>
      <c r="K14" s="49" t="n">
        <v>12.492</v>
      </c>
      <c r="L14" s="49" t="n">
        <v>249.84</v>
      </c>
      <c r="M14" s="55" t="n">
        <v>374.76</v>
      </c>
      <c r="N14" s="56" t="n">
        <v>44.5</v>
      </c>
      <c r="O14" s="57" t="n">
        <v>52.828</v>
      </c>
      <c r="P14" s="44" t="n">
        <v>1335</v>
      </c>
      <c r="Q14" s="58" t="n">
        <v>1584.84</v>
      </c>
      <c r="R14" s="44"/>
      <c r="S14" s="59" t="n">
        <v>249.84</v>
      </c>
      <c r="T14" s="60" t="n">
        <v>374.76</v>
      </c>
    </row>
    <row r="15" customFormat="false" ht="12.75" hidden="false" customHeight="false" outlineLevel="0" collapsed="false">
      <c r="A15" s="47" t="n">
        <v>37025</v>
      </c>
      <c r="B15" s="12" t="n">
        <v>9</v>
      </c>
      <c r="C15" s="48" t="n">
        <v>30</v>
      </c>
      <c r="D15" s="60" t="n">
        <v>44.5</v>
      </c>
      <c r="E15" s="50" t="n">
        <v>4.55</v>
      </c>
      <c r="F15" s="50" t="n">
        <v>4.55</v>
      </c>
      <c r="G15" s="51" t="n">
        <v>65.32</v>
      </c>
      <c r="H15" s="52" t="n">
        <v>20.82</v>
      </c>
      <c r="I15" s="53" t="n">
        <v>624.6</v>
      </c>
      <c r="J15" s="54" t="n">
        <v>8.328</v>
      </c>
      <c r="K15" s="49" t="n">
        <v>12.492</v>
      </c>
      <c r="L15" s="49" t="n">
        <v>249.84</v>
      </c>
      <c r="M15" s="55" t="n">
        <v>374.76</v>
      </c>
      <c r="N15" s="56" t="n">
        <v>44.5</v>
      </c>
      <c r="O15" s="57" t="n">
        <v>52.828</v>
      </c>
      <c r="P15" s="44" t="n">
        <v>1335</v>
      </c>
      <c r="Q15" s="58" t="n">
        <v>1584.84</v>
      </c>
      <c r="R15" s="44"/>
      <c r="S15" s="59" t="n">
        <v>249.84</v>
      </c>
      <c r="T15" s="60" t="n">
        <v>374.76</v>
      </c>
    </row>
    <row r="16" customFormat="false" ht="12.75" hidden="false" customHeight="false" outlineLevel="0" collapsed="false">
      <c r="A16" s="47" t="n">
        <v>37025</v>
      </c>
      <c r="B16" s="12" t="n">
        <v>10</v>
      </c>
      <c r="C16" s="48" t="n">
        <v>30</v>
      </c>
      <c r="D16" s="60" t="n">
        <v>44.5</v>
      </c>
      <c r="E16" s="50" t="n">
        <v>4.55</v>
      </c>
      <c r="F16" s="50" t="n">
        <v>4.55</v>
      </c>
      <c r="G16" s="51" t="n">
        <v>65.32</v>
      </c>
      <c r="H16" s="52" t="n">
        <v>20.82</v>
      </c>
      <c r="I16" s="53" t="n">
        <v>624.6</v>
      </c>
      <c r="J16" s="54" t="n">
        <v>8.328</v>
      </c>
      <c r="K16" s="49" t="n">
        <v>12.492</v>
      </c>
      <c r="L16" s="49" t="n">
        <v>249.84</v>
      </c>
      <c r="M16" s="55" t="n">
        <v>374.76</v>
      </c>
      <c r="N16" s="56" t="n">
        <v>44.5</v>
      </c>
      <c r="O16" s="57" t="n">
        <v>52.828</v>
      </c>
      <c r="P16" s="44" t="n">
        <v>1335</v>
      </c>
      <c r="Q16" s="58" t="n">
        <v>1584.84</v>
      </c>
      <c r="R16" s="44"/>
      <c r="S16" s="59" t="n">
        <v>249.84</v>
      </c>
      <c r="T16" s="60" t="n">
        <v>374.76</v>
      </c>
    </row>
    <row r="17" customFormat="false" ht="12.75" hidden="false" customHeight="false" outlineLevel="0" collapsed="false">
      <c r="A17" s="47" t="n">
        <v>37025</v>
      </c>
      <c r="B17" s="12" t="n">
        <v>11</v>
      </c>
      <c r="C17" s="48" t="n">
        <v>30</v>
      </c>
      <c r="D17" s="60" t="n">
        <v>44.5</v>
      </c>
      <c r="E17" s="50" t="n">
        <v>4.55</v>
      </c>
      <c r="F17" s="50" t="n">
        <v>4.55</v>
      </c>
      <c r="G17" s="51" t="n">
        <v>65.32</v>
      </c>
      <c r="H17" s="52" t="n">
        <v>20.82</v>
      </c>
      <c r="I17" s="53" t="n">
        <v>624.6</v>
      </c>
      <c r="J17" s="54" t="n">
        <v>8.328</v>
      </c>
      <c r="K17" s="49" t="n">
        <v>12.492</v>
      </c>
      <c r="L17" s="49" t="n">
        <v>249.84</v>
      </c>
      <c r="M17" s="55" t="n">
        <v>374.76</v>
      </c>
      <c r="N17" s="56" t="n">
        <v>44.5</v>
      </c>
      <c r="O17" s="57" t="n">
        <v>52.828</v>
      </c>
      <c r="P17" s="44" t="n">
        <v>1335</v>
      </c>
      <c r="Q17" s="58" t="n">
        <v>1584.84</v>
      </c>
      <c r="R17" s="44"/>
      <c r="S17" s="59" t="n">
        <v>249.84</v>
      </c>
      <c r="T17" s="60" t="n">
        <v>374.76</v>
      </c>
    </row>
    <row r="18" customFormat="false" ht="12.75" hidden="false" customHeight="false" outlineLevel="0" collapsed="false">
      <c r="A18" s="47" t="n">
        <v>37025</v>
      </c>
      <c r="B18" s="12" t="n">
        <v>12</v>
      </c>
      <c r="C18" s="48" t="n">
        <v>30</v>
      </c>
      <c r="D18" s="60" t="n">
        <v>44.5</v>
      </c>
      <c r="E18" s="50" t="n">
        <v>4.55</v>
      </c>
      <c r="F18" s="50" t="n">
        <v>4.55</v>
      </c>
      <c r="G18" s="51" t="n">
        <v>65.32</v>
      </c>
      <c r="H18" s="52" t="n">
        <v>20.82</v>
      </c>
      <c r="I18" s="53" t="n">
        <v>624.6</v>
      </c>
      <c r="J18" s="54" t="n">
        <v>8.328</v>
      </c>
      <c r="K18" s="49" t="n">
        <v>12.492</v>
      </c>
      <c r="L18" s="49" t="n">
        <v>249.84</v>
      </c>
      <c r="M18" s="55" t="n">
        <v>374.76</v>
      </c>
      <c r="N18" s="56" t="n">
        <v>44.5</v>
      </c>
      <c r="O18" s="57" t="n">
        <v>52.828</v>
      </c>
      <c r="P18" s="44" t="n">
        <v>1335</v>
      </c>
      <c r="Q18" s="58" t="n">
        <v>1584.84</v>
      </c>
      <c r="R18" s="44"/>
      <c r="S18" s="59" t="n">
        <v>249.84</v>
      </c>
      <c r="T18" s="60" t="n">
        <v>374.76</v>
      </c>
    </row>
    <row r="19" customFormat="false" ht="12.75" hidden="false" customHeight="false" outlineLevel="0" collapsed="false">
      <c r="A19" s="47" t="n">
        <v>37025</v>
      </c>
      <c r="B19" s="12" t="n">
        <v>13</v>
      </c>
      <c r="C19" s="48" t="n">
        <v>30</v>
      </c>
      <c r="D19" s="60" t="n">
        <v>44.5</v>
      </c>
      <c r="E19" s="50" t="n">
        <v>4.55</v>
      </c>
      <c r="F19" s="50" t="n">
        <v>4.55</v>
      </c>
      <c r="G19" s="51" t="n">
        <v>65.32</v>
      </c>
      <c r="H19" s="52" t="n">
        <v>20.82</v>
      </c>
      <c r="I19" s="53" t="n">
        <v>624.6</v>
      </c>
      <c r="J19" s="54" t="n">
        <v>8.328</v>
      </c>
      <c r="K19" s="49" t="n">
        <v>12.492</v>
      </c>
      <c r="L19" s="49" t="n">
        <v>249.84</v>
      </c>
      <c r="M19" s="55" t="n">
        <v>374.76</v>
      </c>
      <c r="N19" s="56" t="n">
        <v>44.5</v>
      </c>
      <c r="O19" s="57" t="n">
        <v>52.828</v>
      </c>
      <c r="P19" s="44" t="n">
        <v>1335</v>
      </c>
      <c r="Q19" s="58" t="n">
        <v>1584.84</v>
      </c>
      <c r="R19" s="44"/>
      <c r="S19" s="59" t="n">
        <v>249.84</v>
      </c>
      <c r="T19" s="60" t="n">
        <v>374.76</v>
      </c>
    </row>
    <row r="20" customFormat="false" ht="12.75" hidden="false" customHeight="false" outlineLevel="0" collapsed="false">
      <c r="A20" s="47" t="n">
        <v>37025</v>
      </c>
      <c r="B20" s="12" t="n">
        <v>14</v>
      </c>
      <c r="C20" s="48" t="n">
        <v>30</v>
      </c>
      <c r="D20" s="60" t="n">
        <v>44.5</v>
      </c>
      <c r="E20" s="50" t="n">
        <v>4.55</v>
      </c>
      <c r="F20" s="50" t="n">
        <v>4.55</v>
      </c>
      <c r="G20" s="51" t="n">
        <v>65.32</v>
      </c>
      <c r="H20" s="52" t="n">
        <v>20.82</v>
      </c>
      <c r="I20" s="53" t="n">
        <v>624.6</v>
      </c>
      <c r="J20" s="54" t="n">
        <v>8.328</v>
      </c>
      <c r="K20" s="49" t="n">
        <v>12.492</v>
      </c>
      <c r="L20" s="49" t="n">
        <v>249.84</v>
      </c>
      <c r="M20" s="55" t="n">
        <v>374.76</v>
      </c>
      <c r="N20" s="56" t="n">
        <v>44.5</v>
      </c>
      <c r="O20" s="57" t="n">
        <v>52.828</v>
      </c>
      <c r="P20" s="44" t="n">
        <v>1335</v>
      </c>
      <c r="Q20" s="58" t="n">
        <v>1584.84</v>
      </c>
      <c r="R20" s="44"/>
      <c r="S20" s="59" t="n">
        <v>249.84</v>
      </c>
      <c r="T20" s="60" t="n">
        <v>374.76</v>
      </c>
    </row>
    <row r="21" customFormat="false" ht="12.75" hidden="false" customHeight="false" outlineLevel="0" collapsed="false">
      <c r="A21" s="47" t="n">
        <v>37025</v>
      </c>
      <c r="B21" s="12" t="n">
        <v>15</v>
      </c>
      <c r="C21" s="48" t="n">
        <v>30</v>
      </c>
      <c r="D21" s="60" t="n">
        <v>44.5</v>
      </c>
      <c r="E21" s="50" t="n">
        <v>4.55</v>
      </c>
      <c r="F21" s="50" t="n">
        <v>4.55</v>
      </c>
      <c r="G21" s="51" t="n">
        <v>65.32</v>
      </c>
      <c r="H21" s="52" t="n">
        <v>20.82</v>
      </c>
      <c r="I21" s="53" t="n">
        <v>624.6</v>
      </c>
      <c r="J21" s="54" t="n">
        <v>8.328</v>
      </c>
      <c r="K21" s="49" t="n">
        <v>12.492</v>
      </c>
      <c r="L21" s="49" t="n">
        <v>249.84</v>
      </c>
      <c r="M21" s="55" t="n">
        <v>374.76</v>
      </c>
      <c r="N21" s="56" t="n">
        <v>44.5</v>
      </c>
      <c r="O21" s="57" t="n">
        <v>52.828</v>
      </c>
      <c r="P21" s="44" t="n">
        <v>1335</v>
      </c>
      <c r="Q21" s="58" t="n">
        <v>1584.84</v>
      </c>
      <c r="R21" s="44"/>
      <c r="S21" s="59" t="n">
        <v>249.84</v>
      </c>
      <c r="T21" s="60" t="n">
        <v>374.76</v>
      </c>
    </row>
    <row r="22" customFormat="false" ht="12.75" hidden="false" customHeight="false" outlineLevel="0" collapsed="false">
      <c r="A22" s="47" t="n">
        <v>37025</v>
      </c>
      <c r="B22" s="12" t="n">
        <v>16</v>
      </c>
      <c r="C22" s="48" t="n">
        <v>30</v>
      </c>
      <c r="D22" s="60" t="n">
        <v>44.5</v>
      </c>
      <c r="E22" s="50" t="n">
        <v>4.55</v>
      </c>
      <c r="F22" s="50" t="n">
        <v>4.55</v>
      </c>
      <c r="G22" s="51" t="n">
        <v>65.32</v>
      </c>
      <c r="H22" s="52" t="n">
        <v>20.82</v>
      </c>
      <c r="I22" s="53" t="n">
        <v>624.6</v>
      </c>
      <c r="J22" s="54" t="n">
        <v>8.328</v>
      </c>
      <c r="K22" s="49" t="n">
        <v>12.492</v>
      </c>
      <c r="L22" s="49" t="n">
        <v>249.84</v>
      </c>
      <c r="M22" s="55" t="n">
        <v>374.76</v>
      </c>
      <c r="N22" s="56" t="n">
        <v>44.5</v>
      </c>
      <c r="O22" s="57" t="n">
        <v>52.828</v>
      </c>
      <c r="P22" s="44" t="n">
        <v>1335</v>
      </c>
      <c r="Q22" s="58" t="n">
        <v>1584.84</v>
      </c>
      <c r="R22" s="44"/>
      <c r="S22" s="59" t="n">
        <v>249.84</v>
      </c>
      <c r="T22" s="60" t="n">
        <v>374.76</v>
      </c>
    </row>
    <row r="23" customFormat="false" ht="12.75" hidden="false" customHeight="false" outlineLevel="0" collapsed="false">
      <c r="A23" s="47" t="n">
        <v>37025</v>
      </c>
      <c r="B23" s="12" t="n">
        <v>17</v>
      </c>
      <c r="C23" s="48" t="n">
        <v>30</v>
      </c>
      <c r="D23" s="60" t="n">
        <v>44.5</v>
      </c>
      <c r="E23" s="50" t="n">
        <v>4.55</v>
      </c>
      <c r="F23" s="50" t="n">
        <v>4.55</v>
      </c>
      <c r="G23" s="51" t="n">
        <v>65.32</v>
      </c>
      <c r="H23" s="52" t="n">
        <v>20.82</v>
      </c>
      <c r="I23" s="53" t="n">
        <v>624.6</v>
      </c>
      <c r="J23" s="54" t="n">
        <v>8.328</v>
      </c>
      <c r="K23" s="49" t="n">
        <v>12.492</v>
      </c>
      <c r="L23" s="49" t="n">
        <v>249.84</v>
      </c>
      <c r="M23" s="55" t="n">
        <v>374.76</v>
      </c>
      <c r="N23" s="56" t="n">
        <v>44.5</v>
      </c>
      <c r="O23" s="57" t="n">
        <v>52.828</v>
      </c>
      <c r="P23" s="44" t="n">
        <v>1335</v>
      </c>
      <c r="Q23" s="58" t="n">
        <v>1584.84</v>
      </c>
      <c r="R23" s="44"/>
      <c r="S23" s="59" t="n">
        <v>249.84</v>
      </c>
      <c r="T23" s="60" t="n">
        <v>374.76</v>
      </c>
    </row>
    <row r="24" customFormat="false" ht="12.75" hidden="false" customHeight="false" outlineLevel="0" collapsed="false">
      <c r="A24" s="47" t="n">
        <v>37025</v>
      </c>
      <c r="B24" s="12" t="n">
        <v>18</v>
      </c>
      <c r="C24" s="48" t="n">
        <v>30</v>
      </c>
      <c r="D24" s="60" t="n">
        <v>44.5</v>
      </c>
      <c r="E24" s="50" t="n">
        <v>4.55</v>
      </c>
      <c r="F24" s="50" t="n">
        <v>4.55</v>
      </c>
      <c r="G24" s="51" t="n">
        <v>65.32</v>
      </c>
      <c r="H24" s="52" t="n">
        <v>20.82</v>
      </c>
      <c r="I24" s="53" t="n">
        <v>624.6</v>
      </c>
      <c r="J24" s="54" t="n">
        <v>8.328</v>
      </c>
      <c r="K24" s="49" t="n">
        <v>12.492</v>
      </c>
      <c r="L24" s="49" t="n">
        <v>249.84</v>
      </c>
      <c r="M24" s="55" t="n">
        <v>374.76</v>
      </c>
      <c r="N24" s="56" t="n">
        <v>44.5</v>
      </c>
      <c r="O24" s="57" t="n">
        <v>52.828</v>
      </c>
      <c r="P24" s="44" t="n">
        <v>1335</v>
      </c>
      <c r="Q24" s="58" t="n">
        <v>1584.84</v>
      </c>
      <c r="R24" s="44"/>
      <c r="S24" s="59" t="n">
        <v>249.84</v>
      </c>
      <c r="T24" s="60" t="n">
        <v>374.76</v>
      </c>
    </row>
    <row r="25" customFormat="false" ht="12.75" hidden="false" customHeight="false" outlineLevel="0" collapsed="false">
      <c r="A25" s="47" t="n">
        <v>37025</v>
      </c>
      <c r="B25" s="12" t="n">
        <v>19</v>
      </c>
      <c r="C25" s="48" t="n">
        <v>30</v>
      </c>
      <c r="D25" s="60" t="n">
        <v>44.5</v>
      </c>
      <c r="E25" s="50" t="n">
        <v>4.55</v>
      </c>
      <c r="F25" s="50" t="n">
        <v>4.55</v>
      </c>
      <c r="G25" s="51" t="n">
        <v>65.32</v>
      </c>
      <c r="H25" s="52" t="n">
        <v>20.82</v>
      </c>
      <c r="I25" s="53" t="n">
        <v>624.6</v>
      </c>
      <c r="J25" s="54" t="n">
        <v>8.328</v>
      </c>
      <c r="K25" s="49" t="n">
        <v>12.492</v>
      </c>
      <c r="L25" s="49" t="n">
        <v>249.84</v>
      </c>
      <c r="M25" s="55" t="n">
        <v>374.76</v>
      </c>
      <c r="N25" s="56" t="n">
        <v>44.5</v>
      </c>
      <c r="O25" s="57" t="n">
        <v>52.828</v>
      </c>
      <c r="P25" s="44" t="n">
        <v>1335</v>
      </c>
      <c r="Q25" s="58" t="n">
        <v>1584.84</v>
      </c>
      <c r="R25" s="44"/>
      <c r="S25" s="59" t="n">
        <v>249.84</v>
      </c>
      <c r="T25" s="60" t="n">
        <v>374.76</v>
      </c>
    </row>
    <row r="26" customFormat="false" ht="12.75" hidden="false" customHeight="false" outlineLevel="0" collapsed="false">
      <c r="A26" s="47" t="n">
        <v>37025</v>
      </c>
      <c r="B26" s="12" t="n">
        <v>20</v>
      </c>
      <c r="C26" s="48" t="n">
        <v>30</v>
      </c>
      <c r="D26" s="60" t="n">
        <v>44.5</v>
      </c>
      <c r="E26" s="50" t="n">
        <v>4.55</v>
      </c>
      <c r="F26" s="50" t="n">
        <v>4.55</v>
      </c>
      <c r="G26" s="51" t="n">
        <v>65.32</v>
      </c>
      <c r="H26" s="52" t="n">
        <v>20.82</v>
      </c>
      <c r="I26" s="53" t="n">
        <v>624.6</v>
      </c>
      <c r="J26" s="54" t="n">
        <v>8.328</v>
      </c>
      <c r="K26" s="49" t="n">
        <v>12.492</v>
      </c>
      <c r="L26" s="49" t="n">
        <v>249.84</v>
      </c>
      <c r="M26" s="55" t="n">
        <v>374.76</v>
      </c>
      <c r="N26" s="56" t="n">
        <v>44.5</v>
      </c>
      <c r="O26" s="57" t="n">
        <v>52.828</v>
      </c>
      <c r="P26" s="44" t="n">
        <v>1335</v>
      </c>
      <c r="Q26" s="58" t="n">
        <v>1584.84</v>
      </c>
      <c r="R26" s="44"/>
      <c r="S26" s="59" t="n">
        <v>249.84</v>
      </c>
      <c r="T26" s="60" t="n">
        <v>374.76</v>
      </c>
    </row>
    <row r="27" customFormat="false" ht="12.75" hidden="false" customHeight="false" outlineLevel="0" collapsed="false">
      <c r="A27" s="47" t="n">
        <v>37025</v>
      </c>
      <c r="B27" s="12" t="n">
        <v>21</v>
      </c>
      <c r="C27" s="48" t="n">
        <v>30</v>
      </c>
      <c r="D27" s="60" t="n">
        <v>44.5</v>
      </c>
      <c r="E27" s="50" t="n">
        <v>4.55</v>
      </c>
      <c r="F27" s="50" t="n">
        <v>4.55</v>
      </c>
      <c r="G27" s="51" t="n">
        <v>65.32</v>
      </c>
      <c r="H27" s="52" t="n">
        <v>20.82</v>
      </c>
      <c r="I27" s="53" t="n">
        <v>624.6</v>
      </c>
      <c r="J27" s="54" t="n">
        <v>8.328</v>
      </c>
      <c r="K27" s="49" t="n">
        <v>12.492</v>
      </c>
      <c r="L27" s="49" t="n">
        <v>249.84</v>
      </c>
      <c r="M27" s="55" t="n">
        <v>374.76</v>
      </c>
      <c r="N27" s="56" t="n">
        <v>44.5</v>
      </c>
      <c r="O27" s="57" t="n">
        <v>52.828</v>
      </c>
      <c r="P27" s="44" t="n">
        <v>1335</v>
      </c>
      <c r="Q27" s="58" t="n">
        <v>1584.84</v>
      </c>
      <c r="R27" s="44"/>
      <c r="S27" s="59" t="n">
        <v>249.84</v>
      </c>
      <c r="T27" s="60" t="n">
        <v>374.76</v>
      </c>
    </row>
    <row r="28" customFormat="false" ht="12.75" hidden="false" customHeight="false" outlineLevel="0" collapsed="false">
      <c r="A28" s="47" t="n">
        <v>37025</v>
      </c>
      <c r="B28" s="12" t="n">
        <v>22</v>
      </c>
      <c r="C28" s="48" t="n">
        <v>30</v>
      </c>
      <c r="D28" s="60" t="n">
        <v>44.5</v>
      </c>
      <c r="E28" s="50" t="n">
        <v>4.55</v>
      </c>
      <c r="F28" s="50" t="n">
        <v>4.55</v>
      </c>
      <c r="G28" s="51" t="n">
        <v>65.32</v>
      </c>
      <c r="H28" s="52" t="n">
        <v>20.82</v>
      </c>
      <c r="I28" s="53" t="n">
        <v>624.6</v>
      </c>
      <c r="J28" s="54" t="n">
        <v>8.328</v>
      </c>
      <c r="K28" s="49" t="n">
        <v>12.492</v>
      </c>
      <c r="L28" s="49" t="n">
        <v>249.84</v>
      </c>
      <c r="M28" s="55" t="n">
        <v>374.76</v>
      </c>
      <c r="N28" s="56" t="n">
        <v>44.5</v>
      </c>
      <c r="O28" s="57" t="n">
        <v>52.828</v>
      </c>
      <c r="P28" s="44" t="n">
        <v>1335</v>
      </c>
      <c r="Q28" s="58" t="n">
        <v>1584.84</v>
      </c>
      <c r="R28" s="44"/>
      <c r="S28" s="59" t="n">
        <v>249.84</v>
      </c>
      <c r="T28" s="60" t="n">
        <v>374.76</v>
      </c>
    </row>
    <row r="29" customFormat="false" ht="12.75" hidden="false" customHeight="false" outlineLevel="0" collapsed="false">
      <c r="A29" s="47" t="n">
        <v>37025</v>
      </c>
      <c r="B29" s="12" t="n">
        <v>23</v>
      </c>
      <c r="C29" s="48" t="n">
        <v>0</v>
      </c>
      <c r="D29" s="60" t="n">
        <v>0</v>
      </c>
      <c r="E29" s="50" t="n">
        <v>4.55</v>
      </c>
      <c r="F29" s="50" t="n">
        <v>4.55</v>
      </c>
      <c r="G29" s="51" t="n">
        <v>65.32</v>
      </c>
      <c r="H29" s="52"/>
      <c r="I29" s="53"/>
      <c r="J29" s="54"/>
      <c r="K29" s="44"/>
      <c r="L29" s="44"/>
      <c r="M29" s="55"/>
      <c r="N29" s="56"/>
      <c r="O29" s="57"/>
      <c r="P29" s="44"/>
      <c r="Q29" s="58"/>
      <c r="R29" s="44"/>
      <c r="S29" s="59"/>
      <c r="T29" s="60"/>
    </row>
    <row r="30" customFormat="false" ht="12.75" hidden="false" customHeight="false" outlineLevel="0" collapsed="false">
      <c r="A30" s="61" t="n">
        <v>37025</v>
      </c>
      <c r="B30" s="62" t="n">
        <v>24</v>
      </c>
      <c r="C30" s="63" t="n">
        <v>0</v>
      </c>
      <c r="D30" s="76" t="n">
        <v>0</v>
      </c>
      <c r="E30" s="65" t="n">
        <v>4.55</v>
      </c>
      <c r="F30" s="65" t="n">
        <v>4.55</v>
      </c>
      <c r="G30" s="66" t="n">
        <v>65.32</v>
      </c>
      <c r="H30" s="67"/>
      <c r="I30" s="68"/>
      <c r="J30" s="69"/>
      <c r="K30" s="70"/>
      <c r="L30" s="70"/>
      <c r="M30" s="71"/>
      <c r="N30" s="72"/>
      <c r="O30" s="73"/>
      <c r="P30" s="70"/>
      <c r="Q30" s="74"/>
      <c r="R30" s="44"/>
      <c r="S30" s="75"/>
      <c r="T30" s="76"/>
    </row>
    <row r="31" customFormat="false" ht="4.5" hidden="false" customHeight="true" outlineLevel="0" collapsed="false">
      <c r="E31" s="77"/>
      <c r="F31" s="77"/>
      <c r="G31" s="77"/>
      <c r="I31" s="78"/>
      <c r="Q31" s="2"/>
      <c r="S31" s="2"/>
    </row>
    <row r="32" customFormat="false" ht="12.75" hidden="false" customHeight="false" outlineLevel="0" collapsed="false">
      <c r="K32" s="79"/>
      <c r="L32" s="79"/>
      <c r="M32" s="79"/>
      <c r="N32" s="80"/>
      <c r="O32" s="79"/>
      <c r="P32" s="80"/>
      <c r="Q32" s="81" t="n">
        <v>24829.16</v>
      </c>
      <c r="R32" s="82"/>
      <c r="S32" s="81" t="n">
        <v>3914.16</v>
      </c>
      <c r="T32" s="81" t="n">
        <v>5871.24</v>
      </c>
    </row>
    <row r="33" customFormat="false" ht="12.75" hidden="false" customHeight="false" outlineLevel="0" collapsed="false">
      <c r="D33" s="0"/>
      <c r="N33" s="0"/>
      <c r="P33" s="0"/>
      <c r="R33" s="0"/>
      <c r="T33" s="0"/>
    </row>
    <row r="34" customFormat="false" ht="12.75" hidden="true" customHeight="true" outlineLevel="0" collapsed="false">
      <c r="B34" s="0" t="s">
        <v>33</v>
      </c>
      <c r="C34" s="0" t="n">
        <v>313</v>
      </c>
    </row>
    <row r="35" customFormat="false" ht="12.75" hidden="false" customHeight="false" outlineLevel="0" collapsed="false">
      <c r="D35" s="0"/>
      <c r="N35" s="0"/>
      <c r="P35" s="0"/>
      <c r="R35" s="0"/>
      <c r="T35" s="0"/>
    </row>
    <row r="36" customFormat="false" ht="12.75" hidden="false" customHeight="false" outlineLevel="0" collapsed="false">
      <c r="D36" s="0"/>
      <c r="N36" s="0"/>
      <c r="P36" s="0"/>
      <c r="R36" s="0"/>
      <c r="T36" s="0"/>
    </row>
    <row r="37" customFormat="false" ht="12.75" hidden="false" customHeight="false" outlineLevel="0" collapsed="false">
      <c r="A37" s="6"/>
      <c r="B37" s="6"/>
      <c r="C37" s="6"/>
      <c r="D37" s="7"/>
      <c r="E37" s="8" t="s">
        <v>2</v>
      </c>
      <c r="F37" s="8"/>
      <c r="G37" s="8"/>
      <c r="H37" s="9" t="s">
        <v>3</v>
      </c>
      <c r="I37" s="9"/>
      <c r="J37" s="9" t="s">
        <v>4</v>
      </c>
      <c r="K37" s="9"/>
      <c r="L37" s="9"/>
      <c r="M37" s="9"/>
      <c r="N37" s="10" t="s">
        <v>5</v>
      </c>
      <c r="O37" s="10"/>
      <c r="P37" s="10"/>
      <c r="Q37" s="10"/>
      <c r="R37" s="11"/>
      <c r="S37" s="10" t="s">
        <v>6</v>
      </c>
      <c r="T37" s="10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2.75" hidden="false" customHeight="false" outlineLevel="0" collapsed="false">
      <c r="B38" s="85" t="s">
        <v>35</v>
      </c>
      <c r="C38" s="85"/>
      <c r="D38" s="85"/>
      <c r="E38" s="13"/>
      <c r="F38" s="14"/>
      <c r="G38" s="15"/>
      <c r="H38" s="16" t="s">
        <v>7</v>
      </c>
      <c r="I38" s="17" t="s">
        <v>7</v>
      </c>
      <c r="J38" s="16" t="s">
        <v>8</v>
      </c>
      <c r="K38" s="18" t="s">
        <v>9</v>
      </c>
      <c r="L38" s="18" t="s">
        <v>8</v>
      </c>
      <c r="M38" s="17" t="s">
        <v>9</v>
      </c>
      <c r="N38" s="19" t="s">
        <v>10</v>
      </c>
      <c r="O38" s="19"/>
      <c r="P38" s="19" t="s">
        <v>11</v>
      </c>
      <c r="Q38" s="19"/>
      <c r="R38" s="11"/>
      <c r="S38" s="20"/>
      <c r="T38" s="21"/>
    </row>
    <row r="39" customFormat="false" ht="12.75" hidden="false" customHeight="false" outlineLevel="0" collapsed="false">
      <c r="E39" s="16" t="s">
        <v>12</v>
      </c>
      <c r="F39" s="18" t="s">
        <v>12</v>
      </c>
      <c r="G39" s="17" t="s">
        <v>13</v>
      </c>
      <c r="H39" s="16" t="s">
        <v>14</v>
      </c>
      <c r="I39" s="17" t="s">
        <v>14</v>
      </c>
      <c r="J39" s="22" t="s">
        <v>15</v>
      </c>
      <c r="K39" s="18" t="s">
        <v>16</v>
      </c>
      <c r="L39" s="18" t="s">
        <v>17</v>
      </c>
      <c r="M39" s="17" t="s">
        <v>18</v>
      </c>
      <c r="N39" s="23"/>
      <c r="O39" s="15"/>
      <c r="P39" s="22"/>
      <c r="Q39" s="24" t="s">
        <v>19</v>
      </c>
      <c r="R39" s="11"/>
      <c r="S39" s="16" t="s">
        <v>20</v>
      </c>
      <c r="T39" s="25" t="s">
        <v>21</v>
      </c>
    </row>
    <row r="40" customFormat="false" ht="12.75" hidden="false" customHeight="false" outlineLevel="0" collapsed="false">
      <c r="A40" s="26" t="s">
        <v>22</v>
      </c>
      <c r="B40" s="27" t="s">
        <v>23</v>
      </c>
      <c r="C40" s="27" t="s">
        <v>24</v>
      </c>
      <c r="D40" s="28" t="s">
        <v>25</v>
      </c>
      <c r="E40" s="22" t="s">
        <v>26</v>
      </c>
      <c r="F40" s="5" t="s">
        <v>27</v>
      </c>
      <c r="G40" s="25" t="s">
        <v>28</v>
      </c>
      <c r="H40" s="22" t="s">
        <v>29</v>
      </c>
      <c r="I40" s="25" t="s">
        <v>30</v>
      </c>
      <c r="J40" s="22" t="s">
        <v>10</v>
      </c>
      <c r="K40" s="5" t="s">
        <v>10</v>
      </c>
      <c r="L40" s="5" t="s">
        <v>30</v>
      </c>
      <c r="M40" s="25" t="s">
        <v>30</v>
      </c>
      <c r="N40" s="22" t="s">
        <v>20</v>
      </c>
      <c r="O40" s="25" t="s">
        <v>21</v>
      </c>
      <c r="P40" s="22" t="s">
        <v>20</v>
      </c>
      <c r="Q40" s="29" t="s">
        <v>21</v>
      </c>
      <c r="R40" s="5"/>
      <c r="S40" s="22" t="s">
        <v>31</v>
      </c>
      <c r="T40" s="25" t="s">
        <v>32</v>
      </c>
      <c r="U40" s="30"/>
      <c r="V40" s="30"/>
    </row>
    <row r="41" customFormat="false" ht="12.75" hidden="false" customHeight="false" outlineLevel="0" collapsed="false">
      <c r="A41" s="31" t="n">
        <v>37025</v>
      </c>
      <c r="B41" s="32" t="n">
        <v>1</v>
      </c>
      <c r="C41" s="33" t="n">
        <v>23</v>
      </c>
      <c r="D41" s="34" t="n">
        <v>16</v>
      </c>
      <c r="E41" s="35" t="n">
        <v>4.55</v>
      </c>
      <c r="F41" s="35" t="n">
        <v>4.55</v>
      </c>
      <c r="G41" s="36" t="n">
        <v>65.32</v>
      </c>
      <c r="H41" s="37" t="n">
        <v>49.32</v>
      </c>
      <c r="I41" s="38" t="n">
        <v>1134.36</v>
      </c>
      <c r="J41" s="39" t="n">
        <v>1</v>
      </c>
      <c r="K41" s="40" t="n">
        <v>48.32</v>
      </c>
      <c r="L41" s="40" t="n">
        <v>23</v>
      </c>
      <c r="M41" s="21" t="n">
        <v>1111.36</v>
      </c>
      <c r="N41" s="41" t="n">
        <v>16</v>
      </c>
      <c r="O41" s="42" t="n">
        <v>17</v>
      </c>
      <c r="P41" s="40" t="n">
        <v>368</v>
      </c>
      <c r="Q41" s="43" t="n">
        <v>391</v>
      </c>
      <c r="R41" s="44"/>
      <c r="S41" s="45" t="n">
        <v>23</v>
      </c>
      <c r="T41" s="46" t="n">
        <v>1111.36</v>
      </c>
    </row>
    <row r="42" customFormat="false" ht="12.75" hidden="false" customHeight="false" outlineLevel="0" collapsed="false">
      <c r="A42" s="47" t="n">
        <v>37025</v>
      </c>
      <c r="B42" s="12" t="n">
        <v>2</v>
      </c>
      <c r="C42" s="48" t="n">
        <v>21</v>
      </c>
      <c r="D42" s="49" t="n">
        <v>16</v>
      </c>
      <c r="E42" s="50" t="n">
        <v>4.55</v>
      </c>
      <c r="F42" s="50" t="n">
        <v>4.55</v>
      </c>
      <c r="G42" s="51" t="n">
        <v>65.32</v>
      </c>
      <c r="H42" s="52" t="n">
        <v>49.32</v>
      </c>
      <c r="I42" s="53" t="n">
        <v>1035.72</v>
      </c>
      <c r="J42" s="54" t="n">
        <v>1</v>
      </c>
      <c r="K42" s="44" t="n">
        <v>48.32</v>
      </c>
      <c r="L42" s="44" t="n">
        <v>21</v>
      </c>
      <c r="M42" s="55" t="n">
        <v>1014.72</v>
      </c>
      <c r="N42" s="56" t="n">
        <v>16</v>
      </c>
      <c r="O42" s="57" t="n">
        <v>17</v>
      </c>
      <c r="P42" s="44" t="n">
        <v>336</v>
      </c>
      <c r="Q42" s="58" t="n">
        <v>357</v>
      </c>
      <c r="R42" s="44"/>
      <c r="S42" s="59" t="n">
        <v>21</v>
      </c>
      <c r="T42" s="60" t="n">
        <v>1014.72</v>
      </c>
    </row>
    <row r="43" customFormat="false" ht="12.75" hidden="false" customHeight="false" outlineLevel="0" collapsed="false">
      <c r="A43" s="47" t="n">
        <v>37025</v>
      </c>
      <c r="B43" s="12" t="n">
        <v>3</v>
      </c>
      <c r="C43" s="48" t="n">
        <v>19</v>
      </c>
      <c r="D43" s="49" t="n">
        <v>15</v>
      </c>
      <c r="E43" s="50" t="n">
        <v>4.55</v>
      </c>
      <c r="F43" s="50" t="n">
        <v>4.55</v>
      </c>
      <c r="G43" s="51" t="n">
        <v>65.32</v>
      </c>
      <c r="H43" s="52" t="n">
        <v>50.32</v>
      </c>
      <c r="I43" s="53" t="n">
        <v>956.08</v>
      </c>
      <c r="J43" s="54" t="n">
        <v>1</v>
      </c>
      <c r="K43" s="44" t="n">
        <v>49.32</v>
      </c>
      <c r="L43" s="44" t="n">
        <v>19</v>
      </c>
      <c r="M43" s="55" t="n">
        <v>937.08</v>
      </c>
      <c r="N43" s="56" t="n">
        <v>15</v>
      </c>
      <c r="O43" s="57" t="n">
        <v>16</v>
      </c>
      <c r="P43" s="44" t="n">
        <v>285</v>
      </c>
      <c r="Q43" s="58" t="n">
        <v>304</v>
      </c>
      <c r="R43" s="44"/>
      <c r="S43" s="59" t="n">
        <v>19</v>
      </c>
      <c r="T43" s="60" t="n">
        <v>937.08</v>
      </c>
    </row>
    <row r="44" customFormat="false" ht="12.75" hidden="false" customHeight="false" outlineLevel="0" collapsed="false">
      <c r="A44" s="47" t="n">
        <v>37025</v>
      </c>
      <c r="B44" s="12" t="n">
        <v>4</v>
      </c>
      <c r="C44" s="48" t="n">
        <v>17</v>
      </c>
      <c r="D44" s="49" t="n">
        <v>15</v>
      </c>
      <c r="E44" s="50" t="n">
        <v>4.55</v>
      </c>
      <c r="F44" s="50" t="n">
        <v>4.55</v>
      </c>
      <c r="G44" s="51" t="n">
        <v>65.32</v>
      </c>
      <c r="H44" s="52" t="n">
        <v>50.32</v>
      </c>
      <c r="I44" s="53" t="n">
        <v>855.44</v>
      </c>
      <c r="J44" s="54" t="n">
        <v>1</v>
      </c>
      <c r="K44" s="44" t="n">
        <v>49.32</v>
      </c>
      <c r="L44" s="44" t="n">
        <v>17</v>
      </c>
      <c r="M44" s="55" t="n">
        <v>838.44</v>
      </c>
      <c r="N44" s="56" t="n">
        <v>15</v>
      </c>
      <c r="O44" s="57" t="n">
        <v>16</v>
      </c>
      <c r="P44" s="44" t="n">
        <v>255</v>
      </c>
      <c r="Q44" s="58" t="n">
        <v>272</v>
      </c>
      <c r="R44" s="44"/>
      <c r="S44" s="59" t="n">
        <v>17</v>
      </c>
      <c r="T44" s="60" t="n">
        <v>838.44</v>
      </c>
    </row>
    <row r="45" customFormat="false" ht="12.75" hidden="false" customHeight="false" outlineLevel="0" collapsed="false">
      <c r="A45" s="47" t="n">
        <v>37025</v>
      </c>
      <c r="B45" s="12" t="n">
        <v>5</v>
      </c>
      <c r="C45" s="48" t="n">
        <v>17</v>
      </c>
      <c r="D45" s="49" t="n">
        <v>15</v>
      </c>
      <c r="E45" s="50" t="n">
        <v>4.55</v>
      </c>
      <c r="F45" s="50" t="n">
        <v>4.55</v>
      </c>
      <c r="G45" s="51" t="n">
        <v>65.32</v>
      </c>
      <c r="H45" s="52" t="n">
        <v>50.32</v>
      </c>
      <c r="I45" s="53" t="n">
        <v>855.44</v>
      </c>
      <c r="J45" s="54" t="n">
        <v>1</v>
      </c>
      <c r="K45" s="44" t="n">
        <v>49.32</v>
      </c>
      <c r="L45" s="44" t="n">
        <v>17</v>
      </c>
      <c r="M45" s="55" t="n">
        <v>838.44</v>
      </c>
      <c r="N45" s="56" t="n">
        <v>15</v>
      </c>
      <c r="O45" s="57" t="n">
        <v>16</v>
      </c>
      <c r="P45" s="44" t="n">
        <v>255</v>
      </c>
      <c r="Q45" s="58" t="n">
        <v>272</v>
      </c>
      <c r="R45" s="44"/>
      <c r="S45" s="59" t="n">
        <v>17</v>
      </c>
      <c r="T45" s="60" t="n">
        <v>838.44</v>
      </c>
    </row>
    <row r="46" customFormat="false" ht="12.75" hidden="false" customHeight="false" outlineLevel="0" collapsed="false">
      <c r="A46" s="47" t="n">
        <v>37025</v>
      </c>
      <c r="B46" s="12" t="n">
        <v>6</v>
      </c>
      <c r="C46" s="48" t="n">
        <v>18</v>
      </c>
      <c r="D46" s="49" t="n">
        <v>17</v>
      </c>
      <c r="E46" s="50" t="n">
        <v>4.55</v>
      </c>
      <c r="F46" s="50" t="n">
        <v>4.55</v>
      </c>
      <c r="G46" s="51" t="n">
        <v>65.32</v>
      </c>
      <c r="H46" s="52" t="n">
        <v>48.32</v>
      </c>
      <c r="I46" s="53" t="n">
        <v>869.76</v>
      </c>
      <c r="J46" s="54" t="n">
        <v>1</v>
      </c>
      <c r="K46" s="44" t="n">
        <v>47.32</v>
      </c>
      <c r="L46" s="44" t="n">
        <v>18</v>
      </c>
      <c r="M46" s="55" t="n">
        <v>851.76</v>
      </c>
      <c r="N46" s="56" t="n">
        <v>17</v>
      </c>
      <c r="O46" s="57" t="n">
        <v>18</v>
      </c>
      <c r="P46" s="44" t="n">
        <v>306</v>
      </c>
      <c r="Q46" s="58" t="n">
        <v>324</v>
      </c>
      <c r="R46" s="44"/>
      <c r="S46" s="59" t="n">
        <v>18</v>
      </c>
      <c r="T46" s="60" t="n">
        <v>851.76</v>
      </c>
    </row>
    <row r="47" customFormat="false" ht="12.75" hidden="false" customHeight="false" outlineLevel="0" collapsed="false">
      <c r="A47" s="47" t="n">
        <v>37025</v>
      </c>
      <c r="B47" s="12" t="n">
        <v>7</v>
      </c>
      <c r="C47" s="48" t="n">
        <v>0</v>
      </c>
      <c r="D47" s="49" t="n">
        <v>0</v>
      </c>
      <c r="E47" s="50" t="n">
        <v>4.55</v>
      </c>
      <c r="F47" s="50" t="n">
        <v>4.55</v>
      </c>
      <c r="G47" s="51" t="n">
        <v>65.32</v>
      </c>
      <c r="H47" s="52"/>
      <c r="I47" s="53"/>
      <c r="J47" s="54"/>
      <c r="K47" s="49"/>
      <c r="L47" s="49"/>
      <c r="M47" s="55"/>
      <c r="N47" s="56"/>
      <c r="O47" s="57"/>
      <c r="P47" s="44"/>
      <c r="Q47" s="58"/>
      <c r="R47" s="44"/>
      <c r="S47" s="59"/>
      <c r="T47" s="60"/>
    </row>
    <row r="48" customFormat="false" ht="12.75" hidden="false" customHeight="false" outlineLevel="0" collapsed="false">
      <c r="A48" s="47" t="n">
        <v>37025</v>
      </c>
      <c r="B48" s="12" t="n">
        <v>8</v>
      </c>
      <c r="C48" s="48" t="n">
        <v>0</v>
      </c>
      <c r="D48" s="49" t="n">
        <v>0</v>
      </c>
      <c r="E48" s="50" t="n">
        <v>4.55</v>
      </c>
      <c r="F48" s="50" t="n">
        <v>4.55</v>
      </c>
      <c r="G48" s="51" t="n">
        <v>65.32</v>
      </c>
      <c r="H48" s="52"/>
      <c r="I48" s="53"/>
      <c r="J48" s="54"/>
      <c r="K48" s="49"/>
      <c r="L48" s="49"/>
      <c r="M48" s="55"/>
      <c r="N48" s="56"/>
      <c r="O48" s="57"/>
      <c r="P48" s="44"/>
      <c r="Q48" s="58"/>
      <c r="R48" s="44"/>
      <c r="S48" s="59"/>
      <c r="T48" s="60"/>
    </row>
    <row r="49" customFormat="false" ht="12.75" hidden="false" customHeight="false" outlineLevel="0" collapsed="false">
      <c r="A49" s="47" t="n">
        <v>37025</v>
      </c>
      <c r="B49" s="12" t="n">
        <v>9</v>
      </c>
      <c r="C49" s="48" t="n">
        <v>0</v>
      </c>
      <c r="D49" s="49" t="n">
        <v>0</v>
      </c>
      <c r="E49" s="50" t="n">
        <v>4.55</v>
      </c>
      <c r="F49" s="50" t="n">
        <v>4.55</v>
      </c>
      <c r="G49" s="51" t="n">
        <v>65.32</v>
      </c>
      <c r="H49" s="52"/>
      <c r="I49" s="53"/>
      <c r="J49" s="54"/>
      <c r="K49" s="49"/>
      <c r="L49" s="49"/>
      <c r="M49" s="55"/>
      <c r="N49" s="56"/>
      <c r="O49" s="57"/>
      <c r="P49" s="44"/>
      <c r="Q49" s="58"/>
      <c r="R49" s="44"/>
      <c r="S49" s="59"/>
      <c r="T49" s="60"/>
    </row>
    <row r="50" customFormat="false" ht="12.75" hidden="false" customHeight="false" outlineLevel="0" collapsed="false">
      <c r="A50" s="47" t="n">
        <v>37025</v>
      </c>
      <c r="B50" s="12" t="n">
        <v>10</v>
      </c>
      <c r="C50" s="48" t="n">
        <v>0</v>
      </c>
      <c r="D50" s="49" t="n">
        <v>0</v>
      </c>
      <c r="E50" s="50" t="n">
        <v>4.55</v>
      </c>
      <c r="F50" s="50" t="n">
        <v>4.55</v>
      </c>
      <c r="G50" s="51" t="n">
        <v>65.32</v>
      </c>
      <c r="H50" s="52"/>
      <c r="I50" s="53"/>
      <c r="J50" s="54"/>
      <c r="K50" s="49"/>
      <c r="L50" s="49"/>
      <c r="M50" s="55"/>
      <c r="N50" s="56"/>
      <c r="O50" s="57"/>
      <c r="P50" s="44"/>
      <c r="Q50" s="58"/>
      <c r="R50" s="44"/>
      <c r="S50" s="59"/>
      <c r="T50" s="60"/>
    </row>
    <row r="51" customFormat="false" ht="12.75" hidden="false" customHeight="false" outlineLevel="0" collapsed="false">
      <c r="A51" s="47" t="n">
        <v>37025</v>
      </c>
      <c r="B51" s="12" t="n">
        <v>11</v>
      </c>
      <c r="C51" s="48" t="n">
        <v>0</v>
      </c>
      <c r="D51" s="49" t="n">
        <v>0</v>
      </c>
      <c r="E51" s="50" t="n">
        <v>4.55</v>
      </c>
      <c r="F51" s="50" t="n">
        <v>4.55</v>
      </c>
      <c r="G51" s="51" t="n">
        <v>65.32</v>
      </c>
      <c r="H51" s="52"/>
      <c r="I51" s="53"/>
      <c r="J51" s="54"/>
      <c r="K51" s="49"/>
      <c r="L51" s="49"/>
      <c r="M51" s="55"/>
      <c r="N51" s="56"/>
      <c r="O51" s="57"/>
      <c r="P51" s="44"/>
      <c r="Q51" s="58"/>
      <c r="R51" s="44"/>
      <c r="S51" s="59"/>
      <c r="T51" s="60"/>
    </row>
    <row r="52" customFormat="false" ht="12.75" hidden="false" customHeight="false" outlineLevel="0" collapsed="false">
      <c r="A52" s="47" t="n">
        <v>37025</v>
      </c>
      <c r="B52" s="12" t="n">
        <v>12</v>
      </c>
      <c r="C52" s="48" t="n">
        <v>0</v>
      </c>
      <c r="D52" s="49" t="n">
        <v>0</v>
      </c>
      <c r="E52" s="50" t="n">
        <v>4.55</v>
      </c>
      <c r="F52" s="50" t="n">
        <v>4.55</v>
      </c>
      <c r="G52" s="51" t="n">
        <v>65.32</v>
      </c>
      <c r="H52" s="52"/>
      <c r="I52" s="53"/>
      <c r="J52" s="54"/>
      <c r="K52" s="49"/>
      <c r="L52" s="49"/>
      <c r="M52" s="55"/>
      <c r="N52" s="56"/>
      <c r="O52" s="57"/>
      <c r="P52" s="44"/>
      <c r="Q52" s="58"/>
      <c r="R52" s="44"/>
      <c r="S52" s="59"/>
      <c r="T52" s="60"/>
    </row>
    <row r="53" customFormat="false" ht="12.75" hidden="false" customHeight="false" outlineLevel="0" collapsed="false">
      <c r="A53" s="47" t="n">
        <v>37025</v>
      </c>
      <c r="B53" s="12" t="n">
        <v>13</v>
      </c>
      <c r="C53" s="48" t="n">
        <v>0</v>
      </c>
      <c r="D53" s="49" t="n">
        <v>0</v>
      </c>
      <c r="E53" s="50" t="n">
        <v>4.55</v>
      </c>
      <c r="F53" s="50" t="n">
        <v>4.55</v>
      </c>
      <c r="G53" s="51" t="n">
        <v>65.32</v>
      </c>
      <c r="H53" s="52"/>
      <c r="I53" s="53"/>
      <c r="J53" s="54"/>
      <c r="K53" s="49"/>
      <c r="L53" s="49"/>
      <c r="M53" s="55"/>
      <c r="N53" s="56"/>
      <c r="O53" s="57"/>
      <c r="P53" s="44"/>
      <c r="Q53" s="58"/>
      <c r="R53" s="44"/>
      <c r="S53" s="59"/>
      <c r="T53" s="60"/>
    </row>
    <row r="54" customFormat="false" ht="12.75" hidden="false" customHeight="false" outlineLevel="0" collapsed="false">
      <c r="A54" s="47" t="n">
        <v>37025</v>
      </c>
      <c r="B54" s="12" t="n">
        <v>14</v>
      </c>
      <c r="C54" s="48" t="n">
        <v>0</v>
      </c>
      <c r="D54" s="49" t="n">
        <v>0</v>
      </c>
      <c r="E54" s="50" t="n">
        <v>4.55</v>
      </c>
      <c r="F54" s="50" t="n">
        <v>4.55</v>
      </c>
      <c r="G54" s="51" t="n">
        <v>65.32</v>
      </c>
      <c r="H54" s="52"/>
      <c r="I54" s="53"/>
      <c r="J54" s="54"/>
      <c r="K54" s="49"/>
      <c r="L54" s="49"/>
      <c r="M54" s="55"/>
      <c r="N54" s="56"/>
      <c r="O54" s="57"/>
      <c r="P54" s="44"/>
      <c r="Q54" s="58"/>
      <c r="R54" s="44"/>
      <c r="S54" s="59"/>
      <c r="T54" s="60"/>
    </row>
    <row r="55" customFormat="false" ht="12.75" hidden="false" customHeight="false" outlineLevel="0" collapsed="false">
      <c r="A55" s="47" t="n">
        <v>37025</v>
      </c>
      <c r="B55" s="12" t="n">
        <v>15</v>
      </c>
      <c r="C55" s="48" t="n">
        <v>0</v>
      </c>
      <c r="D55" s="49" t="n">
        <v>0</v>
      </c>
      <c r="E55" s="50" t="n">
        <v>4.55</v>
      </c>
      <c r="F55" s="50" t="n">
        <v>4.55</v>
      </c>
      <c r="G55" s="51" t="n">
        <v>65.32</v>
      </c>
      <c r="H55" s="52"/>
      <c r="I55" s="53"/>
      <c r="J55" s="54"/>
      <c r="K55" s="49"/>
      <c r="L55" s="49"/>
      <c r="M55" s="55"/>
      <c r="N55" s="56"/>
      <c r="O55" s="57"/>
      <c r="P55" s="44"/>
      <c r="Q55" s="58"/>
      <c r="R55" s="44"/>
      <c r="S55" s="59"/>
      <c r="T55" s="60"/>
    </row>
    <row r="56" customFormat="false" ht="12.75" hidden="false" customHeight="false" outlineLevel="0" collapsed="false">
      <c r="A56" s="47" t="n">
        <v>37025</v>
      </c>
      <c r="B56" s="12" t="n">
        <v>16</v>
      </c>
      <c r="C56" s="48" t="n">
        <v>0</v>
      </c>
      <c r="D56" s="49" t="n">
        <v>0</v>
      </c>
      <c r="E56" s="50" t="n">
        <v>4.55</v>
      </c>
      <c r="F56" s="50" t="n">
        <v>4.55</v>
      </c>
      <c r="G56" s="51" t="n">
        <v>65.32</v>
      </c>
      <c r="H56" s="52"/>
      <c r="I56" s="53"/>
      <c r="J56" s="54"/>
      <c r="K56" s="49"/>
      <c r="L56" s="49"/>
      <c r="M56" s="55"/>
      <c r="N56" s="56"/>
      <c r="O56" s="57"/>
      <c r="P56" s="44"/>
      <c r="Q56" s="58"/>
      <c r="R56" s="44"/>
      <c r="S56" s="59"/>
      <c r="T56" s="60"/>
    </row>
    <row r="57" customFormat="false" ht="12.75" hidden="false" customHeight="false" outlineLevel="0" collapsed="false">
      <c r="A57" s="47" t="n">
        <v>37025</v>
      </c>
      <c r="B57" s="12" t="n">
        <v>17</v>
      </c>
      <c r="C57" s="48" t="n">
        <v>5</v>
      </c>
      <c r="D57" s="49" t="n">
        <v>50</v>
      </c>
      <c r="E57" s="50" t="n">
        <v>4.55</v>
      </c>
      <c r="F57" s="50" t="n">
        <v>4.55</v>
      </c>
      <c r="G57" s="51" t="n">
        <v>65.32</v>
      </c>
      <c r="H57" s="52" t="n">
        <v>15.32</v>
      </c>
      <c r="I57" s="53" t="n">
        <v>76.6</v>
      </c>
      <c r="J57" s="54" t="n">
        <v>6.128</v>
      </c>
      <c r="K57" s="49" t="n">
        <v>9.192</v>
      </c>
      <c r="L57" s="49" t="n">
        <v>30.64</v>
      </c>
      <c r="M57" s="55" t="n">
        <v>45.96</v>
      </c>
      <c r="N57" s="56" t="n">
        <v>50</v>
      </c>
      <c r="O57" s="57"/>
      <c r="P57" s="44" t="n">
        <v>250</v>
      </c>
      <c r="Q57" s="58" t="n">
        <v>0</v>
      </c>
      <c r="R57" s="44"/>
      <c r="S57" s="59" t="n">
        <v>30.64</v>
      </c>
      <c r="T57" s="60" t="n">
        <v>45.96</v>
      </c>
    </row>
    <row r="58" customFormat="false" ht="12.75" hidden="false" customHeight="false" outlineLevel="0" collapsed="false">
      <c r="A58" s="47" t="n">
        <v>37025</v>
      </c>
      <c r="B58" s="12" t="n">
        <v>18</v>
      </c>
      <c r="C58" s="48" t="n">
        <v>5</v>
      </c>
      <c r="D58" s="49" t="n">
        <v>50</v>
      </c>
      <c r="E58" s="50" t="n">
        <v>4.55</v>
      </c>
      <c r="F58" s="50" t="n">
        <v>4.55</v>
      </c>
      <c r="G58" s="51" t="n">
        <v>65.32</v>
      </c>
      <c r="H58" s="52" t="n">
        <v>15.32</v>
      </c>
      <c r="I58" s="53" t="n">
        <v>76.6</v>
      </c>
      <c r="J58" s="54" t="n">
        <v>6.128</v>
      </c>
      <c r="K58" s="49" t="n">
        <v>9.192</v>
      </c>
      <c r="L58" s="49" t="n">
        <v>30.64</v>
      </c>
      <c r="M58" s="55" t="n">
        <v>45.96</v>
      </c>
      <c r="N58" s="56" t="n">
        <v>50</v>
      </c>
      <c r="O58" s="57" t="n">
        <v>56.128</v>
      </c>
      <c r="P58" s="44" t="n">
        <v>250</v>
      </c>
      <c r="Q58" s="58" t="n">
        <v>280.64</v>
      </c>
      <c r="R58" s="44"/>
      <c r="S58" s="59" t="n">
        <v>30.64</v>
      </c>
      <c r="T58" s="60" t="n">
        <v>45.96</v>
      </c>
    </row>
    <row r="59" customFormat="false" ht="12.75" hidden="false" customHeight="false" outlineLevel="0" collapsed="false">
      <c r="A59" s="47" t="n">
        <v>37025</v>
      </c>
      <c r="B59" s="12" t="n">
        <v>19</v>
      </c>
      <c r="C59" s="48" t="n">
        <v>5</v>
      </c>
      <c r="D59" s="49" t="n">
        <v>50</v>
      </c>
      <c r="E59" s="50" t="n">
        <v>4.55</v>
      </c>
      <c r="F59" s="50" t="n">
        <v>4.55</v>
      </c>
      <c r="G59" s="51" t="n">
        <v>65.32</v>
      </c>
      <c r="H59" s="52" t="n">
        <v>15.32</v>
      </c>
      <c r="I59" s="53" t="n">
        <v>76.6</v>
      </c>
      <c r="J59" s="54" t="n">
        <v>6.128</v>
      </c>
      <c r="K59" s="49" t="n">
        <v>9.192</v>
      </c>
      <c r="L59" s="49" t="n">
        <v>30.64</v>
      </c>
      <c r="M59" s="55" t="n">
        <v>45.96</v>
      </c>
      <c r="N59" s="56" t="n">
        <v>50</v>
      </c>
      <c r="O59" s="57" t="n">
        <v>56.128</v>
      </c>
      <c r="P59" s="44" t="n">
        <v>250</v>
      </c>
      <c r="Q59" s="58" t="n">
        <v>280.64</v>
      </c>
      <c r="R59" s="44"/>
      <c r="S59" s="59" t="n">
        <v>30.64</v>
      </c>
      <c r="T59" s="60" t="n">
        <v>45.96</v>
      </c>
    </row>
    <row r="60" customFormat="false" ht="12.75" hidden="false" customHeight="false" outlineLevel="0" collapsed="false">
      <c r="A60" s="47" t="n">
        <v>37025</v>
      </c>
      <c r="B60" s="12" t="n">
        <v>20</v>
      </c>
      <c r="C60" s="48" t="n">
        <v>5</v>
      </c>
      <c r="D60" s="49" t="n">
        <v>50</v>
      </c>
      <c r="E60" s="50" t="n">
        <v>4.55</v>
      </c>
      <c r="F60" s="50" t="n">
        <v>4.55</v>
      </c>
      <c r="G60" s="51" t="n">
        <v>65.32</v>
      </c>
      <c r="H60" s="52" t="n">
        <v>15.32</v>
      </c>
      <c r="I60" s="53" t="n">
        <v>76.6</v>
      </c>
      <c r="J60" s="54" t="n">
        <v>6.128</v>
      </c>
      <c r="K60" s="49" t="n">
        <v>9.192</v>
      </c>
      <c r="L60" s="49" t="n">
        <v>30.64</v>
      </c>
      <c r="M60" s="55" t="n">
        <v>45.96</v>
      </c>
      <c r="N60" s="56" t="n">
        <v>50</v>
      </c>
      <c r="O60" s="57" t="n">
        <v>56.128</v>
      </c>
      <c r="P60" s="44" t="n">
        <v>250</v>
      </c>
      <c r="Q60" s="58" t="n">
        <v>280.64</v>
      </c>
      <c r="R60" s="44"/>
      <c r="S60" s="59" t="n">
        <v>30.64</v>
      </c>
      <c r="T60" s="60" t="n">
        <v>45.96</v>
      </c>
    </row>
    <row r="61" customFormat="false" ht="12.75" hidden="false" customHeight="false" outlineLevel="0" collapsed="false">
      <c r="A61" s="47" t="n">
        <v>37025</v>
      </c>
      <c r="B61" s="12" t="n">
        <v>21</v>
      </c>
      <c r="C61" s="48" t="n">
        <v>5</v>
      </c>
      <c r="D61" s="49" t="n">
        <v>50</v>
      </c>
      <c r="E61" s="50" t="n">
        <v>4.55</v>
      </c>
      <c r="F61" s="50" t="n">
        <v>4.55</v>
      </c>
      <c r="G61" s="51" t="n">
        <v>65.32</v>
      </c>
      <c r="H61" s="52" t="n">
        <v>15.32</v>
      </c>
      <c r="I61" s="53" t="n">
        <v>76.6</v>
      </c>
      <c r="J61" s="54" t="n">
        <v>6.128</v>
      </c>
      <c r="K61" s="49" t="n">
        <v>9.192</v>
      </c>
      <c r="L61" s="49" t="n">
        <v>30.64</v>
      </c>
      <c r="M61" s="55" t="n">
        <v>45.96</v>
      </c>
      <c r="N61" s="56" t="n">
        <v>50</v>
      </c>
      <c r="O61" s="57" t="n">
        <v>56.128</v>
      </c>
      <c r="P61" s="44" t="n">
        <v>250</v>
      </c>
      <c r="Q61" s="58" t="n">
        <v>280.64</v>
      </c>
      <c r="R61" s="44"/>
      <c r="S61" s="59" t="n">
        <v>30.64</v>
      </c>
      <c r="T61" s="60" t="n">
        <v>45.96</v>
      </c>
    </row>
    <row r="62" customFormat="false" ht="12.75" hidden="false" customHeight="false" outlineLevel="0" collapsed="false">
      <c r="A62" s="47" t="n">
        <v>37025</v>
      </c>
      <c r="B62" s="12" t="n">
        <v>22</v>
      </c>
      <c r="C62" s="48" t="n">
        <v>0</v>
      </c>
      <c r="D62" s="49" t="n">
        <v>0</v>
      </c>
      <c r="E62" s="50" t="n">
        <v>4.55</v>
      </c>
      <c r="F62" s="50" t="n">
        <v>4.55</v>
      </c>
      <c r="G62" s="51" t="n">
        <v>65.32</v>
      </c>
      <c r="H62" s="52"/>
      <c r="I62" s="53"/>
      <c r="J62" s="54"/>
      <c r="K62" s="49"/>
      <c r="L62" s="49"/>
      <c r="M62" s="55"/>
      <c r="N62" s="56"/>
      <c r="O62" s="57"/>
      <c r="P62" s="44"/>
      <c r="Q62" s="58"/>
      <c r="R62" s="44"/>
      <c r="S62" s="59"/>
      <c r="T62" s="60"/>
    </row>
    <row r="63" customFormat="false" ht="12.75" hidden="false" customHeight="false" outlineLevel="0" collapsed="false">
      <c r="A63" s="47" t="n">
        <v>37025</v>
      </c>
      <c r="B63" s="12" t="n">
        <v>23</v>
      </c>
      <c r="C63" s="48" t="n">
        <v>30</v>
      </c>
      <c r="D63" s="49" t="n">
        <v>42</v>
      </c>
      <c r="E63" s="50" t="n">
        <v>4.55</v>
      </c>
      <c r="F63" s="50" t="n">
        <v>4.55</v>
      </c>
      <c r="G63" s="51" t="n">
        <v>65.32</v>
      </c>
      <c r="H63" s="52" t="n">
        <v>23.32</v>
      </c>
      <c r="I63" s="53" t="n">
        <v>699.6</v>
      </c>
      <c r="J63" s="54" t="n">
        <v>1</v>
      </c>
      <c r="K63" s="44" t="n">
        <v>22.32</v>
      </c>
      <c r="L63" s="44" t="n">
        <v>30</v>
      </c>
      <c r="M63" s="55" t="n">
        <v>669.6</v>
      </c>
      <c r="N63" s="56" t="n">
        <v>42</v>
      </c>
      <c r="O63" s="57" t="n">
        <v>43</v>
      </c>
      <c r="P63" s="44" t="n">
        <v>1260</v>
      </c>
      <c r="Q63" s="58" t="n">
        <v>1290</v>
      </c>
      <c r="R63" s="44"/>
      <c r="S63" s="59" t="n">
        <v>30</v>
      </c>
      <c r="T63" s="60" t="n">
        <v>669.6</v>
      </c>
    </row>
    <row r="64" customFormat="false" ht="12.75" hidden="false" customHeight="false" outlineLevel="0" collapsed="false">
      <c r="A64" s="61" t="n">
        <v>37025</v>
      </c>
      <c r="B64" s="62" t="n">
        <v>24</v>
      </c>
      <c r="C64" s="63" t="n">
        <v>28</v>
      </c>
      <c r="D64" s="64" t="n">
        <v>34</v>
      </c>
      <c r="E64" s="65" t="n">
        <v>4.55</v>
      </c>
      <c r="F64" s="65" t="n">
        <v>4.55</v>
      </c>
      <c r="G64" s="66" t="n">
        <v>65.32</v>
      </c>
      <c r="H64" s="67" t="n">
        <v>31.32</v>
      </c>
      <c r="I64" s="68" t="n">
        <v>876.96</v>
      </c>
      <c r="J64" s="69" t="n">
        <v>1</v>
      </c>
      <c r="K64" s="70" t="n">
        <v>30.32</v>
      </c>
      <c r="L64" s="70" t="n">
        <v>28</v>
      </c>
      <c r="M64" s="71" t="n">
        <v>848.96</v>
      </c>
      <c r="N64" s="72" t="n">
        <v>34</v>
      </c>
      <c r="O64" s="73" t="n">
        <v>35</v>
      </c>
      <c r="P64" s="70" t="n">
        <v>952</v>
      </c>
      <c r="Q64" s="74" t="n">
        <v>980</v>
      </c>
      <c r="R64" s="44"/>
      <c r="S64" s="75" t="n">
        <v>28</v>
      </c>
      <c r="T64" s="76" t="n">
        <v>848.96</v>
      </c>
    </row>
    <row r="65" customFormat="false" ht="12.75" hidden="false" customHeight="false" outlineLevel="0" collapsed="false">
      <c r="D65" s="0"/>
      <c r="N65" s="0"/>
      <c r="P65" s="0"/>
      <c r="R65" s="0"/>
      <c r="T65" s="0"/>
    </row>
    <row r="66" customFormat="false" ht="12.75" hidden="false" customHeight="false" outlineLevel="0" collapsed="false">
      <c r="Q66" s="78" t="n">
        <v>5312.56</v>
      </c>
      <c r="R66" s="0"/>
      <c r="T66" s="0"/>
    </row>
    <row r="67" customFormat="false" ht="12.75" hidden="false" customHeight="false" outlineLevel="0" collapsed="false">
      <c r="D67" s="0"/>
      <c r="N67" s="0"/>
      <c r="P67" s="0"/>
      <c r="R67" s="0"/>
      <c r="T67" s="0"/>
    </row>
    <row r="68" customFormat="false" ht="12.75" hidden="true" customHeight="true" outlineLevel="0" collapsed="false">
      <c r="B68" s="0" t="s">
        <v>33</v>
      </c>
      <c r="C68" s="0" t="n">
        <v>313</v>
      </c>
      <c r="R68" s="0"/>
      <c r="T68" s="0"/>
    </row>
  </sheetData>
  <mergeCells count="18">
    <mergeCell ref="A1:C1"/>
    <mergeCell ref="A2:B2"/>
    <mergeCell ref="E3:G3"/>
    <mergeCell ref="H3:I3"/>
    <mergeCell ref="J3:M3"/>
    <mergeCell ref="N3:Q3"/>
    <mergeCell ref="S3:T3"/>
    <mergeCell ref="B4:D4"/>
    <mergeCell ref="N4:O4"/>
    <mergeCell ref="P4:Q4"/>
    <mergeCell ref="E37:G37"/>
    <mergeCell ref="H37:I37"/>
    <mergeCell ref="J37:M37"/>
    <mergeCell ref="N37:Q37"/>
    <mergeCell ref="S37:T37"/>
    <mergeCell ref="B38:D38"/>
    <mergeCell ref="N38:O38"/>
    <mergeCell ref="P38:Q38"/>
  </mergeCells>
  <conditionalFormatting sqref="K5:K12 H3:H5 E3:G6 I3:I30 J3:J12 L5:M30 J29:K30 K4:N4 A1:C2 D31:G36 I31:M36 N5:N36 P65:IV65536 P4:T36 U1:IV64 K39:K46 H8:H39 A39:D64 E37:G40 I37:I64 J37:J46 J63:K64 K38:N38 D5:D30 L39:N64 A5:C36 H42:H64 A65:N65536 D1:D3 D37 P38:T64">
    <cfRule type="cellIs" priority="2" operator="equal" aboveAverage="0" equalAverage="0" bottom="0" percent="0" rank="0" text="" dxfId="13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H15" activeCellId="0" sqref="H15"/>
    </sheetView>
  </sheetViews>
  <sheetFormatPr defaultColWidth="9.9921875" defaultRowHeight="12.75" customHeight="true" zeroHeight="false" outlineLevelRow="0" outlineLevelCol="0"/>
  <cols>
    <col collapsed="false" customWidth="true" hidden="false" outlineLevel="0" max="1" min="1" style="0" width="6.56"/>
    <col collapsed="false" customWidth="true" hidden="false" outlineLevel="0" max="3" min="3" style="0" width="11.85"/>
    <col collapsed="false" customWidth="true" hidden="false" outlineLevel="0" max="4" min="4" style="1" width="24.13"/>
    <col collapsed="false" customWidth="true" hidden="false" outlineLevel="0" max="6" min="5" style="0" width="14.41"/>
    <col collapsed="false" customWidth="true" hidden="false" outlineLevel="0" max="7" min="7" style="0" width="14.56"/>
    <col collapsed="false" customWidth="true" hidden="false" outlineLevel="0" max="8" min="8" style="0" width="29.13"/>
    <col collapsed="false" customWidth="true" hidden="false" outlineLevel="0" max="9" min="9" style="0" width="26.7"/>
    <col collapsed="false" customWidth="true" hidden="false" outlineLevel="0" max="10" min="10" style="0" width="17.28"/>
    <col collapsed="false" customWidth="true" hidden="false" outlineLevel="0" max="11" min="11" style="0" width="14.41"/>
    <col collapsed="false" customWidth="true" hidden="false" outlineLevel="0" max="13" min="12" style="0" width="26.56"/>
    <col collapsed="false" customWidth="true" hidden="false" outlineLevel="0" max="14" min="14" style="2" width="15.28"/>
    <col collapsed="false" customWidth="true" hidden="false" outlineLevel="0" max="15" min="15" style="0" width="15.28"/>
    <col collapsed="false" customWidth="true" hidden="false" outlineLevel="0" max="16" min="16" style="2" width="15.28"/>
    <col collapsed="false" customWidth="true" hidden="false" outlineLevel="0" max="17" min="17" style="0" width="17.56"/>
    <col collapsed="false" customWidth="true" hidden="false" outlineLevel="0" max="18" min="18" style="2" width="2.56"/>
    <col collapsed="false" customWidth="true" hidden="false" outlineLevel="0" max="19" min="19" style="0" width="12.42"/>
    <col collapsed="false" customWidth="true" hidden="false" outlineLevel="0" max="20" min="20" style="1" width="14.56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3" t="s">
        <v>1</v>
      </c>
      <c r="B2" s="3"/>
      <c r="C2" s="4" t="n">
        <v>37013</v>
      </c>
      <c r="D2" s="5"/>
    </row>
    <row r="3" customFormat="false" ht="12.75" hidden="false" customHeight="false" outlineLevel="0" collapsed="false">
      <c r="A3" s="6"/>
      <c r="B3" s="6"/>
      <c r="C3" s="6"/>
      <c r="D3" s="7"/>
      <c r="E3" s="8" t="s">
        <v>2</v>
      </c>
      <c r="F3" s="8"/>
      <c r="G3" s="8"/>
      <c r="H3" s="9" t="s">
        <v>3</v>
      </c>
      <c r="I3" s="9"/>
      <c r="J3" s="9" t="s">
        <v>4</v>
      </c>
      <c r="K3" s="9"/>
      <c r="L3" s="9"/>
      <c r="M3" s="9"/>
      <c r="N3" s="10" t="s">
        <v>5</v>
      </c>
      <c r="O3" s="10"/>
      <c r="P3" s="10"/>
      <c r="Q3" s="10"/>
      <c r="R3" s="11"/>
      <c r="S3" s="10" t="s">
        <v>6</v>
      </c>
      <c r="T3" s="10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C4" s="12"/>
      <c r="E4" s="13"/>
      <c r="F4" s="14"/>
      <c r="G4" s="15"/>
      <c r="H4" s="16" t="s">
        <v>7</v>
      </c>
      <c r="I4" s="17" t="s">
        <v>7</v>
      </c>
      <c r="J4" s="16" t="s">
        <v>8</v>
      </c>
      <c r="K4" s="18" t="s">
        <v>9</v>
      </c>
      <c r="L4" s="18" t="s">
        <v>8</v>
      </c>
      <c r="M4" s="17" t="s">
        <v>9</v>
      </c>
      <c r="N4" s="19" t="s">
        <v>10</v>
      </c>
      <c r="O4" s="19"/>
      <c r="P4" s="19" t="s">
        <v>11</v>
      </c>
      <c r="Q4" s="19"/>
      <c r="R4" s="11"/>
      <c r="S4" s="20"/>
      <c r="T4" s="21"/>
    </row>
    <row r="5" customFormat="false" ht="12.75" hidden="false" customHeight="false" outlineLevel="0" collapsed="false">
      <c r="E5" s="16" t="s">
        <v>12</v>
      </c>
      <c r="F5" s="18" t="s">
        <v>12</v>
      </c>
      <c r="G5" s="17" t="s">
        <v>13</v>
      </c>
      <c r="H5" s="16" t="s">
        <v>14</v>
      </c>
      <c r="I5" s="17" t="s">
        <v>14</v>
      </c>
      <c r="J5" s="22" t="s">
        <v>15</v>
      </c>
      <c r="K5" s="18" t="s">
        <v>16</v>
      </c>
      <c r="L5" s="18" t="s">
        <v>17</v>
      </c>
      <c r="M5" s="17" t="s">
        <v>18</v>
      </c>
      <c r="N5" s="23"/>
      <c r="O5" s="15"/>
      <c r="P5" s="22"/>
      <c r="Q5" s="24" t="s">
        <v>19</v>
      </c>
      <c r="R5" s="11"/>
      <c r="S5" s="16" t="s">
        <v>20</v>
      </c>
      <c r="T5" s="25" t="s">
        <v>21</v>
      </c>
    </row>
    <row r="6" customFormat="false" ht="12.75" hidden="false" customHeight="false" outlineLevel="0" collapsed="false">
      <c r="A6" s="26" t="s">
        <v>22</v>
      </c>
      <c r="B6" s="27" t="s">
        <v>23</v>
      </c>
      <c r="C6" s="27" t="s">
        <v>24</v>
      </c>
      <c r="D6" s="28" t="s">
        <v>25</v>
      </c>
      <c r="E6" s="22" t="s">
        <v>26</v>
      </c>
      <c r="F6" s="5" t="s">
        <v>27</v>
      </c>
      <c r="G6" s="25" t="s">
        <v>28</v>
      </c>
      <c r="H6" s="22" t="s">
        <v>29</v>
      </c>
      <c r="I6" s="25" t="s">
        <v>30</v>
      </c>
      <c r="J6" s="22" t="s">
        <v>10</v>
      </c>
      <c r="K6" s="5" t="s">
        <v>10</v>
      </c>
      <c r="L6" s="5" t="s">
        <v>30</v>
      </c>
      <c r="M6" s="25" t="s">
        <v>30</v>
      </c>
      <c r="N6" s="22" t="s">
        <v>20</v>
      </c>
      <c r="O6" s="25" t="s">
        <v>21</v>
      </c>
      <c r="P6" s="22" t="s">
        <v>20</v>
      </c>
      <c r="Q6" s="29" t="s">
        <v>21</v>
      </c>
      <c r="R6" s="5"/>
      <c r="S6" s="22" t="s">
        <v>31</v>
      </c>
      <c r="T6" s="25" t="s">
        <v>32</v>
      </c>
      <c r="U6" s="30"/>
      <c r="V6" s="30"/>
    </row>
    <row r="7" customFormat="false" ht="12.75" hidden="false" customHeight="false" outlineLevel="0" collapsed="false">
      <c r="A7" s="31" t="n">
        <v>37013</v>
      </c>
      <c r="B7" s="32" t="n">
        <v>1</v>
      </c>
      <c r="C7" s="33" t="n">
        <v>17</v>
      </c>
      <c r="D7" s="34" t="n">
        <v>23</v>
      </c>
      <c r="E7" s="35" t="n">
        <v>4.75</v>
      </c>
      <c r="F7" s="35" t="n">
        <v>0</v>
      </c>
      <c r="G7" s="36" t="n">
        <v>62.2</v>
      </c>
      <c r="H7" s="37" t="n">
        <f aca="false">IF(C7&gt;0,G7-D7,"")</f>
        <v>39.2</v>
      </c>
      <c r="I7" s="38" t="n">
        <f aca="false">IF(C7&gt;0,H7*ABS(C7),"")</f>
        <v>666.4</v>
      </c>
      <c r="J7" s="39" t="n">
        <f aca="false">IF(C7=0,"",1)</f>
        <v>1</v>
      </c>
      <c r="K7" s="40" t="n">
        <f aca="false">IF(C7=0,"",G7-(D7+1))</f>
        <v>38.2</v>
      </c>
      <c r="L7" s="40" t="n">
        <f aca="false">IF(C7=0,"",C7*J7)</f>
        <v>17</v>
      </c>
      <c r="M7" s="21" t="n">
        <f aca="false">IF(C7=0,"",C7*K7)</f>
        <v>649.4</v>
      </c>
      <c r="N7" s="41" t="n">
        <f aca="false">IF(C7=0,"",D7)</f>
        <v>23</v>
      </c>
      <c r="O7" s="42" t="n">
        <f aca="false">IF(C7=0,"",D7+1)</f>
        <v>24</v>
      </c>
      <c r="P7" s="40" t="n">
        <f aca="false">IF(C7=0,"",N7*C7)</f>
        <v>391</v>
      </c>
      <c r="Q7" s="43" t="n">
        <f aca="false">IF(C7=0,"",O7*C7)</f>
        <v>408</v>
      </c>
      <c r="R7" s="44"/>
      <c r="S7" s="45" t="n">
        <f aca="false">IF(C7=0,"",L7)</f>
        <v>17</v>
      </c>
      <c r="T7" s="46" t="n">
        <f aca="false">IF(C7=0,"",M7)</f>
        <v>649.4</v>
      </c>
    </row>
    <row r="8" customFormat="false" ht="12.75" hidden="false" customHeight="false" outlineLevel="0" collapsed="false">
      <c r="A8" s="47" t="n">
        <v>37013</v>
      </c>
      <c r="B8" s="12" t="n">
        <v>2</v>
      </c>
      <c r="C8" s="48" t="n">
        <v>19</v>
      </c>
      <c r="D8" s="49" t="n">
        <v>20</v>
      </c>
      <c r="E8" s="50" t="n">
        <v>4.75</v>
      </c>
      <c r="F8" s="50" t="n">
        <v>0</v>
      </c>
      <c r="G8" s="51" t="n">
        <v>62.2</v>
      </c>
      <c r="H8" s="52" t="n">
        <f aca="false">IF(C8&gt;0,G8-D8,"")</f>
        <v>42.2</v>
      </c>
      <c r="I8" s="53" t="n">
        <f aca="false">IF(C8&gt;0,H8*ABS(C8),"")</f>
        <v>801.8</v>
      </c>
      <c r="J8" s="54" t="n">
        <f aca="false">IF(C8=0,"",1)</f>
        <v>1</v>
      </c>
      <c r="K8" s="44" t="n">
        <f aca="false">IF(C8=0,"",G8-(D8+1))</f>
        <v>41.2</v>
      </c>
      <c r="L8" s="44" t="n">
        <f aca="false">IF(C8=0,"",C8*J8)</f>
        <v>19</v>
      </c>
      <c r="M8" s="55" t="n">
        <f aca="false">IF(C8=0,"",C8*K8)</f>
        <v>782.8</v>
      </c>
      <c r="N8" s="56" t="n">
        <f aca="false">IF(C8=0,"",D8)</f>
        <v>20</v>
      </c>
      <c r="O8" s="57" t="n">
        <f aca="false">IF(C8=0,"",D8+1)</f>
        <v>21</v>
      </c>
      <c r="P8" s="44" t="n">
        <f aca="false">IF(C8=0,"",N8*C8)</f>
        <v>380</v>
      </c>
      <c r="Q8" s="58" t="n">
        <f aca="false">IF(C8=0,"",O8*C8)</f>
        <v>399</v>
      </c>
      <c r="R8" s="44"/>
      <c r="S8" s="59" t="n">
        <f aca="false">IF(C8=0,"",L8)</f>
        <v>19</v>
      </c>
      <c r="T8" s="60" t="n">
        <f aca="false">IF(C8=0,"",M8)</f>
        <v>782.8</v>
      </c>
    </row>
    <row r="9" customFormat="false" ht="12.75" hidden="false" customHeight="false" outlineLevel="0" collapsed="false">
      <c r="A9" s="47" t="n">
        <v>37013</v>
      </c>
      <c r="B9" s="12" t="n">
        <v>3</v>
      </c>
      <c r="C9" s="48" t="n">
        <v>17</v>
      </c>
      <c r="D9" s="49" t="n">
        <v>20</v>
      </c>
      <c r="E9" s="50" t="n">
        <v>4.75</v>
      </c>
      <c r="F9" s="50" t="n">
        <v>0</v>
      </c>
      <c r="G9" s="51" t="n">
        <v>62.2</v>
      </c>
      <c r="H9" s="52" t="n">
        <f aca="false">IF(C9&gt;0,G9-D9,"")</f>
        <v>42.2</v>
      </c>
      <c r="I9" s="53" t="n">
        <f aca="false">IF(C9&gt;0,H9*ABS(C9),"")</f>
        <v>717.4</v>
      </c>
      <c r="J9" s="54" t="n">
        <f aca="false">IF(C9=0,"",1)</f>
        <v>1</v>
      </c>
      <c r="K9" s="44" t="n">
        <f aca="false">IF(C9=0,"",G9-(D9+1))</f>
        <v>41.2</v>
      </c>
      <c r="L9" s="44" t="n">
        <f aca="false">IF(C9=0,"",C9*J9)</f>
        <v>17</v>
      </c>
      <c r="M9" s="55" t="n">
        <f aca="false">IF(C9=0,"",C9*K9)</f>
        <v>700.4</v>
      </c>
      <c r="N9" s="56" t="n">
        <f aca="false">IF(C9=0,"",D9)</f>
        <v>20</v>
      </c>
      <c r="O9" s="57" t="n">
        <f aca="false">IF(C9=0,"",D9+1)</f>
        <v>21</v>
      </c>
      <c r="P9" s="44" t="n">
        <f aca="false">IF(C9=0,"",N9*C9)</f>
        <v>340</v>
      </c>
      <c r="Q9" s="58" t="n">
        <f aca="false">IF(C9=0,"",O9*C9)</f>
        <v>357</v>
      </c>
      <c r="R9" s="44"/>
      <c r="S9" s="59" t="n">
        <f aca="false">IF(C9=0,"",L9)</f>
        <v>17</v>
      </c>
      <c r="T9" s="60" t="n">
        <f aca="false">IF(C9=0,"",M9)</f>
        <v>700.4</v>
      </c>
    </row>
    <row r="10" customFormat="false" ht="12.75" hidden="false" customHeight="false" outlineLevel="0" collapsed="false">
      <c r="A10" s="47" t="n">
        <v>37013</v>
      </c>
      <c r="B10" s="12" t="n">
        <v>4</v>
      </c>
      <c r="C10" s="48" t="n">
        <v>17</v>
      </c>
      <c r="D10" s="49" t="n">
        <v>20</v>
      </c>
      <c r="E10" s="50" t="n">
        <v>4.75</v>
      </c>
      <c r="F10" s="50" t="n">
        <v>0</v>
      </c>
      <c r="G10" s="51" t="n">
        <v>62.2</v>
      </c>
      <c r="H10" s="52" t="n">
        <f aca="false">IF(C10&gt;0,G10-D10,"")</f>
        <v>42.2</v>
      </c>
      <c r="I10" s="53" t="n">
        <f aca="false">IF(C10&gt;0,H10*ABS(C10),"")</f>
        <v>717.4</v>
      </c>
      <c r="J10" s="54" t="n">
        <f aca="false">IF(C10=0,"",1)</f>
        <v>1</v>
      </c>
      <c r="K10" s="44" t="n">
        <f aca="false">IF(C10=0,"",G10-(D10+1))</f>
        <v>41.2</v>
      </c>
      <c r="L10" s="44" t="n">
        <f aca="false">IF(C10=0,"",C10*J10)</f>
        <v>17</v>
      </c>
      <c r="M10" s="55" t="n">
        <f aca="false">IF(C10=0,"",C10*K10)</f>
        <v>700.4</v>
      </c>
      <c r="N10" s="56" t="n">
        <f aca="false">IF(C10=0,"",D10)</f>
        <v>20</v>
      </c>
      <c r="O10" s="57" t="n">
        <f aca="false">IF(C10=0,"",D10+1)</f>
        <v>21</v>
      </c>
      <c r="P10" s="44" t="n">
        <f aca="false">IF(C10=0,"",N10*C10)</f>
        <v>340</v>
      </c>
      <c r="Q10" s="58" t="n">
        <f aca="false">IF(C10=0,"",O10*C10)</f>
        <v>357</v>
      </c>
      <c r="R10" s="44"/>
      <c r="S10" s="59" t="n">
        <f aca="false">IF(C10=0,"",L10)</f>
        <v>17</v>
      </c>
      <c r="T10" s="60" t="n">
        <f aca="false">IF(C10=0,"",M10)</f>
        <v>700.4</v>
      </c>
    </row>
    <row r="11" customFormat="false" ht="12.75" hidden="false" customHeight="false" outlineLevel="0" collapsed="false">
      <c r="A11" s="47" t="n">
        <v>37013</v>
      </c>
      <c r="B11" s="12" t="n">
        <v>5</v>
      </c>
      <c r="C11" s="48" t="n">
        <v>16</v>
      </c>
      <c r="D11" s="49" t="n">
        <v>20</v>
      </c>
      <c r="E11" s="50" t="n">
        <v>4.75</v>
      </c>
      <c r="F11" s="50" t="n">
        <v>0</v>
      </c>
      <c r="G11" s="51" t="n">
        <v>62.2</v>
      </c>
      <c r="H11" s="52" t="n">
        <f aca="false">IF(C11&gt;0,G11-D11,"")</f>
        <v>42.2</v>
      </c>
      <c r="I11" s="53" t="n">
        <f aca="false">IF(C11&gt;0,H11*ABS(C11),"")</f>
        <v>675.2</v>
      </c>
      <c r="J11" s="54" t="n">
        <f aca="false">IF(C11=0,"",1)</f>
        <v>1</v>
      </c>
      <c r="K11" s="44" t="n">
        <f aca="false">IF(C11=0,"",G11-(D11+1))</f>
        <v>41.2</v>
      </c>
      <c r="L11" s="44" t="n">
        <f aca="false">IF(C11=0,"",C11*J11)</f>
        <v>16</v>
      </c>
      <c r="M11" s="55" t="n">
        <f aca="false">IF(C11=0,"",C11*K11)</f>
        <v>659.2</v>
      </c>
      <c r="N11" s="56" t="n">
        <f aca="false">IF(C11=0,"",D11)</f>
        <v>20</v>
      </c>
      <c r="O11" s="57" t="n">
        <f aca="false">IF(C11=0,"",D11+1)</f>
        <v>21</v>
      </c>
      <c r="P11" s="44" t="n">
        <f aca="false">IF(C11=0,"",N11*C11)</f>
        <v>320</v>
      </c>
      <c r="Q11" s="58" t="n">
        <f aca="false">IF(C11=0,"",O11*C11)</f>
        <v>336</v>
      </c>
      <c r="R11" s="44"/>
      <c r="S11" s="59" t="n">
        <f aca="false">IF(C11=0,"",L11)</f>
        <v>16</v>
      </c>
      <c r="T11" s="60" t="n">
        <f aca="false">IF(C11=0,"",M11)</f>
        <v>659.2</v>
      </c>
    </row>
    <row r="12" customFormat="false" ht="12.75" hidden="false" customHeight="false" outlineLevel="0" collapsed="false">
      <c r="A12" s="47" t="n">
        <v>37013</v>
      </c>
      <c r="B12" s="12" t="n">
        <v>6</v>
      </c>
      <c r="C12" s="48" t="n">
        <v>13</v>
      </c>
      <c r="D12" s="49" t="n">
        <v>20</v>
      </c>
      <c r="E12" s="50" t="n">
        <v>4.75</v>
      </c>
      <c r="F12" s="50" t="n">
        <v>0</v>
      </c>
      <c r="G12" s="51" t="n">
        <v>62.2</v>
      </c>
      <c r="H12" s="52" t="n">
        <f aca="false">IF(C12&gt;0,G12-D12,"")</f>
        <v>42.2</v>
      </c>
      <c r="I12" s="53" t="n">
        <f aca="false">IF(C12&gt;0,H12*ABS(C12),"")</f>
        <v>548.6</v>
      </c>
      <c r="J12" s="54" t="n">
        <f aca="false">IF(C12=0,"",1)</f>
        <v>1</v>
      </c>
      <c r="K12" s="44" t="n">
        <f aca="false">IF(C12=0,"",G12-(D12+1))</f>
        <v>41.2</v>
      </c>
      <c r="L12" s="44" t="n">
        <f aca="false">IF(C12=0,"",C12*J12)</f>
        <v>13</v>
      </c>
      <c r="M12" s="55" t="n">
        <f aca="false">IF(C12=0,"",C12*K12)</f>
        <v>535.6</v>
      </c>
      <c r="N12" s="56" t="n">
        <f aca="false">IF(C12=0,"",D12)</f>
        <v>20</v>
      </c>
      <c r="O12" s="57" t="n">
        <f aca="false">IF(C12=0,"",D12+1)</f>
        <v>21</v>
      </c>
      <c r="P12" s="44" t="n">
        <f aca="false">IF(C12=0,"",N12*C12)</f>
        <v>260</v>
      </c>
      <c r="Q12" s="58" t="n">
        <f aca="false">IF(C12=0,"",O12*C12)</f>
        <v>273</v>
      </c>
      <c r="R12" s="44"/>
      <c r="S12" s="59" t="n">
        <f aca="false">IF(C12=0,"",L12)</f>
        <v>13</v>
      </c>
      <c r="T12" s="60" t="n">
        <f aca="false">IF(C12=0,"",M12)</f>
        <v>535.6</v>
      </c>
    </row>
    <row r="13" customFormat="false" ht="12.75" hidden="false" customHeight="false" outlineLevel="0" collapsed="false">
      <c r="A13" s="47" t="n">
        <v>37013</v>
      </c>
      <c r="B13" s="12" t="n">
        <v>7</v>
      </c>
      <c r="C13" s="48" t="n">
        <v>16</v>
      </c>
      <c r="D13" s="49" t="n">
        <v>47.5</v>
      </c>
      <c r="E13" s="50" t="n">
        <v>4.75</v>
      </c>
      <c r="F13" s="50" t="n">
        <v>0</v>
      </c>
      <c r="G13" s="51" t="n">
        <v>62.2</v>
      </c>
      <c r="H13" s="52" t="n">
        <f aca="false">IF(C13&gt;0,G13-D13,"")</f>
        <v>14.7</v>
      </c>
      <c r="I13" s="53" t="n">
        <f aca="false">IF(C13&gt;0,H13*ABS(C13),"")</f>
        <v>235.2</v>
      </c>
      <c r="J13" s="54" t="n">
        <f aca="false">IF($C13=0,"",$H13*0.4)</f>
        <v>5.88</v>
      </c>
      <c r="K13" s="49" t="n">
        <f aca="false">IF($C13=0,"",$H13*0.6)</f>
        <v>8.82</v>
      </c>
      <c r="L13" s="49" t="n">
        <f aca="false">IF(C13=0,"",J13*$C13)</f>
        <v>94.08</v>
      </c>
      <c r="M13" s="55" t="n">
        <f aca="false">IF(C13=0,"",C13*K13)</f>
        <v>141.12</v>
      </c>
      <c r="N13" s="56" t="n">
        <f aca="false">IF(C13=0,"",D13)</f>
        <v>47.5</v>
      </c>
      <c r="O13" s="57" t="n">
        <f aca="false">IF(C13=0,"",D13+J13)</f>
        <v>53.38</v>
      </c>
      <c r="P13" s="44" t="n">
        <f aca="false">IF(C13=0,"",N13*C13)</f>
        <v>760</v>
      </c>
      <c r="Q13" s="58" t="n">
        <f aca="false">IF(C13=0,"",O13*C13)</f>
        <v>854.08</v>
      </c>
      <c r="R13" s="44"/>
      <c r="S13" s="59" t="n">
        <f aca="false">IF(C13=0,"",L13)</f>
        <v>94.08</v>
      </c>
      <c r="T13" s="60" t="n">
        <f aca="false">IF(C13=0,"",M13)</f>
        <v>141.12</v>
      </c>
    </row>
    <row r="14" customFormat="false" ht="12.75" hidden="false" customHeight="false" outlineLevel="0" collapsed="false">
      <c r="A14" s="47" t="n">
        <v>37013</v>
      </c>
      <c r="B14" s="12" t="n">
        <v>8</v>
      </c>
      <c r="C14" s="48" t="n">
        <v>25</v>
      </c>
      <c r="D14" s="49" t="n">
        <v>47.5</v>
      </c>
      <c r="E14" s="50" t="n">
        <v>4.75</v>
      </c>
      <c r="F14" s="50" t="n">
        <v>0</v>
      </c>
      <c r="G14" s="51" t="n">
        <v>62.2</v>
      </c>
      <c r="H14" s="52" t="n">
        <f aca="false">IF(C14&gt;0,G14-D14,"")</f>
        <v>14.7</v>
      </c>
      <c r="I14" s="53" t="n">
        <f aca="false">IF(C14&gt;0,H14*ABS(C14),"")</f>
        <v>367.5</v>
      </c>
      <c r="J14" s="54" t="n">
        <f aca="false">IF($C14=0,"",$H14*0.4)</f>
        <v>5.88</v>
      </c>
      <c r="K14" s="49" t="n">
        <f aca="false">IF($C14=0,"",$H14*0.6)</f>
        <v>8.82</v>
      </c>
      <c r="L14" s="49" t="n">
        <f aca="false">IF(C14=0,"",J14*$C14)</f>
        <v>147</v>
      </c>
      <c r="M14" s="55" t="n">
        <f aca="false">IF(C14=0,"",C14*K14)</f>
        <v>220.5</v>
      </c>
      <c r="N14" s="56" t="n">
        <f aca="false">IF(C14=0,"",D14)</f>
        <v>47.5</v>
      </c>
      <c r="O14" s="57" t="n">
        <f aca="false">IF(C14=0,"",D14+J14)</f>
        <v>53.38</v>
      </c>
      <c r="P14" s="44" t="n">
        <f aca="false">IF(C14=0,"",N14*C14)</f>
        <v>1187.5</v>
      </c>
      <c r="Q14" s="58" t="n">
        <f aca="false">IF(C14=0,"",O14*C14)</f>
        <v>1334.5</v>
      </c>
      <c r="R14" s="44"/>
      <c r="S14" s="59" t="n">
        <f aca="false">IF(C14=0,"",L14)</f>
        <v>147</v>
      </c>
      <c r="T14" s="60" t="n">
        <f aca="false">IF(C14=0,"",M14)</f>
        <v>220.5</v>
      </c>
    </row>
    <row r="15" customFormat="false" ht="12.75" hidden="false" customHeight="false" outlineLevel="0" collapsed="false">
      <c r="A15" s="47" t="n">
        <v>37013</v>
      </c>
      <c r="B15" s="12" t="n">
        <v>9</v>
      </c>
      <c r="C15" s="48" t="n">
        <v>25</v>
      </c>
      <c r="D15" s="49" t="n">
        <v>47.5</v>
      </c>
      <c r="E15" s="50" t="n">
        <v>4.75</v>
      </c>
      <c r="F15" s="50" t="n">
        <v>0</v>
      </c>
      <c r="G15" s="51" t="n">
        <v>62.2</v>
      </c>
      <c r="H15" s="52" t="n">
        <f aca="false">IF(C15&gt;0,G15-D15,"")</f>
        <v>14.7</v>
      </c>
      <c r="I15" s="53" t="n">
        <f aca="false">IF(C15&gt;0,H15*ABS(C15),"")</f>
        <v>367.5</v>
      </c>
      <c r="J15" s="54" t="n">
        <f aca="false">IF($C15=0,"",$H15*0.4)</f>
        <v>5.88</v>
      </c>
      <c r="K15" s="49" t="n">
        <f aca="false">IF($C15=0,"",$H15*0.6)</f>
        <v>8.82</v>
      </c>
      <c r="L15" s="49" t="n">
        <f aca="false">IF(C15=0,"",J15*$C15)</f>
        <v>147</v>
      </c>
      <c r="M15" s="55" t="n">
        <f aca="false">IF(C15=0,"",C15*K15)</f>
        <v>220.5</v>
      </c>
      <c r="N15" s="56" t="n">
        <f aca="false">IF(C15=0,"",D15)</f>
        <v>47.5</v>
      </c>
      <c r="O15" s="57" t="n">
        <f aca="false">IF(C15=0,"",D15+J15)</f>
        <v>53.38</v>
      </c>
      <c r="P15" s="44" t="n">
        <f aca="false">IF(C15=0,"",N15*C15)</f>
        <v>1187.5</v>
      </c>
      <c r="Q15" s="58" t="n">
        <f aca="false">IF(C15=0,"",O15*C15)</f>
        <v>1334.5</v>
      </c>
      <c r="R15" s="44"/>
      <c r="S15" s="59" t="n">
        <f aca="false">IF(C15=0,"",L15)</f>
        <v>147</v>
      </c>
      <c r="T15" s="60" t="n">
        <f aca="false">IF(C15=0,"",M15)</f>
        <v>220.5</v>
      </c>
    </row>
    <row r="16" customFormat="false" ht="12.75" hidden="false" customHeight="false" outlineLevel="0" collapsed="false">
      <c r="A16" s="47" t="n">
        <v>37013</v>
      </c>
      <c r="B16" s="12" t="n">
        <v>10</v>
      </c>
      <c r="C16" s="48" t="n">
        <v>25</v>
      </c>
      <c r="D16" s="49" t="n">
        <v>47.5</v>
      </c>
      <c r="E16" s="50" t="n">
        <v>4.75</v>
      </c>
      <c r="F16" s="50" t="n">
        <v>0</v>
      </c>
      <c r="G16" s="51" t="n">
        <v>62.2</v>
      </c>
      <c r="H16" s="52" t="n">
        <f aca="false">IF(C16&gt;0,G16-D16,"")</f>
        <v>14.7</v>
      </c>
      <c r="I16" s="53" t="n">
        <f aca="false">IF(C16&gt;0,H16*ABS(C16),"")</f>
        <v>367.5</v>
      </c>
      <c r="J16" s="54" t="n">
        <f aca="false">IF($C16=0,"",$H16*0.4)</f>
        <v>5.88</v>
      </c>
      <c r="K16" s="49" t="n">
        <f aca="false">IF($C16=0,"",$H16*0.6)</f>
        <v>8.82</v>
      </c>
      <c r="L16" s="49" t="n">
        <f aca="false">IF(C16=0,"",J16*$C16)</f>
        <v>147</v>
      </c>
      <c r="M16" s="55" t="n">
        <f aca="false">IF(C16=0,"",C16*K16)</f>
        <v>220.5</v>
      </c>
      <c r="N16" s="56" t="n">
        <f aca="false">IF(C16=0,"",D16)</f>
        <v>47.5</v>
      </c>
      <c r="O16" s="57" t="n">
        <f aca="false">IF(C16=0,"",D16+J16)</f>
        <v>53.38</v>
      </c>
      <c r="P16" s="44" t="n">
        <f aca="false">IF(C16=0,"",N16*C16)</f>
        <v>1187.5</v>
      </c>
      <c r="Q16" s="58" t="n">
        <f aca="false">IF(C16=0,"",O16*C16)</f>
        <v>1334.5</v>
      </c>
      <c r="R16" s="44"/>
      <c r="S16" s="59" t="n">
        <f aca="false">IF(C16=0,"",L16)</f>
        <v>147</v>
      </c>
      <c r="T16" s="60" t="n">
        <f aca="false">IF(C16=0,"",M16)</f>
        <v>220.5</v>
      </c>
    </row>
    <row r="17" customFormat="false" ht="12.75" hidden="false" customHeight="false" outlineLevel="0" collapsed="false">
      <c r="A17" s="47" t="n">
        <v>37013</v>
      </c>
      <c r="B17" s="12" t="n">
        <v>11</v>
      </c>
      <c r="C17" s="48" t="n">
        <v>25</v>
      </c>
      <c r="D17" s="49" t="n">
        <v>47.5</v>
      </c>
      <c r="E17" s="50" t="n">
        <v>4.75</v>
      </c>
      <c r="F17" s="50" t="n">
        <v>0</v>
      </c>
      <c r="G17" s="51" t="n">
        <v>62.2</v>
      </c>
      <c r="H17" s="52" t="n">
        <f aca="false">IF(C17&gt;0,G17-D17,"")</f>
        <v>14.7</v>
      </c>
      <c r="I17" s="53" t="n">
        <f aca="false">IF(C17&gt;0,H17*ABS(C17),"")</f>
        <v>367.5</v>
      </c>
      <c r="J17" s="54" t="n">
        <f aca="false">IF($C17=0,"",$H17*0.4)</f>
        <v>5.88</v>
      </c>
      <c r="K17" s="49" t="n">
        <f aca="false">IF($C17=0,"",$H17*0.6)</f>
        <v>8.82</v>
      </c>
      <c r="L17" s="49" t="n">
        <f aca="false">IF(C17=0,"",J17*$C17)</f>
        <v>147</v>
      </c>
      <c r="M17" s="55" t="n">
        <f aca="false">IF(C17=0,"",C17*K17)</f>
        <v>220.5</v>
      </c>
      <c r="N17" s="56" t="n">
        <f aca="false">IF(C17=0,"",D17)</f>
        <v>47.5</v>
      </c>
      <c r="O17" s="57" t="n">
        <f aca="false">IF(C17=0,"",D17+J17)</f>
        <v>53.38</v>
      </c>
      <c r="P17" s="44" t="n">
        <f aca="false">IF(C17=0,"",N17*C17)</f>
        <v>1187.5</v>
      </c>
      <c r="Q17" s="58" t="n">
        <f aca="false">IF(C17=0,"",O17*C17)</f>
        <v>1334.5</v>
      </c>
      <c r="R17" s="44"/>
      <c r="S17" s="59" t="n">
        <f aca="false">IF(C17=0,"",L17)</f>
        <v>147</v>
      </c>
      <c r="T17" s="60" t="n">
        <f aca="false">IF(C17=0,"",M17)</f>
        <v>220.5</v>
      </c>
    </row>
    <row r="18" customFormat="false" ht="12.75" hidden="false" customHeight="false" outlineLevel="0" collapsed="false">
      <c r="A18" s="47" t="n">
        <v>37013</v>
      </c>
      <c r="B18" s="12" t="n">
        <v>12</v>
      </c>
      <c r="C18" s="48" t="n">
        <v>25</v>
      </c>
      <c r="D18" s="49" t="n">
        <v>47.5</v>
      </c>
      <c r="E18" s="50" t="n">
        <v>4.75</v>
      </c>
      <c r="F18" s="50" t="n">
        <v>0</v>
      </c>
      <c r="G18" s="51" t="n">
        <v>62.2</v>
      </c>
      <c r="H18" s="52" t="n">
        <f aca="false">IF(C18&gt;0,G18-D18,"")</f>
        <v>14.7</v>
      </c>
      <c r="I18" s="53" t="n">
        <f aca="false">IF(C18&gt;0,H18*ABS(C18),"")</f>
        <v>367.5</v>
      </c>
      <c r="J18" s="54" t="n">
        <f aca="false">IF($C18=0,"",$H18*0.4)</f>
        <v>5.88</v>
      </c>
      <c r="K18" s="49" t="n">
        <f aca="false">IF($C18=0,"",$H18*0.6)</f>
        <v>8.82</v>
      </c>
      <c r="L18" s="49" t="n">
        <f aca="false">IF(C18=0,"",J18*$C18)</f>
        <v>147</v>
      </c>
      <c r="M18" s="55" t="n">
        <f aca="false">IF(C18=0,"",C18*K18)</f>
        <v>220.5</v>
      </c>
      <c r="N18" s="56" t="n">
        <f aca="false">IF(C18=0,"",D18)</f>
        <v>47.5</v>
      </c>
      <c r="O18" s="57" t="n">
        <f aca="false">IF(C18=0,"",D18+J18)</f>
        <v>53.38</v>
      </c>
      <c r="P18" s="44" t="n">
        <f aca="false">IF(C18=0,"",N18*C18)</f>
        <v>1187.5</v>
      </c>
      <c r="Q18" s="58" t="n">
        <f aca="false">IF(C18=0,"",O18*C18)</f>
        <v>1334.5</v>
      </c>
      <c r="R18" s="44"/>
      <c r="S18" s="59" t="n">
        <f aca="false">IF(C18=0,"",L18)</f>
        <v>147</v>
      </c>
      <c r="T18" s="60" t="n">
        <f aca="false">IF(C18=0,"",M18)</f>
        <v>220.5</v>
      </c>
    </row>
    <row r="19" customFormat="false" ht="12.75" hidden="false" customHeight="false" outlineLevel="0" collapsed="false">
      <c r="A19" s="47" t="n">
        <v>37013</v>
      </c>
      <c r="B19" s="12" t="n">
        <v>13</v>
      </c>
      <c r="C19" s="48" t="n">
        <v>25</v>
      </c>
      <c r="D19" s="49" t="n">
        <v>47.5</v>
      </c>
      <c r="E19" s="50" t="n">
        <v>4.75</v>
      </c>
      <c r="F19" s="50" t="n">
        <v>0</v>
      </c>
      <c r="G19" s="51" t="n">
        <v>62.2</v>
      </c>
      <c r="H19" s="52" t="n">
        <f aca="false">IF(C19&gt;0,G19-D19,"")</f>
        <v>14.7</v>
      </c>
      <c r="I19" s="53" t="n">
        <f aca="false">IF(C19&gt;0,H19*ABS(C19),"")</f>
        <v>367.5</v>
      </c>
      <c r="J19" s="54" t="n">
        <f aca="false">IF($C19=0,"",$H19*0.4)</f>
        <v>5.88</v>
      </c>
      <c r="K19" s="49" t="n">
        <f aca="false">IF($C19=0,"",$H19*0.6)</f>
        <v>8.82</v>
      </c>
      <c r="L19" s="49" t="n">
        <f aca="false">IF(C19=0,"",J19*$C19)</f>
        <v>147</v>
      </c>
      <c r="M19" s="55" t="n">
        <f aca="false">IF(C19=0,"",C19*K19)</f>
        <v>220.5</v>
      </c>
      <c r="N19" s="56" t="n">
        <f aca="false">IF(C19=0,"",D19)</f>
        <v>47.5</v>
      </c>
      <c r="O19" s="57" t="n">
        <f aca="false">IF(C19=0,"",D19+J19)</f>
        <v>53.38</v>
      </c>
      <c r="P19" s="44" t="n">
        <f aca="false">IF(C19=0,"",N19*C19)</f>
        <v>1187.5</v>
      </c>
      <c r="Q19" s="58" t="n">
        <f aca="false">IF(C19=0,"",O19*C19)</f>
        <v>1334.5</v>
      </c>
      <c r="R19" s="44"/>
      <c r="S19" s="59" t="n">
        <f aca="false">IF(C19=0,"",L19)</f>
        <v>147</v>
      </c>
      <c r="T19" s="60" t="n">
        <f aca="false">IF(C19=0,"",M19)</f>
        <v>220.5</v>
      </c>
    </row>
    <row r="20" customFormat="false" ht="12.75" hidden="false" customHeight="false" outlineLevel="0" collapsed="false">
      <c r="A20" s="47" t="n">
        <v>37013</v>
      </c>
      <c r="B20" s="12" t="n">
        <v>14</v>
      </c>
      <c r="C20" s="48" t="n">
        <v>25</v>
      </c>
      <c r="D20" s="49" t="n">
        <v>47.5</v>
      </c>
      <c r="E20" s="50" t="n">
        <v>4.75</v>
      </c>
      <c r="F20" s="50" t="n">
        <v>0</v>
      </c>
      <c r="G20" s="51" t="n">
        <v>62.2</v>
      </c>
      <c r="H20" s="52" t="n">
        <f aca="false">IF(C20&gt;0,G20-D20,"")</f>
        <v>14.7</v>
      </c>
      <c r="I20" s="53" t="n">
        <f aca="false">IF(C20&gt;0,H20*ABS(C20),"")</f>
        <v>367.5</v>
      </c>
      <c r="J20" s="54" t="n">
        <f aca="false">IF($C20=0,"",$H20*0.4)</f>
        <v>5.88</v>
      </c>
      <c r="K20" s="49" t="n">
        <f aca="false">IF($C20=0,"",$H20*0.6)</f>
        <v>8.82</v>
      </c>
      <c r="L20" s="49" t="n">
        <f aca="false">IF(C20=0,"",J20*$C20)</f>
        <v>147</v>
      </c>
      <c r="M20" s="55" t="n">
        <f aca="false">IF(C20=0,"",C20*K20)</f>
        <v>220.5</v>
      </c>
      <c r="N20" s="56" t="n">
        <f aca="false">IF(C20=0,"",D20)</f>
        <v>47.5</v>
      </c>
      <c r="O20" s="57" t="n">
        <f aca="false">IF(C20=0,"",D20+J20)</f>
        <v>53.38</v>
      </c>
      <c r="P20" s="44" t="n">
        <f aca="false">IF(C20=0,"",N20*C20)</f>
        <v>1187.5</v>
      </c>
      <c r="Q20" s="58" t="n">
        <f aca="false">IF(C20=0,"",O20*C20)</f>
        <v>1334.5</v>
      </c>
      <c r="R20" s="44"/>
      <c r="S20" s="59" t="n">
        <f aca="false">IF(C20=0,"",L20)</f>
        <v>147</v>
      </c>
      <c r="T20" s="60" t="n">
        <f aca="false">IF(C20=0,"",M20)</f>
        <v>220.5</v>
      </c>
    </row>
    <row r="21" customFormat="false" ht="12.75" hidden="false" customHeight="false" outlineLevel="0" collapsed="false">
      <c r="A21" s="47" t="n">
        <v>37013</v>
      </c>
      <c r="B21" s="12" t="n">
        <v>15</v>
      </c>
      <c r="C21" s="48" t="n">
        <v>25</v>
      </c>
      <c r="D21" s="49" t="n">
        <v>47.5</v>
      </c>
      <c r="E21" s="50" t="n">
        <v>4.75</v>
      </c>
      <c r="F21" s="50" t="n">
        <v>0</v>
      </c>
      <c r="G21" s="51" t="n">
        <v>62.2</v>
      </c>
      <c r="H21" s="52" t="n">
        <f aca="false">IF(C21&gt;0,G21-D21,"")</f>
        <v>14.7</v>
      </c>
      <c r="I21" s="53" t="n">
        <f aca="false">IF(C21&gt;0,H21*ABS(C21),"")</f>
        <v>367.5</v>
      </c>
      <c r="J21" s="54" t="n">
        <f aca="false">IF($C21=0,"",$H21*0.4)</f>
        <v>5.88</v>
      </c>
      <c r="K21" s="49" t="n">
        <f aca="false">IF($C21=0,"",$H21*0.6)</f>
        <v>8.82</v>
      </c>
      <c r="L21" s="49" t="n">
        <f aca="false">IF(C21=0,"",J21*$C21)</f>
        <v>147</v>
      </c>
      <c r="M21" s="55" t="n">
        <f aca="false">IF(C21=0,"",C21*K21)</f>
        <v>220.5</v>
      </c>
      <c r="N21" s="56" t="n">
        <f aca="false">IF(C21=0,"",D21)</f>
        <v>47.5</v>
      </c>
      <c r="O21" s="57" t="n">
        <f aca="false">IF(C21=0,"",D21+J21)</f>
        <v>53.38</v>
      </c>
      <c r="P21" s="44" t="n">
        <f aca="false">IF(C21=0,"",N21*C21)</f>
        <v>1187.5</v>
      </c>
      <c r="Q21" s="58" t="n">
        <f aca="false">IF(C21=0,"",O21*C21)</f>
        <v>1334.5</v>
      </c>
      <c r="R21" s="44"/>
      <c r="S21" s="59" t="n">
        <f aca="false">IF(C21=0,"",L21)</f>
        <v>147</v>
      </c>
      <c r="T21" s="60" t="n">
        <f aca="false">IF(C21=0,"",M21)</f>
        <v>220.5</v>
      </c>
    </row>
    <row r="22" customFormat="false" ht="12.75" hidden="false" customHeight="false" outlineLevel="0" collapsed="false">
      <c r="A22" s="47" t="n">
        <v>37013</v>
      </c>
      <c r="B22" s="12" t="n">
        <v>16</v>
      </c>
      <c r="C22" s="48" t="n">
        <v>25</v>
      </c>
      <c r="D22" s="49" t="n">
        <v>47.5</v>
      </c>
      <c r="E22" s="50" t="n">
        <v>4.75</v>
      </c>
      <c r="F22" s="50" t="n">
        <v>0</v>
      </c>
      <c r="G22" s="51" t="n">
        <v>62.2</v>
      </c>
      <c r="H22" s="52" t="n">
        <f aca="false">IF(C22&gt;0,G22-D22,"")</f>
        <v>14.7</v>
      </c>
      <c r="I22" s="53" t="n">
        <f aca="false">IF(C22&gt;0,H22*ABS(C22),"")</f>
        <v>367.5</v>
      </c>
      <c r="J22" s="54" t="n">
        <f aca="false">IF($C22=0,"",$H22*0.4)</f>
        <v>5.88</v>
      </c>
      <c r="K22" s="49" t="n">
        <f aca="false">IF($C22=0,"",$H22*0.6)</f>
        <v>8.82</v>
      </c>
      <c r="L22" s="49" t="n">
        <f aca="false">IF(C22=0,"",J22*$C22)</f>
        <v>147</v>
      </c>
      <c r="M22" s="55" t="n">
        <f aca="false">IF(C22=0,"",C22*K22)</f>
        <v>220.5</v>
      </c>
      <c r="N22" s="56" t="n">
        <f aca="false">IF(C22=0,"",D22)</f>
        <v>47.5</v>
      </c>
      <c r="O22" s="57" t="n">
        <f aca="false">IF(C22=0,"",D22+J22)</f>
        <v>53.38</v>
      </c>
      <c r="P22" s="44" t="n">
        <f aca="false">IF(C22=0,"",N22*C22)</f>
        <v>1187.5</v>
      </c>
      <c r="Q22" s="58" t="n">
        <f aca="false">IF(C22=0,"",O22*C22)</f>
        <v>1334.5</v>
      </c>
      <c r="R22" s="44"/>
      <c r="S22" s="59" t="n">
        <f aca="false">IF(C22=0,"",L22)</f>
        <v>147</v>
      </c>
      <c r="T22" s="60" t="n">
        <f aca="false">IF(C22=0,"",M22)</f>
        <v>220.5</v>
      </c>
    </row>
    <row r="23" customFormat="false" ht="12.75" hidden="false" customHeight="false" outlineLevel="0" collapsed="false">
      <c r="A23" s="47" t="n">
        <v>37013</v>
      </c>
      <c r="B23" s="12" t="n">
        <v>17</v>
      </c>
      <c r="C23" s="48" t="n">
        <v>25</v>
      </c>
      <c r="D23" s="49" t="n">
        <v>47.5</v>
      </c>
      <c r="E23" s="50" t="n">
        <v>4.75</v>
      </c>
      <c r="F23" s="50" t="n">
        <v>0</v>
      </c>
      <c r="G23" s="51" t="n">
        <v>62.2</v>
      </c>
      <c r="H23" s="52" t="n">
        <f aca="false">IF(C23&gt;0,G23-D23,"")</f>
        <v>14.7</v>
      </c>
      <c r="I23" s="53" t="n">
        <f aca="false">IF(C23&gt;0,H23*ABS(C23),"")</f>
        <v>367.5</v>
      </c>
      <c r="J23" s="54" t="n">
        <f aca="false">IF($C23=0,"",$H23*0.4)</f>
        <v>5.88</v>
      </c>
      <c r="K23" s="49" t="n">
        <f aca="false">IF($C23=0,"",$H23*0.6)</f>
        <v>8.82</v>
      </c>
      <c r="L23" s="49" t="n">
        <f aca="false">IF(C23=0,"",J23*$C23)</f>
        <v>147</v>
      </c>
      <c r="M23" s="55" t="n">
        <f aca="false">IF(C23=0,"",C23*K23)</f>
        <v>220.5</v>
      </c>
      <c r="N23" s="56" t="n">
        <f aca="false">IF(C23=0,"",D23)</f>
        <v>47.5</v>
      </c>
      <c r="O23" s="57" t="n">
        <f aca="false">IF(C23=0,"",D23+J23)</f>
        <v>53.38</v>
      </c>
      <c r="P23" s="44" t="n">
        <f aca="false">IF(C23=0,"",N23*C23)</f>
        <v>1187.5</v>
      </c>
      <c r="Q23" s="58" t="n">
        <f aca="false">IF(C23=0,"",O23*C23)</f>
        <v>1334.5</v>
      </c>
      <c r="R23" s="44"/>
      <c r="S23" s="59" t="n">
        <f aca="false">IF(C23=0,"",L23)</f>
        <v>147</v>
      </c>
      <c r="T23" s="60" t="n">
        <f aca="false">IF(C23=0,"",M23)</f>
        <v>220.5</v>
      </c>
    </row>
    <row r="24" customFormat="false" ht="12.75" hidden="false" customHeight="false" outlineLevel="0" collapsed="false">
      <c r="A24" s="47" t="n">
        <v>37013</v>
      </c>
      <c r="B24" s="12" t="n">
        <v>18</v>
      </c>
      <c r="C24" s="48" t="n">
        <v>25</v>
      </c>
      <c r="D24" s="49" t="n">
        <v>47.5</v>
      </c>
      <c r="E24" s="50" t="n">
        <v>4.75</v>
      </c>
      <c r="F24" s="50" t="n">
        <v>0</v>
      </c>
      <c r="G24" s="51" t="n">
        <v>62.2</v>
      </c>
      <c r="H24" s="52" t="n">
        <f aca="false">IF(C24&gt;0,G24-D24,"")</f>
        <v>14.7</v>
      </c>
      <c r="I24" s="53" t="n">
        <f aca="false">IF(C24&gt;0,H24*ABS(C24),"")</f>
        <v>367.5</v>
      </c>
      <c r="J24" s="54" t="n">
        <f aca="false">IF($C24=0,"",$H24*0.4)</f>
        <v>5.88</v>
      </c>
      <c r="K24" s="49" t="n">
        <f aca="false">IF($C24=0,"",$H24*0.6)</f>
        <v>8.82</v>
      </c>
      <c r="L24" s="49" t="n">
        <f aca="false">IF(C24=0,"",J24*$C24)</f>
        <v>147</v>
      </c>
      <c r="M24" s="55" t="n">
        <f aca="false">IF(C24=0,"",C24*K24)</f>
        <v>220.5</v>
      </c>
      <c r="N24" s="56" t="n">
        <f aca="false">IF(C24=0,"",D24)</f>
        <v>47.5</v>
      </c>
      <c r="O24" s="57" t="n">
        <f aca="false">IF(C24=0,"",D24+J24)</f>
        <v>53.38</v>
      </c>
      <c r="P24" s="44" t="n">
        <f aca="false">IF(C24=0,"",N24*C24)</f>
        <v>1187.5</v>
      </c>
      <c r="Q24" s="58" t="n">
        <f aca="false">IF(C24=0,"",O24*C24)</f>
        <v>1334.5</v>
      </c>
      <c r="R24" s="44"/>
      <c r="S24" s="59" t="n">
        <f aca="false">IF(C24=0,"",L24)</f>
        <v>147</v>
      </c>
      <c r="T24" s="60" t="n">
        <f aca="false">IF(C24=0,"",M24)</f>
        <v>220.5</v>
      </c>
    </row>
    <row r="25" customFormat="false" ht="12.75" hidden="false" customHeight="false" outlineLevel="0" collapsed="false">
      <c r="A25" s="47" t="n">
        <v>37013</v>
      </c>
      <c r="B25" s="12" t="n">
        <v>19</v>
      </c>
      <c r="C25" s="48" t="n">
        <v>25</v>
      </c>
      <c r="D25" s="49" t="n">
        <v>47.5</v>
      </c>
      <c r="E25" s="50" t="n">
        <v>4.75</v>
      </c>
      <c r="F25" s="50" t="n">
        <v>0</v>
      </c>
      <c r="G25" s="51" t="n">
        <v>62.2</v>
      </c>
      <c r="H25" s="52" t="n">
        <f aca="false">IF(C25&gt;0,G25-D25,"")</f>
        <v>14.7</v>
      </c>
      <c r="I25" s="53" t="n">
        <f aca="false">IF(C25&gt;0,H25*ABS(C25),"")</f>
        <v>367.5</v>
      </c>
      <c r="J25" s="54" t="n">
        <f aca="false">IF($C25=0,"",$H25*0.4)</f>
        <v>5.88</v>
      </c>
      <c r="K25" s="49" t="n">
        <f aca="false">IF($C25=0,"",$H25*0.6)</f>
        <v>8.82</v>
      </c>
      <c r="L25" s="49" t="n">
        <f aca="false">IF(C25=0,"",J25*$C25)</f>
        <v>147</v>
      </c>
      <c r="M25" s="55" t="n">
        <f aca="false">IF(C25=0,"",C25*K25)</f>
        <v>220.5</v>
      </c>
      <c r="N25" s="56" t="n">
        <f aca="false">IF(C25=0,"",D25)</f>
        <v>47.5</v>
      </c>
      <c r="O25" s="57" t="n">
        <f aca="false">IF(C25=0,"",D25+J25)</f>
        <v>53.38</v>
      </c>
      <c r="P25" s="44" t="n">
        <f aca="false">IF(C25=0,"",N25*C25)</f>
        <v>1187.5</v>
      </c>
      <c r="Q25" s="58" t="n">
        <f aca="false">IF(C25=0,"",O25*C25)</f>
        <v>1334.5</v>
      </c>
      <c r="R25" s="44"/>
      <c r="S25" s="59" t="n">
        <f aca="false">IF(C25=0,"",L25)</f>
        <v>147</v>
      </c>
      <c r="T25" s="60" t="n">
        <f aca="false">IF(C25=0,"",M25)</f>
        <v>220.5</v>
      </c>
    </row>
    <row r="26" customFormat="false" ht="12.75" hidden="false" customHeight="false" outlineLevel="0" collapsed="false">
      <c r="A26" s="47" t="n">
        <v>37013</v>
      </c>
      <c r="B26" s="12" t="n">
        <v>20</v>
      </c>
      <c r="C26" s="48" t="n">
        <v>25</v>
      </c>
      <c r="D26" s="49" t="n">
        <v>47.5</v>
      </c>
      <c r="E26" s="50" t="n">
        <v>4.75</v>
      </c>
      <c r="F26" s="50" t="n">
        <v>0</v>
      </c>
      <c r="G26" s="51" t="n">
        <v>62.2</v>
      </c>
      <c r="H26" s="52" t="n">
        <f aca="false">IF(C26&gt;0,G26-D26,"")</f>
        <v>14.7</v>
      </c>
      <c r="I26" s="53" t="n">
        <f aca="false">IF(C26&gt;0,H26*ABS(C26),"")</f>
        <v>367.5</v>
      </c>
      <c r="J26" s="54" t="n">
        <f aca="false">IF($C26=0,"",$H26*0.4)</f>
        <v>5.88</v>
      </c>
      <c r="K26" s="49" t="n">
        <f aca="false">IF($C26=0,"",$H26*0.6)</f>
        <v>8.82</v>
      </c>
      <c r="L26" s="49" t="n">
        <f aca="false">IF(C26=0,"",J26*$C26)</f>
        <v>147</v>
      </c>
      <c r="M26" s="55" t="n">
        <f aca="false">IF(C26=0,"",C26*K26)</f>
        <v>220.5</v>
      </c>
      <c r="N26" s="56" t="n">
        <f aca="false">IF(C26=0,"",D26)</f>
        <v>47.5</v>
      </c>
      <c r="O26" s="57" t="n">
        <f aca="false">IF(C26=0,"",D26+J26)</f>
        <v>53.38</v>
      </c>
      <c r="P26" s="44" t="n">
        <f aca="false">IF(C26=0,"",N26*C26)</f>
        <v>1187.5</v>
      </c>
      <c r="Q26" s="58" t="n">
        <f aca="false">IF(C26=0,"",O26*C26)</f>
        <v>1334.5</v>
      </c>
      <c r="R26" s="44"/>
      <c r="S26" s="59" t="n">
        <f aca="false">IF(C26=0,"",L26)</f>
        <v>147</v>
      </c>
      <c r="T26" s="60" t="n">
        <f aca="false">IF(C26=0,"",M26)</f>
        <v>220.5</v>
      </c>
    </row>
    <row r="27" customFormat="false" ht="12.75" hidden="false" customHeight="false" outlineLevel="0" collapsed="false">
      <c r="A27" s="47" t="n">
        <v>37013</v>
      </c>
      <c r="B27" s="12" t="n">
        <v>21</v>
      </c>
      <c r="C27" s="48" t="n">
        <v>25</v>
      </c>
      <c r="D27" s="49" t="n">
        <v>47.5</v>
      </c>
      <c r="E27" s="50" t="n">
        <v>4.75</v>
      </c>
      <c r="F27" s="50" t="n">
        <v>0</v>
      </c>
      <c r="G27" s="51" t="n">
        <v>62.2</v>
      </c>
      <c r="H27" s="52" t="n">
        <f aca="false">IF(C27&gt;0,G27-D27,"")</f>
        <v>14.7</v>
      </c>
      <c r="I27" s="53" t="n">
        <f aca="false">IF(C27&gt;0,H27*ABS(C27),"")</f>
        <v>367.5</v>
      </c>
      <c r="J27" s="54" t="n">
        <f aca="false">IF($C27=0,"",$H27*0.4)</f>
        <v>5.88</v>
      </c>
      <c r="K27" s="49" t="n">
        <f aca="false">IF($C27=0,"",$H27*0.6)</f>
        <v>8.82</v>
      </c>
      <c r="L27" s="49" t="n">
        <f aca="false">IF(C27=0,"",J27*$C27)</f>
        <v>147</v>
      </c>
      <c r="M27" s="55" t="n">
        <f aca="false">IF(C27=0,"",C27*K27)</f>
        <v>220.5</v>
      </c>
      <c r="N27" s="56" t="n">
        <f aca="false">IF(C27=0,"",D27)</f>
        <v>47.5</v>
      </c>
      <c r="O27" s="57" t="n">
        <f aca="false">IF(C27=0,"",D27+J27)</f>
        <v>53.38</v>
      </c>
      <c r="P27" s="44" t="n">
        <f aca="false">IF(C27=0,"",N27*C27)</f>
        <v>1187.5</v>
      </c>
      <c r="Q27" s="58" t="n">
        <f aca="false">IF(C27=0,"",O27*C27)</f>
        <v>1334.5</v>
      </c>
      <c r="R27" s="44"/>
      <c r="S27" s="59" t="n">
        <f aca="false">IF(C27=0,"",L27)</f>
        <v>147</v>
      </c>
      <c r="T27" s="60" t="n">
        <f aca="false">IF(C27=0,"",M27)</f>
        <v>220.5</v>
      </c>
    </row>
    <row r="28" customFormat="false" ht="12.75" hidden="false" customHeight="false" outlineLevel="0" collapsed="false">
      <c r="A28" s="47" t="n">
        <v>37013</v>
      </c>
      <c r="B28" s="12" t="n">
        <v>22</v>
      </c>
      <c r="C28" s="48" t="n">
        <v>25</v>
      </c>
      <c r="D28" s="49" t="n">
        <v>47.5</v>
      </c>
      <c r="E28" s="50" t="n">
        <v>4.75</v>
      </c>
      <c r="F28" s="50" t="n">
        <v>0</v>
      </c>
      <c r="G28" s="51" t="n">
        <v>62.2</v>
      </c>
      <c r="H28" s="52" t="n">
        <f aca="false">IF(C28&gt;0,G28-D28,"")</f>
        <v>14.7</v>
      </c>
      <c r="I28" s="53" t="n">
        <f aca="false">IF(C28&gt;0,H28*ABS(C28),"")</f>
        <v>367.5</v>
      </c>
      <c r="J28" s="54" t="n">
        <f aca="false">IF($C28=0,"",$H28*0.4)</f>
        <v>5.88</v>
      </c>
      <c r="K28" s="49" t="n">
        <f aca="false">IF($C28=0,"",$H28*0.6)</f>
        <v>8.82</v>
      </c>
      <c r="L28" s="49" t="n">
        <f aca="false">IF(C28=0,"",J28*$C28)</f>
        <v>147</v>
      </c>
      <c r="M28" s="55" t="n">
        <f aca="false">IF(C28=0,"",C28*K28)</f>
        <v>220.5</v>
      </c>
      <c r="N28" s="56" t="n">
        <f aca="false">IF(C28=0,"",D28)</f>
        <v>47.5</v>
      </c>
      <c r="O28" s="57" t="n">
        <f aca="false">IF(C28=0,"",D28+J28)</f>
        <v>53.38</v>
      </c>
      <c r="P28" s="44" t="n">
        <f aca="false">IF(C28=0,"",N28*C28)</f>
        <v>1187.5</v>
      </c>
      <c r="Q28" s="58" t="n">
        <f aca="false">IF(C28=0,"",O28*C28)</f>
        <v>1334.5</v>
      </c>
      <c r="R28" s="44"/>
      <c r="S28" s="59" t="n">
        <f aca="false">IF(C28=0,"",L28)</f>
        <v>147</v>
      </c>
      <c r="T28" s="60" t="n">
        <f aca="false">IF(C28=0,"",M28)</f>
        <v>220.5</v>
      </c>
    </row>
    <row r="29" customFormat="false" ht="12.75" hidden="false" customHeight="false" outlineLevel="0" collapsed="false">
      <c r="A29" s="47" t="n">
        <v>37013</v>
      </c>
      <c r="B29" s="12" t="n">
        <v>23</v>
      </c>
      <c r="C29" s="48" t="n">
        <v>24</v>
      </c>
      <c r="D29" s="49" t="n">
        <v>55</v>
      </c>
      <c r="E29" s="50" t="n">
        <v>4.75</v>
      </c>
      <c r="F29" s="50" t="n">
        <v>0</v>
      </c>
      <c r="G29" s="51" t="n">
        <v>62.2</v>
      </c>
      <c r="H29" s="52" t="n">
        <f aca="false">IF(C29&gt;0,G29-D29,"")</f>
        <v>7.2</v>
      </c>
      <c r="I29" s="53" t="n">
        <f aca="false">IF(C29&gt;0,H29*ABS(C29),"")</f>
        <v>172.8</v>
      </c>
      <c r="J29" s="54" t="n">
        <f aca="false">IF(C29=0,"",1)</f>
        <v>1</v>
      </c>
      <c r="K29" s="44" t="n">
        <f aca="false">IF(C29=0,"",G29-(D29+1))</f>
        <v>6.2</v>
      </c>
      <c r="L29" s="44" t="n">
        <f aca="false">IF(C29=0,"",C29*J29)</f>
        <v>24</v>
      </c>
      <c r="M29" s="55" t="n">
        <f aca="false">IF(C29=0,"",C29*K29)</f>
        <v>148.8</v>
      </c>
      <c r="N29" s="56" t="n">
        <f aca="false">IF(C29=0,"",D29)</f>
        <v>55</v>
      </c>
      <c r="O29" s="57" t="n">
        <f aca="false">IF(C29=0,"",D29+1)</f>
        <v>56</v>
      </c>
      <c r="P29" s="44" t="n">
        <f aca="false">IF(C29=0,"",N29*C29)</f>
        <v>1320</v>
      </c>
      <c r="Q29" s="58" t="n">
        <f aca="false">IF(C29=0,"",O29*C29)</f>
        <v>1344</v>
      </c>
      <c r="R29" s="44"/>
      <c r="S29" s="59" t="n">
        <f aca="false">IF(C29=0,"",L29)</f>
        <v>24</v>
      </c>
      <c r="T29" s="60" t="n">
        <f aca="false">IF(C29=0,"",M29)</f>
        <v>148.8</v>
      </c>
    </row>
    <row r="30" customFormat="false" ht="12.75" hidden="false" customHeight="false" outlineLevel="0" collapsed="false">
      <c r="A30" s="61" t="n">
        <v>37013</v>
      </c>
      <c r="B30" s="62" t="n">
        <v>24</v>
      </c>
      <c r="C30" s="63" t="n">
        <v>22</v>
      </c>
      <c r="D30" s="64" t="n">
        <v>35</v>
      </c>
      <c r="E30" s="65" t="n">
        <v>4.75</v>
      </c>
      <c r="F30" s="65" t="n">
        <v>0</v>
      </c>
      <c r="G30" s="66" t="n">
        <v>62.2</v>
      </c>
      <c r="H30" s="67" t="n">
        <f aca="false">IF(C30&gt;0,G30-D30,"")</f>
        <v>27.2</v>
      </c>
      <c r="I30" s="68" t="n">
        <f aca="false">IF(C30&gt;0,H30*ABS(C30),"")</f>
        <v>598.4</v>
      </c>
      <c r="J30" s="69" t="n">
        <f aca="false">IF(C30=0,"",1)</f>
        <v>1</v>
      </c>
      <c r="K30" s="70" t="n">
        <f aca="false">IF(C30=0,"",G30-(D30+1))</f>
        <v>26.2</v>
      </c>
      <c r="L30" s="70" t="n">
        <f aca="false">IF(C30=0,"",C30*J30)</f>
        <v>22</v>
      </c>
      <c r="M30" s="71" t="n">
        <f aca="false">IF(C30=0,"",C30*K30)</f>
        <v>576.4</v>
      </c>
      <c r="N30" s="72" t="n">
        <f aca="false">IF(C30=0,"",D30)</f>
        <v>35</v>
      </c>
      <c r="O30" s="73" t="n">
        <f aca="false">IF(C30=0,"",D30+1)</f>
        <v>36</v>
      </c>
      <c r="P30" s="70" t="n">
        <f aca="false">IF(C30=0,"",N30*C30)</f>
        <v>770</v>
      </c>
      <c r="Q30" s="74" t="n">
        <f aca="false">IF(C30=0,"",O30*C30)</f>
        <v>792</v>
      </c>
      <c r="R30" s="44"/>
      <c r="S30" s="75" t="n">
        <f aca="false">IF(C30=0,"",L30)</f>
        <v>22</v>
      </c>
      <c r="T30" s="76" t="n">
        <f aca="false">IF(C30=0,"",M30)</f>
        <v>576.4</v>
      </c>
    </row>
    <row r="31" customFormat="false" ht="4.5" hidden="false" customHeight="true" outlineLevel="0" collapsed="false">
      <c r="E31" s="77"/>
      <c r="F31" s="77"/>
      <c r="G31" s="77"/>
      <c r="I31" s="78"/>
      <c r="Q31" s="2"/>
      <c r="S31" s="2"/>
    </row>
    <row r="32" customFormat="false" ht="12.75" hidden="false" customHeight="false" outlineLevel="0" collapsed="false">
      <c r="K32" s="79"/>
      <c r="L32" s="79"/>
      <c r="M32" s="79"/>
      <c r="N32" s="80"/>
      <c r="O32" s="79"/>
      <c r="P32" s="80"/>
      <c r="Q32" s="81" t="n">
        <v>25137.58</v>
      </c>
      <c r="R32" s="82"/>
      <c r="S32" s="81" t="n">
        <v>2444.08</v>
      </c>
      <c r="T32" s="81" t="n">
        <v>8201.62</v>
      </c>
    </row>
    <row r="34" customFormat="false" ht="12.75" hidden="true" customHeight="false" outlineLevel="0" collapsed="false">
      <c r="B34" s="0" t="s">
        <v>33</v>
      </c>
      <c r="C34" s="0" t="n">
        <v>25</v>
      </c>
    </row>
  </sheetData>
  <mergeCells count="9">
    <mergeCell ref="A1:C1"/>
    <mergeCell ref="A2:B2"/>
    <mergeCell ref="E3:G3"/>
    <mergeCell ref="H3:I3"/>
    <mergeCell ref="J3:M3"/>
    <mergeCell ref="N3:Q3"/>
    <mergeCell ref="S3:T3"/>
    <mergeCell ref="N4:O4"/>
    <mergeCell ref="P4:Q4"/>
  </mergeCells>
  <conditionalFormatting sqref="H3:H5 E3:G6 I3:J6 U1:IV65536 A5:C65536 A1:C2 D1:D30 D31:N65536 K4:N6 H8:H30 I7:I30 J7:K12 P4:T65536 J29:K30 L7:N30">
    <cfRule type="cellIs" priority="2" operator="equal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" activeCellId="0" sqref="F2"/>
    </sheetView>
  </sheetViews>
  <sheetFormatPr defaultColWidth="9.9921875" defaultRowHeight="12.75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3" min="3" style="0" width="11.85"/>
    <col collapsed="false" customWidth="true" hidden="false" outlineLevel="0" max="4" min="4" style="1" width="23.99"/>
    <col collapsed="false" customWidth="true" hidden="false" outlineLevel="0" max="7" min="5" style="0" width="14.41"/>
    <col collapsed="false" customWidth="true" hidden="false" outlineLevel="0" max="8" min="8" style="0" width="28.99"/>
    <col collapsed="false" customWidth="true" hidden="false" outlineLevel="0" max="9" min="9" style="0" width="26.56"/>
    <col collapsed="false" customWidth="true" hidden="false" outlineLevel="0" max="10" min="10" style="0" width="17.14"/>
    <col collapsed="false" customWidth="true" hidden="false" outlineLevel="0" max="11" min="11" style="0" width="14.28"/>
    <col collapsed="false" customWidth="true" hidden="false" outlineLevel="0" max="13" min="12" style="0" width="26.56"/>
    <col collapsed="false" customWidth="true" hidden="false" outlineLevel="0" max="14" min="14" style="2" width="15.28"/>
    <col collapsed="false" customWidth="true" hidden="false" outlineLevel="0" max="15" min="15" style="0" width="15.28"/>
    <col collapsed="false" customWidth="true" hidden="false" outlineLevel="0" max="16" min="16" style="2" width="15.28"/>
    <col collapsed="false" customWidth="true" hidden="false" outlineLevel="0" max="17" min="17" style="0" width="17.56"/>
    <col collapsed="false" customWidth="true" hidden="false" outlineLevel="0" max="18" min="18" style="2" width="2.56"/>
    <col collapsed="false" customWidth="true" hidden="false" outlineLevel="0" max="19" min="19" style="0" width="12.42"/>
    <col collapsed="false" customWidth="true" hidden="false" outlineLevel="0" max="20" min="20" style="1" width="14.56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3" t="s">
        <v>1</v>
      </c>
      <c r="B2" s="3"/>
      <c r="C2" s="83" t="n">
        <v>37014</v>
      </c>
      <c r="D2" s="5"/>
    </row>
    <row r="3" customFormat="false" ht="12.75" hidden="false" customHeight="false" outlineLevel="0" collapsed="false">
      <c r="A3" s="6"/>
      <c r="B3" s="6"/>
      <c r="C3" s="84" t="n">
        <v>37020</v>
      </c>
      <c r="D3" s="7"/>
      <c r="E3" s="8" t="s">
        <v>2</v>
      </c>
      <c r="F3" s="8"/>
      <c r="G3" s="8"/>
      <c r="H3" s="9" t="s">
        <v>3</v>
      </c>
      <c r="I3" s="9"/>
      <c r="J3" s="9" t="s">
        <v>4</v>
      </c>
      <c r="K3" s="9"/>
      <c r="L3" s="9"/>
      <c r="M3" s="9"/>
      <c r="N3" s="10" t="s">
        <v>5</v>
      </c>
      <c r="O3" s="10"/>
      <c r="P3" s="10"/>
      <c r="Q3" s="10"/>
      <c r="R3" s="11"/>
      <c r="S3" s="10" t="s">
        <v>6</v>
      </c>
      <c r="T3" s="10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B4" s="85" t="s">
        <v>34</v>
      </c>
      <c r="C4" s="85"/>
      <c r="D4" s="85"/>
      <c r="E4" s="13"/>
      <c r="F4" s="14"/>
      <c r="G4" s="15"/>
      <c r="H4" s="16" t="s">
        <v>7</v>
      </c>
      <c r="I4" s="17" t="s">
        <v>7</v>
      </c>
      <c r="J4" s="16" t="s">
        <v>8</v>
      </c>
      <c r="K4" s="18" t="s">
        <v>9</v>
      </c>
      <c r="L4" s="18" t="s">
        <v>8</v>
      </c>
      <c r="M4" s="17" t="s">
        <v>9</v>
      </c>
      <c r="N4" s="19" t="s">
        <v>10</v>
      </c>
      <c r="O4" s="19"/>
      <c r="P4" s="19" t="s">
        <v>11</v>
      </c>
      <c r="Q4" s="19"/>
      <c r="R4" s="11"/>
      <c r="S4" s="20"/>
      <c r="T4" s="21"/>
    </row>
    <row r="5" customFormat="false" ht="12.75" hidden="false" customHeight="false" outlineLevel="0" collapsed="false">
      <c r="E5" s="16" t="s">
        <v>12</v>
      </c>
      <c r="F5" s="18" t="s">
        <v>12</v>
      </c>
      <c r="G5" s="17" t="s">
        <v>13</v>
      </c>
      <c r="H5" s="16" t="s">
        <v>14</v>
      </c>
      <c r="I5" s="17" t="s">
        <v>14</v>
      </c>
      <c r="J5" s="22" t="s">
        <v>15</v>
      </c>
      <c r="K5" s="18" t="s">
        <v>16</v>
      </c>
      <c r="L5" s="18" t="s">
        <v>17</v>
      </c>
      <c r="M5" s="17" t="s">
        <v>18</v>
      </c>
      <c r="N5" s="23"/>
      <c r="O5" s="15"/>
      <c r="P5" s="22"/>
      <c r="Q5" s="24" t="s">
        <v>19</v>
      </c>
      <c r="R5" s="11"/>
      <c r="S5" s="16" t="s">
        <v>20</v>
      </c>
      <c r="T5" s="25" t="s">
        <v>21</v>
      </c>
    </row>
    <row r="6" customFormat="false" ht="12.75" hidden="false" customHeight="false" outlineLevel="0" collapsed="false">
      <c r="A6" s="26" t="s">
        <v>22</v>
      </c>
      <c r="B6" s="27" t="s">
        <v>23</v>
      </c>
      <c r="C6" s="27" t="s">
        <v>24</v>
      </c>
      <c r="D6" s="28" t="s">
        <v>25</v>
      </c>
      <c r="E6" s="22" t="s">
        <v>26</v>
      </c>
      <c r="F6" s="5" t="s">
        <v>27</v>
      </c>
      <c r="G6" s="25" t="s">
        <v>28</v>
      </c>
      <c r="H6" s="22" t="s">
        <v>29</v>
      </c>
      <c r="I6" s="25" t="s">
        <v>30</v>
      </c>
      <c r="J6" s="22" t="s">
        <v>10</v>
      </c>
      <c r="K6" s="5" t="s">
        <v>10</v>
      </c>
      <c r="L6" s="5" t="s">
        <v>30</v>
      </c>
      <c r="M6" s="25" t="s">
        <v>30</v>
      </c>
      <c r="N6" s="22" t="s">
        <v>20</v>
      </c>
      <c r="O6" s="25" t="s">
        <v>21</v>
      </c>
      <c r="P6" s="22" t="s">
        <v>20</v>
      </c>
      <c r="Q6" s="29" t="s">
        <v>21</v>
      </c>
      <c r="R6" s="5"/>
      <c r="S6" s="22" t="s">
        <v>31</v>
      </c>
      <c r="T6" s="25" t="s">
        <v>32</v>
      </c>
      <c r="U6" s="30"/>
      <c r="V6" s="30"/>
    </row>
    <row r="7" customFormat="false" ht="12.75" hidden="false" customHeight="false" outlineLevel="0" collapsed="false">
      <c r="A7" s="31" t="n">
        <f aca="false">$C$2</f>
        <v>37014</v>
      </c>
      <c r="B7" s="32" t="n">
        <v>1</v>
      </c>
      <c r="C7" s="33" t="n">
        <f aca="false">INDEX(DaMw,C34,0)</f>
        <v>15</v>
      </c>
      <c r="D7" s="46" t="n">
        <f aca="false">INDEX(DaPrice,C34,0)</f>
        <v>20</v>
      </c>
      <c r="E7" s="35" t="n">
        <f aca="false">VLOOKUP(A7,Gas,4,FALSE())</f>
        <v>4.78</v>
      </c>
      <c r="F7" s="35" t="n">
        <f aca="false">VLOOKUP(A7,Gas,5,FALSE())</f>
        <v>4.78</v>
      </c>
      <c r="G7" s="36" t="n">
        <f aca="false">VLOOKUP(A7,Bogey,2,FALSE())</f>
        <v>61.93</v>
      </c>
      <c r="H7" s="37" t="n">
        <f aca="false">IF(C7&gt;0,G7-D7,"")</f>
        <v>41.93</v>
      </c>
      <c r="I7" s="38" t="n">
        <f aca="false">IF(C7&gt;0,H7*ABS(C7),"")</f>
        <v>628.95</v>
      </c>
      <c r="J7" s="39" t="n">
        <f aca="false">IF(C7=0,"",1)</f>
        <v>1</v>
      </c>
      <c r="K7" s="40" t="n">
        <f aca="false">IF(C7=0,"",G7-(D7+1))</f>
        <v>40.93</v>
      </c>
      <c r="L7" s="40" t="n">
        <f aca="false">IF(C7=0,"",C7*J7)</f>
        <v>15</v>
      </c>
      <c r="M7" s="21" t="n">
        <f aca="false">IF(C7=0,"",C7*K7)</f>
        <v>613.95</v>
      </c>
      <c r="N7" s="41" t="n">
        <f aca="false">IF(C7=0,"",D7)</f>
        <v>20</v>
      </c>
      <c r="O7" s="42" t="n">
        <f aca="false">IF(C7=0,"",D7+1)</f>
        <v>21</v>
      </c>
      <c r="P7" s="40" t="n">
        <f aca="false">IF(C7=0,"",N7*C7)</f>
        <v>300</v>
      </c>
      <c r="Q7" s="43" t="n">
        <f aca="false">IF(C7=0,"",O7*C7)</f>
        <v>315</v>
      </c>
      <c r="R7" s="44"/>
      <c r="S7" s="45" t="n">
        <f aca="false">IF(C7=0,"",L7)</f>
        <v>15</v>
      </c>
      <c r="T7" s="46" t="n">
        <f aca="false">IF(C7=0,"",M7)</f>
        <v>613.95</v>
      </c>
    </row>
    <row r="8" customFormat="false" ht="12.75" hidden="false" customHeight="false" outlineLevel="0" collapsed="false">
      <c r="A8" s="47" t="n">
        <f aca="false">$C$2</f>
        <v>37014</v>
      </c>
      <c r="B8" s="12" t="n">
        <v>2</v>
      </c>
      <c r="C8" s="48" t="n">
        <f aca="false">INDEX(DaMw,C34+1,0)</f>
        <v>15</v>
      </c>
      <c r="D8" s="60" t="n">
        <f aca="false">INDEX(DaPrice,C34+1,0)</f>
        <v>20</v>
      </c>
      <c r="E8" s="50" t="n">
        <f aca="false">VLOOKUP(A8,Gas,4,FALSE())</f>
        <v>4.78</v>
      </c>
      <c r="F8" s="50" t="n">
        <f aca="false">VLOOKUP(A8,Gas,5,FALSE())</f>
        <v>4.78</v>
      </c>
      <c r="G8" s="51" t="n">
        <f aca="false">VLOOKUP(A8,Bogey,2,FALSE())</f>
        <v>61.93</v>
      </c>
      <c r="H8" s="52" t="n">
        <f aca="false">IF(C8&gt;0,G8-D8,"")</f>
        <v>41.93</v>
      </c>
      <c r="I8" s="53" t="n">
        <f aca="false">IF(C8&gt;0,H8*ABS(C8),"")</f>
        <v>628.95</v>
      </c>
      <c r="J8" s="54" t="n">
        <f aca="false">IF(C8=0,"",1)</f>
        <v>1</v>
      </c>
      <c r="K8" s="44" t="n">
        <f aca="false">IF(C8=0,"",G8-(D8+1))</f>
        <v>40.93</v>
      </c>
      <c r="L8" s="44" t="n">
        <f aca="false">IF(C8=0,"",C8*J8)</f>
        <v>15</v>
      </c>
      <c r="M8" s="55" t="n">
        <f aca="false">IF(C8=0,"",C8*K8)</f>
        <v>613.95</v>
      </c>
      <c r="N8" s="56" t="n">
        <f aca="false">IF(C8=0,"",D8)</f>
        <v>20</v>
      </c>
      <c r="O8" s="57" t="n">
        <f aca="false">IF(C8=0,"",D8+1)</f>
        <v>21</v>
      </c>
      <c r="P8" s="44" t="n">
        <f aca="false">IF(C8=0,"",N8*C8)</f>
        <v>300</v>
      </c>
      <c r="Q8" s="58" t="n">
        <f aca="false">IF(C8=0,"",O8*C8)</f>
        <v>315</v>
      </c>
      <c r="R8" s="44"/>
      <c r="S8" s="59" t="n">
        <f aca="false">IF(C8=0,"",L8)</f>
        <v>15</v>
      </c>
      <c r="T8" s="60" t="n">
        <f aca="false">IF(C8=0,"",M8)</f>
        <v>613.95</v>
      </c>
    </row>
    <row r="9" customFormat="false" ht="12.75" hidden="false" customHeight="false" outlineLevel="0" collapsed="false">
      <c r="A9" s="47" t="n">
        <f aca="false">$C$2</f>
        <v>37014</v>
      </c>
      <c r="B9" s="12" t="n">
        <v>3</v>
      </c>
      <c r="C9" s="48" t="n">
        <f aca="false">INDEX(DaMw,C34+2,0)</f>
        <v>15</v>
      </c>
      <c r="D9" s="60" t="n">
        <f aca="false">INDEX(DaPrice,C34+2,0)</f>
        <v>20</v>
      </c>
      <c r="E9" s="50" t="n">
        <f aca="false">VLOOKUP(A9,Gas,4,FALSE())</f>
        <v>4.78</v>
      </c>
      <c r="F9" s="50" t="n">
        <f aca="false">VLOOKUP(A9,Gas,5,FALSE())</f>
        <v>4.78</v>
      </c>
      <c r="G9" s="51" t="n">
        <f aca="false">VLOOKUP(A9,Bogey,2,FALSE())</f>
        <v>61.93</v>
      </c>
      <c r="H9" s="52" t="n">
        <f aca="false">IF(C9&gt;0,G9-D9,"")</f>
        <v>41.93</v>
      </c>
      <c r="I9" s="53" t="n">
        <f aca="false">IF(C9&gt;0,H9*ABS(C9),"")</f>
        <v>628.95</v>
      </c>
      <c r="J9" s="54" t="n">
        <f aca="false">IF(C9=0,"",1)</f>
        <v>1</v>
      </c>
      <c r="K9" s="44" t="n">
        <f aca="false">IF(C9=0,"",G9-(D9+1))</f>
        <v>40.93</v>
      </c>
      <c r="L9" s="44" t="n">
        <f aca="false">IF(C9=0,"",C9*J9)</f>
        <v>15</v>
      </c>
      <c r="M9" s="55" t="n">
        <f aca="false">IF(C9=0,"",C9*K9)</f>
        <v>613.95</v>
      </c>
      <c r="N9" s="56" t="n">
        <f aca="false">IF(C9=0,"",D9)</f>
        <v>20</v>
      </c>
      <c r="O9" s="57" t="n">
        <f aca="false">IF(C9=0,"",D9+1)</f>
        <v>21</v>
      </c>
      <c r="P9" s="44" t="n">
        <f aca="false">IF(C9=0,"",N9*C9)</f>
        <v>300</v>
      </c>
      <c r="Q9" s="58" t="n">
        <f aca="false">IF(C9=0,"",O9*C9)</f>
        <v>315</v>
      </c>
      <c r="R9" s="44"/>
      <c r="S9" s="59" t="n">
        <f aca="false">IF(C9=0,"",L9)</f>
        <v>15</v>
      </c>
      <c r="T9" s="60" t="n">
        <f aca="false">IF(C9=0,"",M9)</f>
        <v>613.95</v>
      </c>
    </row>
    <row r="10" customFormat="false" ht="12.75" hidden="false" customHeight="false" outlineLevel="0" collapsed="false">
      <c r="A10" s="47" t="n">
        <f aca="false">$C$2</f>
        <v>37014</v>
      </c>
      <c r="B10" s="12" t="n">
        <v>4</v>
      </c>
      <c r="C10" s="48" t="n">
        <f aca="false">INDEX(DaMw,C34+3,0)</f>
        <v>15</v>
      </c>
      <c r="D10" s="60" t="n">
        <f aca="false">INDEX(DaPrice,C34+3,0)</f>
        <v>20</v>
      </c>
      <c r="E10" s="50" t="n">
        <f aca="false">VLOOKUP(A10,Gas,4,FALSE())</f>
        <v>4.78</v>
      </c>
      <c r="F10" s="50" t="n">
        <f aca="false">VLOOKUP(A10,Gas,5,FALSE())</f>
        <v>4.78</v>
      </c>
      <c r="G10" s="51" t="n">
        <f aca="false">VLOOKUP(A10,Bogey,2,FALSE())</f>
        <v>61.93</v>
      </c>
      <c r="H10" s="52" t="n">
        <f aca="false">IF(C10&gt;0,G10-D10,"")</f>
        <v>41.93</v>
      </c>
      <c r="I10" s="53" t="n">
        <f aca="false">IF(C10&gt;0,H10*ABS(C10),"")</f>
        <v>628.95</v>
      </c>
      <c r="J10" s="54" t="n">
        <f aca="false">IF(C10=0,"",1)</f>
        <v>1</v>
      </c>
      <c r="K10" s="44" t="n">
        <f aca="false">IF(C10=0,"",G10-(D10+1))</f>
        <v>40.93</v>
      </c>
      <c r="L10" s="44" t="n">
        <f aca="false">IF(C10=0,"",C10*J10)</f>
        <v>15</v>
      </c>
      <c r="M10" s="55" t="n">
        <f aca="false">IF(C10=0,"",C10*K10)</f>
        <v>613.95</v>
      </c>
      <c r="N10" s="56" t="n">
        <f aca="false">IF(C10=0,"",D10)</f>
        <v>20</v>
      </c>
      <c r="O10" s="57" t="n">
        <f aca="false">IF(C10=0,"",D10+1)</f>
        <v>21</v>
      </c>
      <c r="P10" s="44" t="n">
        <f aca="false">IF(C10=0,"",N10*C10)</f>
        <v>300</v>
      </c>
      <c r="Q10" s="58" t="n">
        <f aca="false">IF(C10=0,"",O10*C10)</f>
        <v>315</v>
      </c>
      <c r="R10" s="44"/>
      <c r="S10" s="59" t="n">
        <f aca="false">IF(C10=0,"",L10)</f>
        <v>15</v>
      </c>
      <c r="T10" s="60" t="n">
        <f aca="false">IF(C10=0,"",M10)</f>
        <v>613.95</v>
      </c>
    </row>
    <row r="11" customFormat="false" ht="12.75" hidden="false" customHeight="false" outlineLevel="0" collapsed="false">
      <c r="A11" s="47" t="n">
        <f aca="false">$C$2</f>
        <v>37014</v>
      </c>
      <c r="B11" s="12" t="n">
        <v>5</v>
      </c>
      <c r="C11" s="48" t="n">
        <f aca="false">INDEX(DaMw,C34+4,0)</f>
        <v>15</v>
      </c>
      <c r="D11" s="60" t="n">
        <f aca="false">INDEX(DaPrice,C34+4,0)</f>
        <v>20</v>
      </c>
      <c r="E11" s="50" t="n">
        <f aca="false">VLOOKUP(A11,Gas,4,FALSE())</f>
        <v>4.78</v>
      </c>
      <c r="F11" s="50" t="n">
        <f aca="false">VLOOKUP(A11,Gas,5,FALSE())</f>
        <v>4.78</v>
      </c>
      <c r="G11" s="51" t="n">
        <f aca="false">VLOOKUP(A11,Bogey,2,FALSE())</f>
        <v>61.93</v>
      </c>
      <c r="H11" s="52" t="n">
        <f aca="false">IF(C11&gt;0,G11-D11,"")</f>
        <v>41.93</v>
      </c>
      <c r="I11" s="53" t="n">
        <f aca="false">IF(C11&gt;0,H11*ABS(C11),"")</f>
        <v>628.95</v>
      </c>
      <c r="J11" s="54" t="n">
        <f aca="false">IF(C11=0,"",1)</f>
        <v>1</v>
      </c>
      <c r="K11" s="44" t="n">
        <f aca="false">IF(C11=0,"",G11-(D11+1))</f>
        <v>40.93</v>
      </c>
      <c r="L11" s="44" t="n">
        <f aca="false">IF(C11=0,"",C11*J11)</f>
        <v>15</v>
      </c>
      <c r="M11" s="55" t="n">
        <f aca="false">IF(C11=0,"",C11*K11)</f>
        <v>613.95</v>
      </c>
      <c r="N11" s="56" t="n">
        <f aca="false">IF(C11=0,"",D11)</f>
        <v>20</v>
      </c>
      <c r="O11" s="57" t="n">
        <f aca="false">IF(C11=0,"",D11+1)</f>
        <v>21</v>
      </c>
      <c r="P11" s="44" t="n">
        <f aca="false">IF(C11=0,"",N11*C11)</f>
        <v>300</v>
      </c>
      <c r="Q11" s="58" t="n">
        <f aca="false">IF(C11=0,"",O11*C11)</f>
        <v>315</v>
      </c>
      <c r="R11" s="44"/>
      <c r="S11" s="59" t="n">
        <f aca="false">IF(C11=0,"",L11)</f>
        <v>15</v>
      </c>
      <c r="T11" s="60" t="n">
        <f aca="false">IF(C11=0,"",M11)</f>
        <v>613.95</v>
      </c>
    </row>
    <row r="12" customFormat="false" ht="12.75" hidden="false" customHeight="false" outlineLevel="0" collapsed="false">
      <c r="A12" s="47" t="n">
        <f aca="false">$C$2</f>
        <v>37014</v>
      </c>
      <c r="B12" s="12" t="n">
        <v>6</v>
      </c>
      <c r="C12" s="48" t="n">
        <f aca="false">INDEX(DaMw,C34+5,0)</f>
        <v>15</v>
      </c>
      <c r="D12" s="60" t="n">
        <f aca="false">INDEX(DaPrice,C34+5,0)</f>
        <v>20</v>
      </c>
      <c r="E12" s="50" t="n">
        <f aca="false">VLOOKUP(A12,Gas,4,FALSE())</f>
        <v>4.78</v>
      </c>
      <c r="F12" s="50" t="n">
        <f aca="false">VLOOKUP(A12,Gas,5,FALSE())</f>
        <v>4.78</v>
      </c>
      <c r="G12" s="51" t="n">
        <f aca="false">VLOOKUP(A12,Bogey,2,FALSE())</f>
        <v>61.93</v>
      </c>
      <c r="H12" s="52" t="n">
        <f aca="false">IF(C12&gt;0,G12-D12,"")</f>
        <v>41.93</v>
      </c>
      <c r="I12" s="53" t="n">
        <f aca="false">IF(C12&gt;0,H12*ABS(C12),"")</f>
        <v>628.95</v>
      </c>
      <c r="J12" s="54" t="n">
        <f aca="false">IF(C12=0,"",1)</f>
        <v>1</v>
      </c>
      <c r="K12" s="44" t="n">
        <f aca="false">IF(C12=0,"",G12-(D12+1))</f>
        <v>40.93</v>
      </c>
      <c r="L12" s="44" t="n">
        <f aca="false">IF(C12=0,"",C12*J12)</f>
        <v>15</v>
      </c>
      <c r="M12" s="55" t="n">
        <f aca="false">IF(C12=0,"",C12*K12)</f>
        <v>613.95</v>
      </c>
      <c r="N12" s="56" t="n">
        <f aca="false">IF(C12=0,"",D12)</f>
        <v>20</v>
      </c>
      <c r="O12" s="57" t="n">
        <f aca="false">IF(C12=0,"",D12+1)</f>
        <v>21</v>
      </c>
      <c r="P12" s="44" t="n">
        <f aca="false">IF(C12=0,"",N12*C12)</f>
        <v>300</v>
      </c>
      <c r="Q12" s="58" t="n">
        <f aca="false">IF(C12=0,"",O12*C12)</f>
        <v>315</v>
      </c>
      <c r="R12" s="44"/>
      <c r="S12" s="59" t="n">
        <f aca="false">IF(C12=0,"",L12)</f>
        <v>15</v>
      </c>
      <c r="T12" s="60" t="n">
        <f aca="false">IF(C12=0,"",M12)</f>
        <v>613.95</v>
      </c>
    </row>
    <row r="13" customFormat="false" ht="12.75" hidden="false" customHeight="false" outlineLevel="0" collapsed="false">
      <c r="A13" s="47" t="n">
        <f aca="false">$C$2</f>
        <v>37014</v>
      </c>
      <c r="B13" s="12" t="n">
        <v>7</v>
      </c>
      <c r="C13" s="48" t="n">
        <f aca="false">INDEX(DaMw,C34+6,0)</f>
        <v>20</v>
      </c>
      <c r="D13" s="60" t="n">
        <f aca="false">INDEX(DaPrice,C34+6,0)</f>
        <v>50</v>
      </c>
      <c r="E13" s="50" t="n">
        <f aca="false">VLOOKUP(A13,Gas,4,FALSE())</f>
        <v>4.78</v>
      </c>
      <c r="F13" s="50" t="n">
        <f aca="false">VLOOKUP(A13,Gas,5,FALSE())</f>
        <v>4.78</v>
      </c>
      <c r="G13" s="51" t="n">
        <f aca="false">VLOOKUP(A13,Bogey,2,FALSE())</f>
        <v>61.93</v>
      </c>
      <c r="H13" s="52" t="n">
        <f aca="false">IF(C13&gt;0,G13-D13,"")</f>
        <v>11.93</v>
      </c>
      <c r="I13" s="53" t="n">
        <f aca="false">IF(C13&gt;0,H13*ABS(C13),"")</f>
        <v>238.6</v>
      </c>
      <c r="J13" s="54" t="n">
        <f aca="false">IF($C13=0,"",$H13*0.4)</f>
        <v>4.772</v>
      </c>
      <c r="K13" s="49" t="n">
        <f aca="false">IF($C13=0,"",$H13*0.6)</f>
        <v>7.158</v>
      </c>
      <c r="L13" s="49" t="n">
        <f aca="false">IF(C13=0,"",J13*$C13)</f>
        <v>95.44</v>
      </c>
      <c r="M13" s="55" t="n">
        <f aca="false">IF(C13=0,"",C13*K13)</f>
        <v>143.16</v>
      </c>
      <c r="N13" s="56" t="n">
        <f aca="false">IF(C13=0,"",D13)</f>
        <v>50</v>
      </c>
      <c r="O13" s="57" t="n">
        <f aca="false">IF(C13=0,"",D13+J13)</f>
        <v>54.772</v>
      </c>
      <c r="P13" s="44" t="n">
        <f aca="false">IF(C13=0,"",N13*C13)</f>
        <v>1000</v>
      </c>
      <c r="Q13" s="58" t="n">
        <f aca="false">IF(C13=0,"",O13*C13)</f>
        <v>1095.44</v>
      </c>
      <c r="R13" s="44"/>
      <c r="S13" s="59" t="n">
        <f aca="false">IF(C13=0,"",L13)</f>
        <v>95.44</v>
      </c>
      <c r="T13" s="60" t="n">
        <f aca="false">IF(C13=0,"",M13)</f>
        <v>143.16</v>
      </c>
    </row>
    <row r="14" customFormat="false" ht="12.75" hidden="false" customHeight="false" outlineLevel="0" collapsed="false">
      <c r="A14" s="47" t="n">
        <f aca="false">$C$2</f>
        <v>37014</v>
      </c>
      <c r="B14" s="12" t="n">
        <v>8</v>
      </c>
      <c r="C14" s="48" t="n">
        <f aca="false">INDEX(DaMw,C34+7,0)</f>
        <v>20</v>
      </c>
      <c r="D14" s="60" t="n">
        <f aca="false">INDEX(DaPrice,C34+7,0)</f>
        <v>50</v>
      </c>
      <c r="E14" s="50" t="n">
        <f aca="false">VLOOKUP(A14,Gas,4,FALSE())</f>
        <v>4.78</v>
      </c>
      <c r="F14" s="50" t="n">
        <f aca="false">VLOOKUP(A14,Gas,5,FALSE())</f>
        <v>4.78</v>
      </c>
      <c r="G14" s="51" t="n">
        <f aca="false">VLOOKUP(A14,Bogey,2,FALSE())</f>
        <v>61.93</v>
      </c>
      <c r="H14" s="52" t="n">
        <f aca="false">IF(C14&gt;0,G14-D14,"")</f>
        <v>11.93</v>
      </c>
      <c r="I14" s="53" t="n">
        <f aca="false">IF(C14&gt;0,H14*ABS(C14),"")</f>
        <v>238.6</v>
      </c>
      <c r="J14" s="54" t="n">
        <f aca="false">IF($C14=0,"",$H14*0.4)</f>
        <v>4.772</v>
      </c>
      <c r="K14" s="49" t="n">
        <f aca="false">IF($C14=0,"",$H14*0.6)</f>
        <v>7.158</v>
      </c>
      <c r="L14" s="49" t="n">
        <f aca="false">IF(C14=0,"",J14*$C14)</f>
        <v>95.44</v>
      </c>
      <c r="M14" s="55" t="n">
        <f aca="false">IF(C14=0,"",C14*K14)</f>
        <v>143.16</v>
      </c>
      <c r="N14" s="56" t="n">
        <f aca="false">IF(C14=0,"",D14)</f>
        <v>50</v>
      </c>
      <c r="O14" s="57" t="n">
        <f aca="false">IF(C14=0,"",D14+J14)</f>
        <v>54.772</v>
      </c>
      <c r="P14" s="44" t="n">
        <f aca="false">IF(C14=0,"",N14*C14)</f>
        <v>1000</v>
      </c>
      <c r="Q14" s="58" t="n">
        <f aca="false">IF(C14=0,"",O14*C14)</f>
        <v>1095.44</v>
      </c>
      <c r="R14" s="44"/>
      <c r="S14" s="59" t="n">
        <f aca="false">IF(C14=0,"",L14)</f>
        <v>95.44</v>
      </c>
      <c r="T14" s="60" t="n">
        <f aca="false">IF(C14=0,"",M14)</f>
        <v>143.16</v>
      </c>
    </row>
    <row r="15" customFormat="false" ht="12.75" hidden="false" customHeight="false" outlineLevel="0" collapsed="false">
      <c r="A15" s="47" t="n">
        <f aca="false">$C$2</f>
        <v>37014</v>
      </c>
      <c r="B15" s="12" t="n">
        <v>9</v>
      </c>
      <c r="C15" s="48" t="n">
        <f aca="false">INDEX(DaMw,C34+8,0)</f>
        <v>21.1268180929244</v>
      </c>
      <c r="D15" s="60" t="n">
        <f aca="false">INDEX(DaPrice,C34+8,0)</f>
        <v>50</v>
      </c>
      <c r="E15" s="50" t="n">
        <f aca="false">VLOOKUP(A15,Gas,4,FALSE())</f>
        <v>4.78</v>
      </c>
      <c r="F15" s="50" t="n">
        <f aca="false">VLOOKUP(A15,Gas,5,FALSE())</f>
        <v>4.78</v>
      </c>
      <c r="G15" s="51" t="n">
        <f aca="false">VLOOKUP(A15,Bogey,2,FALSE())</f>
        <v>61.93</v>
      </c>
      <c r="H15" s="52" t="n">
        <f aca="false">IF(C15&gt;0,G15-D15,"")</f>
        <v>11.93</v>
      </c>
      <c r="I15" s="53" t="n">
        <f aca="false">IF(C15&gt;0,H15*ABS(C15),"")</f>
        <v>252.042939848588</v>
      </c>
      <c r="J15" s="54" t="n">
        <f aca="false">IF($C15=0,"",$H15*0.4)</f>
        <v>4.772</v>
      </c>
      <c r="K15" s="49" t="n">
        <f aca="false">IF($C15=0,"",$H15*0.6)</f>
        <v>7.158</v>
      </c>
      <c r="L15" s="49" t="n">
        <f aca="false">IF(C15=0,"",J15*$C15)</f>
        <v>100.817175939435</v>
      </c>
      <c r="M15" s="55" t="n">
        <f aca="false">IF(C15=0,"",C15*K15)</f>
        <v>151.225763909153</v>
      </c>
      <c r="N15" s="56" t="n">
        <f aca="false">IF(C15=0,"",D15)</f>
        <v>50</v>
      </c>
      <c r="O15" s="57" t="n">
        <f aca="false">IF(C15=0,"",D15+J15)</f>
        <v>54.772</v>
      </c>
      <c r="P15" s="44" t="n">
        <f aca="false">IF(C15=0,"",N15*C15)</f>
        <v>1056.34090464622</v>
      </c>
      <c r="Q15" s="58" t="n">
        <f aca="false">IF(C15=0,"",O15*C15)</f>
        <v>1157.15808058566</v>
      </c>
      <c r="R15" s="44"/>
      <c r="S15" s="59" t="n">
        <f aca="false">IF(C15=0,"",L15)</f>
        <v>100.817175939435</v>
      </c>
      <c r="T15" s="60" t="n">
        <f aca="false">IF(C15=0,"",M15)</f>
        <v>151.225763909153</v>
      </c>
    </row>
    <row r="16" customFormat="false" ht="12.75" hidden="false" customHeight="false" outlineLevel="0" collapsed="false">
      <c r="A16" s="47" t="n">
        <f aca="false">$C$2</f>
        <v>37014</v>
      </c>
      <c r="B16" s="12" t="n">
        <v>10</v>
      </c>
      <c r="C16" s="48" t="n">
        <f aca="false">INDEX(DaMw,C34+9,0)</f>
        <v>23.7154650466741</v>
      </c>
      <c r="D16" s="60" t="n">
        <f aca="false">INDEX(DaPrice,C34+9,0)</f>
        <v>50</v>
      </c>
      <c r="E16" s="50" t="n">
        <f aca="false">VLOOKUP(A16,Gas,4,FALSE())</f>
        <v>4.78</v>
      </c>
      <c r="F16" s="50" t="n">
        <f aca="false">VLOOKUP(A16,Gas,5,FALSE())</f>
        <v>4.78</v>
      </c>
      <c r="G16" s="51" t="n">
        <f aca="false">VLOOKUP(A16,Bogey,2,FALSE())</f>
        <v>61.93</v>
      </c>
      <c r="H16" s="52" t="n">
        <f aca="false">IF(C16&gt;0,G16-D16,"")</f>
        <v>11.93</v>
      </c>
      <c r="I16" s="53" t="n">
        <f aca="false">IF(C16&gt;0,H16*ABS(C16),"")</f>
        <v>282.925498006822</v>
      </c>
      <c r="J16" s="54" t="n">
        <f aca="false">IF($C16=0,"",$H16*0.4)</f>
        <v>4.772</v>
      </c>
      <c r="K16" s="49" t="n">
        <f aca="false">IF($C16=0,"",$H16*0.6)</f>
        <v>7.158</v>
      </c>
      <c r="L16" s="49" t="n">
        <f aca="false">IF(C16=0,"",J16*$C16)</f>
        <v>113.170199202729</v>
      </c>
      <c r="M16" s="55" t="n">
        <f aca="false">IF(C16=0,"",C16*K16)</f>
        <v>169.755298804093</v>
      </c>
      <c r="N16" s="56" t="n">
        <f aca="false">IF(C16=0,"",D16)</f>
        <v>50</v>
      </c>
      <c r="O16" s="57" t="n">
        <f aca="false">IF(C16=0,"",D16+J16)</f>
        <v>54.772</v>
      </c>
      <c r="P16" s="44" t="n">
        <f aca="false">IF(C16=0,"",N16*C16)</f>
        <v>1185.77325233371</v>
      </c>
      <c r="Q16" s="58" t="n">
        <f aca="false">IF(C16=0,"",O16*C16)</f>
        <v>1298.94345153643</v>
      </c>
      <c r="R16" s="44"/>
      <c r="S16" s="59" t="n">
        <f aca="false">IF(C16=0,"",L16)</f>
        <v>113.170199202729</v>
      </c>
      <c r="T16" s="60" t="n">
        <f aca="false">IF(C16=0,"",M16)</f>
        <v>169.755298804093</v>
      </c>
    </row>
    <row r="17" customFormat="false" ht="12.75" hidden="false" customHeight="false" outlineLevel="0" collapsed="false">
      <c r="A17" s="47" t="n">
        <f aca="false">$C$2</f>
        <v>37014</v>
      </c>
      <c r="B17" s="12" t="n">
        <v>11</v>
      </c>
      <c r="C17" s="48" t="n">
        <f aca="false">INDEX(DaMw,C34+10,0)</f>
        <v>23.3744386125487</v>
      </c>
      <c r="D17" s="60" t="n">
        <f aca="false">INDEX(DaPrice,C34+10,0)</f>
        <v>50</v>
      </c>
      <c r="E17" s="50" t="n">
        <f aca="false">VLOOKUP(A17,Gas,4,FALSE())</f>
        <v>4.78</v>
      </c>
      <c r="F17" s="50" t="n">
        <f aca="false">VLOOKUP(A17,Gas,5,FALSE())</f>
        <v>4.78</v>
      </c>
      <c r="G17" s="51" t="n">
        <f aca="false">VLOOKUP(A17,Bogey,2,FALSE())</f>
        <v>61.93</v>
      </c>
      <c r="H17" s="52" t="n">
        <f aca="false">IF(C17&gt;0,G17-D17,"")</f>
        <v>11.93</v>
      </c>
      <c r="I17" s="53" t="n">
        <f aca="false">IF(C17&gt;0,H17*ABS(C17),"")</f>
        <v>278.857052647706</v>
      </c>
      <c r="J17" s="54" t="n">
        <f aca="false">IF($C17=0,"",$H17*0.4)</f>
        <v>4.772</v>
      </c>
      <c r="K17" s="49" t="n">
        <f aca="false">IF($C17=0,"",$H17*0.6)</f>
        <v>7.158</v>
      </c>
      <c r="L17" s="49" t="n">
        <f aca="false">IF(C17=0,"",J17*$C17)</f>
        <v>111.542821059082</v>
      </c>
      <c r="M17" s="55" t="n">
        <f aca="false">IF(C17=0,"",C17*K17)</f>
        <v>167.314231588624</v>
      </c>
      <c r="N17" s="56" t="n">
        <f aca="false">IF(C17=0,"",D17)</f>
        <v>50</v>
      </c>
      <c r="O17" s="57" t="n">
        <f aca="false">IF(C17=0,"",D17+J17)</f>
        <v>54.772</v>
      </c>
      <c r="P17" s="44" t="n">
        <f aca="false">IF(C17=0,"",N17*C17)</f>
        <v>1168.72193062744</v>
      </c>
      <c r="Q17" s="58" t="n">
        <f aca="false">IF(C17=0,"",O17*C17)</f>
        <v>1280.26475168652</v>
      </c>
      <c r="R17" s="44"/>
      <c r="S17" s="59" t="n">
        <f aca="false">IF(C17=0,"",L17)</f>
        <v>111.542821059082</v>
      </c>
      <c r="T17" s="60" t="n">
        <f aca="false">IF(C17=0,"",M17)</f>
        <v>167.314231588624</v>
      </c>
    </row>
    <row r="18" customFormat="false" ht="12.75" hidden="false" customHeight="false" outlineLevel="0" collapsed="false">
      <c r="A18" s="47" t="n">
        <f aca="false">$C$2</f>
        <v>37014</v>
      </c>
      <c r="B18" s="12" t="n">
        <v>12</v>
      </c>
      <c r="C18" s="48" t="n">
        <f aca="false">INDEX(DaMw,C34+11,0)</f>
        <v>25.3229402622349</v>
      </c>
      <c r="D18" s="60" t="n">
        <f aca="false">INDEX(DaPrice,C34+11,0)</f>
        <v>50</v>
      </c>
      <c r="E18" s="50" t="n">
        <f aca="false">VLOOKUP(A18,Gas,4,FALSE())</f>
        <v>4.78</v>
      </c>
      <c r="F18" s="50" t="n">
        <f aca="false">VLOOKUP(A18,Gas,5,FALSE())</f>
        <v>4.78</v>
      </c>
      <c r="G18" s="51" t="n">
        <f aca="false">VLOOKUP(A18,Bogey,2,FALSE())</f>
        <v>61.93</v>
      </c>
      <c r="H18" s="52" t="n">
        <f aca="false">IF(C18&gt;0,G18-D18,"")</f>
        <v>11.93</v>
      </c>
      <c r="I18" s="53" t="n">
        <f aca="false">IF(C18&gt;0,H18*ABS(C18),"")</f>
        <v>302.102677328462</v>
      </c>
      <c r="J18" s="54" t="n">
        <f aca="false">IF($C18=0,"",$H18*0.4)</f>
        <v>4.772</v>
      </c>
      <c r="K18" s="49" t="n">
        <f aca="false">IF($C18=0,"",$H18*0.6)</f>
        <v>7.158</v>
      </c>
      <c r="L18" s="49" t="n">
        <f aca="false">IF(C18=0,"",J18*$C18)</f>
        <v>120.841070931385</v>
      </c>
      <c r="M18" s="55" t="n">
        <f aca="false">IF(C18=0,"",C18*K18)</f>
        <v>181.261606397077</v>
      </c>
      <c r="N18" s="56" t="n">
        <f aca="false">IF(C18=0,"",D18)</f>
        <v>50</v>
      </c>
      <c r="O18" s="57" t="n">
        <f aca="false">IF(C18=0,"",D18+J18)</f>
        <v>54.772</v>
      </c>
      <c r="P18" s="44" t="n">
        <f aca="false">IF(C18=0,"",N18*C18)</f>
        <v>1266.14701311175</v>
      </c>
      <c r="Q18" s="58" t="n">
        <f aca="false">IF(C18=0,"",O18*C18)</f>
        <v>1386.98808404313</v>
      </c>
      <c r="R18" s="44"/>
      <c r="S18" s="59" t="n">
        <f aca="false">IF(C18=0,"",L18)</f>
        <v>120.841070931385</v>
      </c>
      <c r="T18" s="60" t="n">
        <f aca="false">IF(C18=0,"",M18)</f>
        <v>181.261606397077</v>
      </c>
    </row>
    <row r="19" customFormat="false" ht="12.75" hidden="false" customHeight="false" outlineLevel="0" collapsed="false">
      <c r="A19" s="47" t="n">
        <f aca="false">$C$2</f>
        <v>37014</v>
      </c>
      <c r="B19" s="12" t="n">
        <v>13</v>
      </c>
      <c r="C19" s="48" t="n">
        <f aca="false">INDEX(DaMw,C34+12,0)</f>
        <v>24.4937323431345</v>
      </c>
      <c r="D19" s="60" t="n">
        <f aca="false">INDEX(DaPrice,C34+12,0)</f>
        <v>50</v>
      </c>
      <c r="E19" s="50" t="n">
        <f aca="false">VLOOKUP(A19,Gas,4,FALSE())</f>
        <v>4.78</v>
      </c>
      <c r="F19" s="50" t="n">
        <f aca="false">VLOOKUP(A19,Gas,5,FALSE())</f>
        <v>4.78</v>
      </c>
      <c r="G19" s="51" t="n">
        <f aca="false">VLOOKUP(A19,Bogey,2,FALSE())</f>
        <v>61.93</v>
      </c>
      <c r="H19" s="52" t="n">
        <f aca="false">IF(C19&gt;0,G19-D19,"")</f>
        <v>11.93</v>
      </c>
      <c r="I19" s="53" t="n">
        <f aca="false">IF(C19&gt;0,H19*ABS(C19),"")</f>
        <v>292.210226853595</v>
      </c>
      <c r="J19" s="54" t="n">
        <f aca="false">IF($C19=0,"",$H19*0.4)</f>
        <v>4.772</v>
      </c>
      <c r="K19" s="49" t="n">
        <f aca="false">IF($C19=0,"",$H19*0.6)</f>
        <v>7.158</v>
      </c>
      <c r="L19" s="49" t="n">
        <f aca="false">IF(C19=0,"",J19*$C19)</f>
        <v>116.884090741438</v>
      </c>
      <c r="M19" s="55" t="n">
        <f aca="false">IF(C19=0,"",C19*K19)</f>
        <v>175.326136112157</v>
      </c>
      <c r="N19" s="56" t="n">
        <f aca="false">IF(C19=0,"",D19)</f>
        <v>50</v>
      </c>
      <c r="O19" s="57" t="n">
        <f aca="false">IF(C19=0,"",D19+J19)</f>
        <v>54.772</v>
      </c>
      <c r="P19" s="44" t="n">
        <f aca="false">IF(C19=0,"",N19*C19)</f>
        <v>1224.68661715672</v>
      </c>
      <c r="Q19" s="58" t="n">
        <f aca="false">IF(C19=0,"",O19*C19)</f>
        <v>1341.57070789816</v>
      </c>
      <c r="R19" s="44"/>
      <c r="S19" s="59" t="n">
        <f aca="false">IF(C19=0,"",L19)</f>
        <v>116.884090741438</v>
      </c>
      <c r="T19" s="60" t="n">
        <f aca="false">IF(C19=0,"",M19)</f>
        <v>175.326136112157</v>
      </c>
    </row>
    <row r="20" customFormat="false" ht="12.75" hidden="false" customHeight="false" outlineLevel="0" collapsed="false">
      <c r="A20" s="47" t="n">
        <f aca="false">$C$2</f>
        <v>37014</v>
      </c>
      <c r="B20" s="12" t="n">
        <v>14</v>
      </c>
      <c r="C20" s="48" t="n">
        <f aca="false">INDEX(DaMw,C34+13,0)</f>
        <v>24.2949121562136</v>
      </c>
      <c r="D20" s="60" t="n">
        <f aca="false">INDEX(DaPrice,C34+13,0)</f>
        <v>50</v>
      </c>
      <c r="E20" s="50" t="n">
        <f aca="false">VLOOKUP(A20,Gas,4,FALSE())</f>
        <v>4.78</v>
      </c>
      <c r="F20" s="50" t="n">
        <f aca="false">VLOOKUP(A20,Gas,5,FALSE())</f>
        <v>4.78</v>
      </c>
      <c r="G20" s="51" t="n">
        <f aca="false">VLOOKUP(A20,Bogey,2,FALSE())</f>
        <v>61.93</v>
      </c>
      <c r="H20" s="52" t="n">
        <f aca="false">IF(C20&gt;0,G20-D20,"")</f>
        <v>11.93</v>
      </c>
      <c r="I20" s="53" t="n">
        <f aca="false">IF(C20&gt;0,H20*ABS(C20),"")</f>
        <v>289.838302023628</v>
      </c>
      <c r="J20" s="54" t="n">
        <f aca="false">IF($C20=0,"",$H20*0.4)</f>
        <v>4.772</v>
      </c>
      <c r="K20" s="49" t="n">
        <f aca="false">IF($C20=0,"",$H20*0.6)</f>
        <v>7.158</v>
      </c>
      <c r="L20" s="49" t="n">
        <f aca="false">IF(C20=0,"",J20*$C20)</f>
        <v>115.935320809451</v>
      </c>
      <c r="M20" s="55" t="n">
        <f aca="false">IF(C20=0,"",C20*K20)</f>
        <v>173.902981214177</v>
      </c>
      <c r="N20" s="56" t="n">
        <f aca="false">IF(C20=0,"",D20)</f>
        <v>50</v>
      </c>
      <c r="O20" s="57" t="n">
        <f aca="false">IF(C20=0,"",D20+J20)</f>
        <v>54.772</v>
      </c>
      <c r="P20" s="44" t="n">
        <f aca="false">IF(C20=0,"",N20*C20)</f>
        <v>1214.74560781068</v>
      </c>
      <c r="Q20" s="58" t="n">
        <f aca="false">IF(C20=0,"",O20*C20)</f>
        <v>1330.68092862013</v>
      </c>
      <c r="R20" s="44"/>
      <c r="S20" s="59" t="n">
        <f aca="false">IF(C20=0,"",L20)</f>
        <v>115.935320809451</v>
      </c>
      <c r="T20" s="60" t="n">
        <f aca="false">IF(C20=0,"",M20)</f>
        <v>173.902981214177</v>
      </c>
    </row>
    <row r="21" customFormat="false" ht="12.75" hidden="false" customHeight="false" outlineLevel="0" collapsed="false">
      <c r="A21" s="47" t="n">
        <f aca="false">$C$2</f>
        <v>37014</v>
      </c>
      <c r="B21" s="12" t="n">
        <v>15</v>
      </c>
      <c r="C21" s="48" t="n">
        <f aca="false">INDEX(DaMw,C34+14,0)</f>
        <v>25.3634220466924</v>
      </c>
      <c r="D21" s="60" t="n">
        <f aca="false">INDEX(DaPrice,C34+14,0)</f>
        <v>50</v>
      </c>
      <c r="E21" s="50" t="n">
        <f aca="false">VLOOKUP(A21,Gas,4,FALSE())</f>
        <v>4.78</v>
      </c>
      <c r="F21" s="50" t="n">
        <f aca="false">VLOOKUP(A21,Gas,5,FALSE())</f>
        <v>4.78</v>
      </c>
      <c r="G21" s="51" t="n">
        <f aca="false">VLOOKUP(A21,Bogey,2,FALSE())</f>
        <v>61.93</v>
      </c>
      <c r="H21" s="52" t="n">
        <f aca="false">IF(C21&gt;0,G21-D21,"")</f>
        <v>11.93</v>
      </c>
      <c r="I21" s="53" t="n">
        <f aca="false">IF(C21&gt;0,H21*ABS(C21),"")</f>
        <v>302.58562501704</v>
      </c>
      <c r="J21" s="54" t="n">
        <f aca="false">IF($C21=0,"",$H21*0.4)</f>
        <v>4.772</v>
      </c>
      <c r="K21" s="49" t="n">
        <f aca="false">IF($C21=0,"",$H21*0.6)</f>
        <v>7.158</v>
      </c>
      <c r="L21" s="49" t="n">
        <f aca="false">IF(C21=0,"",J21*$C21)</f>
        <v>121.034250006816</v>
      </c>
      <c r="M21" s="55" t="n">
        <f aca="false">IF(C21=0,"",C21*K21)</f>
        <v>181.551375010224</v>
      </c>
      <c r="N21" s="56" t="n">
        <f aca="false">IF(C21=0,"",D21)</f>
        <v>50</v>
      </c>
      <c r="O21" s="57" t="n">
        <f aca="false">IF(C21=0,"",D21+J21)</f>
        <v>54.772</v>
      </c>
      <c r="P21" s="44" t="n">
        <f aca="false">IF(C21=0,"",N21*C21)</f>
        <v>1268.17110233462</v>
      </c>
      <c r="Q21" s="58" t="n">
        <f aca="false">IF(C21=0,"",O21*C21)</f>
        <v>1389.20535234144</v>
      </c>
      <c r="R21" s="44"/>
      <c r="S21" s="59" t="n">
        <f aca="false">IF(C21=0,"",L21)</f>
        <v>121.034250006816</v>
      </c>
      <c r="T21" s="60" t="n">
        <f aca="false">IF(C21=0,"",M21)</f>
        <v>181.551375010224</v>
      </c>
    </row>
    <row r="22" customFormat="false" ht="12.75" hidden="false" customHeight="false" outlineLevel="0" collapsed="false">
      <c r="A22" s="47" t="n">
        <f aca="false">$C$2</f>
        <v>37014</v>
      </c>
      <c r="B22" s="12" t="n">
        <v>16</v>
      </c>
      <c r="C22" s="48" t="n">
        <f aca="false">INDEX(DaMw,C34+15,0)</f>
        <v>26.1568707538188</v>
      </c>
      <c r="D22" s="60" t="n">
        <f aca="false">INDEX(DaPrice,C34+15,0)</f>
        <v>50</v>
      </c>
      <c r="E22" s="50" t="n">
        <f aca="false">VLOOKUP(A22,Gas,4,FALSE())</f>
        <v>4.78</v>
      </c>
      <c r="F22" s="50" t="n">
        <f aca="false">VLOOKUP(A22,Gas,5,FALSE())</f>
        <v>4.78</v>
      </c>
      <c r="G22" s="51" t="n">
        <f aca="false">VLOOKUP(A22,Bogey,2,FALSE())</f>
        <v>61.93</v>
      </c>
      <c r="H22" s="52" t="n">
        <f aca="false">IF(C22&gt;0,G22-D22,"")</f>
        <v>11.93</v>
      </c>
      <c r="I22" s="53" t="n">
        <f aca="false">IF(C22&gt;0,H22*ABS(C22),"")</f>
        <v>312.051468093058</v>
      </c>
      <c r="J22" s="54" t="n">
        <f aca="false">IF($C22=0,"",$H22*0.4)</f>
        <v>4.772</v>
      </c>
      <c r="K22" s="49" t="n">
        <f aca="false">IF($C22=0,"",$H22*0.6)</f>
        <v>7.158</v>
      </c>
      <c r="L22" s="49" t="n">
        <f aca="false">IF(C22=0,"",J22*$C22)</f>
        <v>124.820587237223</v>
      </c>
      <c r="M22" s="55" t="n">
        <f aca="false">IF(C22=0,"",C22*K22)</f>
        <v>187.230880855835</v>
      </c>
      <c r="N22" s="56" t="n">
        <f aca="false">IF(C22=0,"",D22)</f>
        <v>50</v>
      </c>
      <c r="O22" s="57" t="n">
        <f aca="false">IF(C22=0,"",D22+J22)</f>
        <v>54.772</v>
      </c>
      <c r="P22" s="44" t="n">
        <f aca="false">IF(C22=0,"",N22*C22)</f>
        <v>1307.84353769094</v>
      </c>
      <c r="Q22" s="58" t="n">
        <f aca="false">IF(C22=0,"",O22*C22)</f>
        <v>1432.66412492816</v>
      </c>
      <c r="R22" s="44"/>
      <c r="S22" s="59" t="n">
        <f aca="false">IF(C22=0,"",L22)</f>
        <v>124.820587237223</v>
      </c>
      <c r="T22" s="60" t="n">
        <f aca="false">IF(C22=0,"",M22)</f>
        <v>187.230880855835</v>
      </c>
    </row>
    <row r="23" customFormat="false" ht="12.75" hidden="false" customHeight="false" outlineLevel="0" collapsed="false">
      <c r="A23" s="47" t="n">
        <f aca="false">$C$2</f>
        <v>37014</v>
      </c>
      <c r="B23" s="12" t="n">
        <v>17</v>
      </c>
      <c r="C23" s="48" t="n">
        <f aca="false">INDEX(DaMw,C34+16,0)</f>
        <v>23.9448010308688</v>
      </c>
      <c r="D23" s="60" t="n">
        <f aca="false">INDEX(DaPrice,C34+16,0)</f>
        <v>50</v>
      </c>
      <c r="E23" s="50" t="n">
        <f aca="false">VLOOKUP(A23,Gas,4,FALSE())</f>
        <v>4.78</v>
      </c>
      <c r="F23" s="50" t="n">
        <f aca="false">VLOOKUP(A23,Gas,5,FALSE())</f>
        <v>4.78</v>
      </c>
      <c r="G23" s="51" t="n">
        <f aca="false">VLOOKUP(A23,Bogey,2,FALSE())</f>
        <v>61.93</v>
      </c>
      <c r="H23" s="52" t="n">
        <f aca="false">IF(C23&gt;0,G23-D23,"")</f>
        <v>11.93</v>
      </c>
      <c r="I23" s="53" t="n">
        <f aca="false">IF(C23&gt;0,H23*ABS(C23),"")</f>
        <v>285.661476298265</v>
      </c>
      <c r="J23" s="54" t="n">
        <f aca="false">IF($C23=0,"",$H23*0.4)</f>
        <v>4.772</v>
      </c>
      <c r="K23" s="49" t="n">
        <f aca="false">IF($C23=0,"",$H23*0.6)</f>
        <v>7.158</v>
      </c>
      <c r="L23" s="49" t="n">
        <f aca="false">IF(C23=0,"",J23*$C23)</f>
        <v>114.264590519306</v>
      </c>
      <c r="M23" s="55" t="n">
        <f aca="false">IF(C23=0,"",C23*K23)</f>
        <v>171.396885778959</v>
      </c>
      <c r="N23" s="56" t="n">
        <f aca="false">IF(C23=0,"",D23)</f>
        <v>50</v>
      </c>
      <c r="O23" s="57" t="n">
        <f aca="false">IF(C23=0,"",D23+J23)</f>
        <v>54.772</v>
      </c>
      <c r="P23" s="44" t="n">
        <f aca="false">IF(C23=0,"",N23*C23)</f>
        <v>1197.24005154344</v>
      </c>
      <c r="Q23" s="58" t="n">
        <f aca="false">IF(C23=0,"",O23*C23)</f>
        <v>1311.50464206275</v>
      </c>
      <c r="R23" s="44"/>
      <c r="S23" s="59" t="n">
        <f aca="false">IF(C23=0,"",L23)</f>
        <v>114.264590519306</v>
      </c>
      <c r="T23" s="60" t="n">
        <f aca="false">IF(C23=0,"",M23)</f>
        <v>171.396885778959</v>
      </c>
    </row>
    <row r="24" customFormat="false" ht="12.75" hidden="false" customHeight="false" outlineLevel="0" collapsed="false">
      <c r="A24" s="47" t="n">
        <f aca="false">$C$2</f>
        <v>37014</v>
      </c>
      <c r="B24" s="12" t="n">
        <v>18</v>
      </c>
      <c r="C24" s="48" t="n">
        <f aca="false">INDEX(DaMw,C34+17,0)</f>
        <v>22.4901522232633</v>
      </c>
      <c r="D24" s="60" t="n">
        <f aca="false">INDEX(DaPrice,C34+17,0)</f>
        <v>50</v>
      </c>
      <c r="E24" s="50" t="n">
        <f aca="false">VLOOKUP(A24,Gas,4,FALSE())</f>
        <v>4.78</v>
      </c>
      <c r="F24" s="50" t="n">
        <f aca="false">VLOOKUP(A24,Gas,5,FALSE())</f>
        <v>4.78</v>
      </c>
      <c r="G24" s="51" t="n">
        <f aca="false">VLOOKUP(A24,Bogey,2,FALSE())</f>
        <v>61.93</v>
      </c>
      <c r="H24" s="52" t="n">
        <f aca="false">IF(C24&gt;0,G24-D24,"")</f>
        <v>11.93</v>
      </c>
      <c r="I24" s="53" t="n">
        <f aca="false">IF(C24&gt;0,H24*ABS(C24),"")</f>
        <v>268.307516023531</v>
      </c>
      <c r="J24" s="54" t="n">
        <f aca="false">IF($C24=0,"",$H24*0.4)</f>
        <v>4.772</v>
      </c>
      <c r="K24" s="49" t="n">
        <f aca="false">IF($C24=0,"",$H24*0.6)</f>
        <v>7.158</v>
      </c>
      <c r="L24" s="49" t="n">
        <f aca="false">IF(C24=0,"",J24*$C24)</f>
        <v>107.323006409412</v>
      </c>
      <c r="M24" s="55" t="n">
        <f aca="false">IF(C24=0,"",C24*K24)</f>
        <v>160.984509614119</v>
      </c>
      <c r="N24" s="56" t="n">
        <f aca="false">IF(C24=0,"",D24)</f>
        <v>50</v>
      </c>
      <c r="O24" s="57" t="n">
        <f aca="false">IF(C24=0,"",D24+J24)</f>
        <v>54.772</v>
      </c>
      <c r="P24" s="44" t="n">
        <f aca="false">IF(C24=0,"",N24*C24)</f>
        <v>1124.50761116317</v>
      </c>
      <c r="Q24" s="58" t="n">
        <f aca="false">IF(C24=0,"",O24*C24)</f>
        <v>1231.83061757258</v>
      </c>
      <c r="R24" s="44"/>
      <c r="S24" s="59" t="n">
        <f aca="false">IF(C24=0,"",L24)</f>
        <v>107.323006409412</v>
      </c>
      <c r="T24" s="60" t="n">
        <f aca="false">IF(C24=0,"",M24)</f>
        <v>160.984509614119</v>
      </c>
    </row>
    <row r="25" customFormat="false" ht="12.75" hidden="false" customHeight="false" outlineLevel="0" collapsed="false">
      <c r="A25" s="47" t="n">
        <f aca="false">$C$2</f>
        <v>37014</v>
      </c>
      <c r="B25" s="12" t="n">
        <v>19</v>
      </c>
      <c r="C25" s="48" t="n">
        <f aca="false">INDEX(DaMw,C34+18,0)</f>
        <v>23.0277963954882</v>
      </c>
      <c r="D25" s="60" t="n">
        <f aca="false">INDEX(DaPrice,C34+18,0)</f>
        <v>50</v>
      </c>
      <c r="E25" s="50" t="n">
        <f aca="false">VLOOKUP(A25,Gas,4,FALSE())</f>
        <v>4.78</v>
      </c>
      <c r="F25" s="50" t="n">
        <f aca="false">VLOOKUP(A25,Gas,5,FALSE())</f>
        <v>4.78</v>
      </c>
      <c r="G25" s="51" t="n">
        <f aca="false">VLOOKUP(A25,Bogey,2,FALSE())</f>
        <v>61.93</v>
      </c>
      <c r="H25" s="52" t="n">
        <f aca="false">IF(C25&gt;0,G25-D25,"")</f>
        <v>11.93</v>
      </c>
      <c r="I25" s="53" t="n">
        <f aca="false">IF(C25&gt;0,H25*ABS(C25),"")</f>
        <v>274.721610998174</v>
      </c>
      <c r="J25" s="54" t="n">
        <f aca="false">IF($C25=0,"",$H25*0.4)</f>
        <v>4.772</v>
      </c>
      <c r="K25" s="49" t="n">
        <f aca="false">IF($C25=0,"",$H25*0.6)</f>
        <v>7.158</v>
      </c>
      <c r="L25" s="49" t="n">
        <f aca="false">IF(C25=0,"",J25*$C25)</f>
        <v>109.88864439927</v>
      </c>
      <c r="M25" s="55" t="n">
        <f aca="false">IF(C25=0,"",C25*K25)</f>
        <v>164.832966598904</v>
      </c>
      <c r="N25" s="56" t="n">
        <f aca="false">IF(C25=0,"",D25)</f>
        <v>50</v>
      </c>
      <c r="O25" s="57" t="n">
        <f aca="false">IF(C25=0,"",D25+J25)</f>
        <v>54.772</v>
      </c>
      <c r="P25" s="44" t="n">
        <f aca="false">IF(C25=0,"",N25*C25)</f>
        <v>1151.38981977441</v>
      </c>
      <c r="Q25" s="58" t="n">
        <f aca="false">IF(C25=0,"",O25*C25)</f>
        <v>1261.27846417368</v>
      </c>
      <c r="R25" s="44"/>
      <c r="S25" s="59" t="n">
        <f aca="false">IF(C25=0,"",L25)</f>
        <v>109.88864439927</v>
      </c>
      <c r="T25" s="60" t="n">
        <f aca="false">IF(C25=0,"",M25)</f>
        <v>164.832966598904</v>
      </c>
    </row>
    <row r="26" customFormat="false" ht="12.75" hidden="false" customHeight="false" outlineLevel="0" collapsed="false">
      <c r="A26" s="47" t="n">
        <f aca="false">$C$2</f>
        <v>37014</v>
      </c>
      <c r="B26" s="12" t="n">
        <v>20</v>
      </c>
      <c r="C26" s="48" t="n">
        <f aca="false">INDEX(DaMw,C34+19,0)</f>
        <v>21.842478541566</v>
      </c>
      <c r="D26" s="60" t="n">
        <f aca="false">INDEX(DaPrice,C34+19,0)</f>
        <v>50</v>
      </c>
      <c r="E26" s="50" t="n">
        <f aca="false">VLOOKUP(A26,Gas,4,FALSE())</f>
        <v>4.78</v>
      </c>
      <c r="F26" s="50" t="n">
        <f aca="false">VLOOKUP(A26,Gas,5,FALSE())</f>
        <v>4.78</v>
      </c>
      <c r="G26" s="51" t="n">
        <f aca="false">VLOOKUP(A26,Bogey,2,FALSE())</f>
        <v>61.93</v>
      </c>
      <c r="H26" s="52" t="n">
        <f aca="false">IF(C26&gt;0,G26-D26,"")</f>
        <v>11.93</v>
      </c>
      <c r="I26" s="53" t="n">
        <f aca="false">IF(C26&gt;0,H26*ABS(C26),"")</f>
        <v>260.580769000882</v>
      </c>
      <c r="J26" s="54" t="n">
        <f aca="false">IF($C26=0,"",$H26*0.4)</f>
        <v>4.772</v>
      </c>
      <c r="K26" s="49" t="n">
        <f aca="false">IF($C26=0,"",$H26*0.6)</f>
        <v>7.158</v>
      </c>
      <c r="L26" s="49" t="n">
        <f aca="false">IF(C26=0,"",J26*$C26)</f>
        <v>104.232307600353</v>
      </c>
      <c r="M26" s="55" t="n">
        <f aca="false">IF(C26=0,"",C26*K26)</f>
        <v>156.348461400529</v>
      </c>
      <c r="N26" s="56" t="n">
        <f aca="false">IF(C26=0,"",D26)</f>
        <v>50</v>
      </c>
      <c r="O26" s="57" t="n">
        <f aca="false">IF(C26=0,"",D26+J26)</f>
        <v>54.772</v>
      </c>
      <c r="P26" s="44" t="n">
        <f aca="false">IF(C26=0,"",N26*C26)</f>
        <v>1092.1239270783</v>
      </c>
      <c r="Q26" s="58" t="n">
        <f aca="false">IF(C26=0,"",O26*C26)</f>
        <v>1196.35623467865</v>
      </c>
      <c r="R26" s="44"/>
      <c r="S26" s="59" t="n">
        <f aca="false">IF(C26=0,"",L26)</f>
        <v>104.232307600353</v>
      </c>
      <c r="T26" s="60" t="n">
        <f aca="false">IF(C26=0,"",M26)</f>
        <v>156.348461400529</v>
      </c>
    </row>
    <row r="27" customFormat="false" ht="12.75" hidden="false" customHeight="false" outlineLevel="0" collapsed="false">
      <c r="A27" s="47" t="n">
        <f aca="false">$C$2</f>
        <v>37014</v>
      </c>
      <c r="B27" s="12" t="n">
        <v>21</v>
      </c>
      <c r="C27" s="48" t="n">
        <f aca="false">INDEX(DaMw,C34+20,0)</f>
        <v>24.8374741468255</v>
      </c>
      <c r="D27" s="60" t="n">
        <f aca="false">INDEX(DaPrice,C34+20,0)</f>
        <v>50</v>
      </c>
      <c r="E27" s="50" t="n">
        <f aca="false">VLOOKUP(A27,Gas,4,FALSE())</f>
        <v>4.78</v>
      </c>
      <c r="F27" s="50" t="n">
        <f aca="false">VLOOKUP(A27,Gas,5,FALSE())</f>
        <v>4.78</v>
      </c>
      <c r="G27" s="51" t="n">
        <f aca="false">VLOOKUP(A27,Bogey,2,FALSE())</f>
        <v>61.93</v>
      </c>
      <c r="H27" s="52" t="n">
        <f aca="false">IF(C27&gt;0,G27-D27,"")</f>
        <v>11.93</v>
      </c>
      <c r="I27" s="53" t="n">
        <f aca="false">IF(C27&gt;0,H27*ABS(C27),"")</f>
        <v>296.311066571628</v>
      </c>
      <c r="J27" s="54" t="n">
        <f aca="false">IF($C27=0,"",$H27*0.4)</f>
        <v>4.772</v>
      </c>
      <c r="K27" s="49" t="n">
        <f aca="false">IF($C27=0,"",$H27*0.6)</f>
        <v>7.158</v>
      </c>
      <c r="L27" s="49" t="n">
        <f aca="false">IF(C27=0,"",J27*$C27)</f>
        <v>118.524426628651</v>
      </c>
      <c r="M27" s="55" t="n">
        <f aca="false">IF(C27=0,"",C27*K27)</f>
        <v>177.786639942977</v>
      </c>
      <c r="N27" s="56" t="n">
        <f aca="false">IF(C27=0,"",D27)</f>
        <v>50</v>
      </c>
      <c r="O27" s="57" t="n">
        <f aca="false">IF(C27=0,"",D27+J27)</f>
        <v>54.772</v>
      </c>
      <c r="P27" s="44" t="n">
        <f aca="false">IF(C27=0,"",N27*C27)</f>
        <v>1241.87370734128</v>
      </c>
      <c r="Q27" s="58" t="n">
        <f aca="false">IF(C27=0,"",O27*C27)</f>
        <v>1360.39813396993</v>
      </c>
      <c r="R27" s="44"/>
      <c r="S27" s="59" t="n">
        <f aca="false">IF(C27=0,"",L27)</f>
        <v>118.524426628651</v>
      </c>
      <c r="T27" s="60" t="n">
        <f aca="false">IF(C27=0,"",M27)</f>
        <v>177.786639942977</v>
      </c>
    </row>
    <row r="28" customFormat="false" ht="12.75" hidden="false" customHeight="false" outlineLevel="0" collapsed="false">
      <c r="A28" s="47" t="n">
        <f aca="false">$C$2</f>
        <v>37014</v>
      </c>
      <c r="B28" s="12" t="n">
        <v>22</v>
      </c>
      <c r="C28" s="48" t="n">
        <f aca="false">INDEX(DaMw,C34+21,0)</f>
        <v>24.617253253736</v>
      </c>
      <c r="D28" s="60" t="n">
        <f aca="false">INDEX(DaPrice,C34+21,0)</f>
        <v>50</v>
      </c>
      <c r="E28" s="50" t="n">
        <f aca="false">VLOOKUP(A28,Gas,4,FALSE())</f>
        <v>4.78</v>
      </c>
      <c r="F28" s="50" t="n">
        <f aca="false">VLOOKUP(A28,Gas,5,FALSE())</f>
        <v>4.78</v>
      </c>
      <c r="G28" s="51" t="n">
        <f aca="false">VLOOKUP(A28,Bogey,2,FALSE())</f>
        <v>61.93</v>
      </c>
      <c r="H28" s="52" t="n">
        <f aca="false">IF(C28&gt;0,G28-D28,"")</f>
        <v>11.93</v>
      </c>
      <c r="I28" s="53" t="n">
        <f aca="false">IF(C28&gt;0,H28*ABS(C28),"")</f>
        <v>293.683831317071</v>
      </c>
      <c r="J28" s="54" t="n">
        <f aca="false">IF($C28=0,"",$H28*0.4)</f>
        <v>4.772</v>
      </c>
      <c r="K28" s="49" t="n">
        <f aca="false">IF($C28=0,"",$H28*0.6)</f>
        <v>7.158</v>
      </c>
      <c r="L28" s="49" t="n">
        <f aca="false">IF(C28=0,"",J28*$C28)</f>
        <v>117.473532526828</v>
      </c>
      <c r="M28" s="55" t="n">
        <f aca="false">IF(C28=0,"",C28*K28)</f>
        <v>176.210298790242</v>
      </c>
      <c r="N28" s="56" t="n">
        <f aca="false">IF(C28=0,"",D28)</f>
        <v>50</v>
      </c>
      <c r="O28" s="57" t="n">
        <f aca="false">IF(C28=0,"",D28+J28)</f>
        <v>54.772</v>
      </c>
      <c r="P28" s="44" t="n">
        <f aca="false">IF(C28=0,"",N28*C28)</f>
        <v>1230.8626626868</v>
      </c>
      <c r="Q28" s="58" t="n">
        <f aca="false">IF(C28=0,"",O28*C28)</f>
        <v>1348.33619521363</v>
      </c>
      <c r="R28" s="44"/>
      <c r="S28" s="59" t="n">
        <f aca="false">IF(C28=0,"",L28)</f>
        <v>117.473532526828</v>
      </c>
      <c r="T28" s="60" t="n">
        <f aca="false">IF(C28=0,"",M28)</f>
        <v>176.210298790242</v>
      </c>
    </row>
    <row r="29" customFormat="false" ht="12.75" hidden="false" customHeight="false" outlineLevel="0" collapsed="false">
      <c r="A29" s="47" t="n">
        <f aca="false">$C$2</f>
        <v>37014</v>
      </c>
      <c r="B29" s="12" t="n">
        <v>23</v>
      </c>
      <c r="C29" s="48" t="n">
        <f aca="false">INDEX(DaMw,C34+22,0)</f>
        <v>15</v>
      </c>
      <c r="D29" s="60" t="n">
        <f aca="false">INDEX(DaPrice,C34+22,0)</f>
        <v>20</v>
      </c>
      <c r="E29" s="50" t="n">
        <f aca="false">VLOOKUP(A29,Gas,4,FALSE())</f>
        <v>4.78</v>
      </c>
      <c r="F29" s="50" t="n">
        <f aca="false">VLOOKUP(A29,Gas,5,FALSE())</f>
        <v>4.78</v>
      </c>
      <c r="G29" s="51" t="n">
        <f aca="false">VLOOKUP(A29,Bogey,2,FALSE())</f>
        <v>61.93</v>
      </c>
      <c r="H29" s="52" t="n">
        <f aca="false">IF(C29&gt;0,G29-D29,"")</f>
        <v>41.93</v>
      </c>
      <c r="I29" s="53" t="n">
        <f aca="false">IF(C29&gt;0,H29*ABS(C29),"")</f>
        <v>628.95</v>
      </c>
      <c r="J29" s="54" t="n">
        <f aca="false">IF(C29=0,"",1)</f>
        <v>1</v>
      </c>
      <c r="K29" s="44" t="n">
        <f aca="false">IF(C29=0,"",G29-(D29+1))</f>
        <v>40.93</v>
      </c>
      <c r="L29" s="44" t="n">
        <f aca="false">IF(C29=0,"",C29*J29)</f>
        <v>15</v>
      </c>
      <c r="M29" s="55" t="n">
        <f aca="false">IF(C29=0,"",C29*K29)</f>
        <v>613.95</v>
      </c>
      <c r="N29" s="56" t="n">
        <f aca="false">IF(C29=0,"",D29)</f>
        <v>20</v>
      </c>
      <c r="O29" s="57" t="n">
        <f aca="false">IF(C29=0,"",D29+1)</f>
        <v>21</v>
      </c>
      <c r="P29" s="44" t="n">
        <f aca="false">IF(C29=0,"",N29*C29)</f>
        <v>300</v>
      </c>
      <c r="Q29" s="58" t="n">
        <f aca="false">IF(C29=0,"",O29*C29)</f>
        <v>315</v>
      </c>
      <c r="R29" s="44"/>
      <c r="S29" s="59" t="n">
        <f aca="false">IF(C29=0,"",L29)</f>
        <v>15</v>
      </c>
      <c r="T29" s="60" t="n">
        <f aca="false">IF(C29=0,"",M29)</f>
        <v>613.95</v>
      </c>
    </row>
    <row r="30" customFormat="false" ht="12.75" hidden="false" customHeight="false" outlineLevel="0" collapsed="false">
      <c r="A30" s="61" t="n">
        <f aca="false">$C$2</f>
        <v>37014</v>
      </c>
      <c r="B30" s="62" t="n">
        <v>24</v>
      </c>
      <c r="C30" s="63" t="n">
        <f aca="false">INDEX(DaMw,C34+23,0)</f>
        <v>15</v>
      </c>
      <c r="D30" s="76" t="n">
        <f aca="false">INDEX(DaPrice,C34+23,0)</f>
        <v>20</v>
      </c>
      <c r="E30" s="65" t="n">
        <f aca="false">VLOOKUP(A30,Gas,4,FALSE())</f>
        <v>4.78</v>
      </c>
      <c r="F30" s="65" t="n">
        <f aca="false">VLOOKUP(A30,Gas,5,FALSE())</f>
        <v>4.78</v>
      </c>
      <c r="G30" s="66" t="n">
        <f aca="false">VLOOKUP(A30,Bogey,2,FALSE())</f>
        <v>61.93</v>
      </c>
      <c r="H30" s="67" t="n">
        <f aca="false">IF(C30&gt;0,G30-D30,"")</f>
        <v>41.93</v>
      </c>
      <c r="I30" s="68" t="n">
        <f aca="false">IF(C30&gt;0,H30*ABS(C30),"")</f>
        <v>628.95</v>
      </c>
      <c r="J30" s="69" t="n">
        <f aca="false">IF(C30=0,"",1)</f>
        <v>1</v>
      </c>
      <c r="K30" s="70" t="n">
        <f aca="false">IF(C30=0,"",G30-(D30+1))</f>
        <v>40.93</v>
      </c>
      <c r="L30" s="70" t="n">
        <f aca="false">IF(C30=0,"",C30*J30)</f>
        <v>15</v>
      </c>
      <c r="M30" s="71" t="n">
        <f aca="false">IF(C30=0,"",C30*K30)</f>
        <v>613.95</v>
      </c>
      <c r="N30" s="72" t="n">
        <f aca="false">IF(C30=0,"",D30)</f>
        <v>20</v>
      </c>
      <c r="O30" s="73" t="n">
        <f aca="false">IF(C30=0,"",D30+1)</f>
        <v>21</v>
      </c>
      <c r="P30" s="70" t="n">
        <f aca="false">IF(C30=0,"",N30*C30)</f>
        <v>300</v>
      </c>
      <c r="Q30" s="74" t="n">
        <f aca="false">IF(C30=0,"",O30*C30)</f>
        <v>315</v>
      </c>
      <c r="R30" s="44"/>
      <c r="S30" s="75" t="n">
        <f aca="false">IF(C30=0,"",L30)</f>
        <v>15</v>
      </c>
      <c r="T30" s="76" t="n">
        <f aca="false">IF(C30=0,"",M30)</f>
        <v>613.95</v>
      </c>
    </row>
    <row r="31" customFormat="false" ht="4.5" hidden="false" customHeight="true" outlineLevel="0" collapsed="false">
      <c r="E31" s="77"/>
      <c r="F31" s="77"/>
      <c r="G31" s="77"/>
      <c r="I31" s="78"/>
      <c r="Q31" s="2"/>
      <c r="S31" s="2"/>
    </row>
    <row r="32" customFormat="false" ht="12.75" hidden="false" customHeight="false" outlineLevel="0" collapsed="false">
      <c r="K32" s="79"/>
      <c r="L32" s="79"/>
      <c r="M32" s="79"/>
      <c r="N32" s="80"/>
      <c r="O32" s="79"/>
      <c r="P32" s="80"/>
      <c r="Q32" s="81" t="n">
        <f aca="false">SUM(Q7:Q30)</f>
        <v>23038.0597693108</v>
      </c>
      <c r="R32" s="82"/>
      <c r="S32" s="81" t="n">
        <f aca="false">SUM(S7:S30)</f>
        <v>1907.63202401138</v>
      </c>
      <c r="T32" s="81" t="n">
        <f aca="false">SUM(T7:T30)</f>
        <v>7593.04803601707</v>
      </c>
    </row>
    <row r="34" customFormat="false" ht="12.75" hidden="true" customHeight="false" outlineLevel="0" collapsed="false">
      <c r="B34" s="0" t="s">
        <v>33</v>
      </c>
      <c r="C34" s="0" t="n">
        <f aca="false">MATCH(C2,DaDate,0)</f>
        <v>49</v>
      </c>
    </row>
    <row r="37" customFormat="false" ht="12.75" hidden="false" customHeight="false" outlineLevel="0" collapsed="false">
      <c r="A37" s="6"/>
      <c r="B37" s="6"/>
      <c r="C37" s="6"/>
      <c r="D37" s="7"/>
      <c r="E37" s="8" t="s">
        <v>2</v>
      </c>
      <c r="F37" s="8"/>
      <c r="G37" s="8"/>
      <c r="H37" s="9" t="s">
        <v>3</v>
      </c>
      <c r="I37" s="9"/>
      <c r="J37" s="9" t="s">
        <v>4</v>
      </c>
      <c r="K37" s="9"/>
      <c r="L37" s="9"/>
      <c r="M37" s="9"/>
      <c r="N37" s="10" t="s">
        <v>5</v>
      </c>
      <c r="O37" s="10"/>
      <c r="P37" s="10"/>
      <c r="Q37" s="10"/>
      <c r="R37" s="11"/>
      <c r="S37" s="10" t="s">
        <v>6</v>
      </c>
      <c r="T37" s="10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2.75" hidden="false" customHeight="false" outlineLevel="0" collapsed="false">
      <c r="B38" s="85" t="s">
        <v>35</v>
      </c>
      <c r="C38" s="85"/>
      <c r="D38" s="85"/>
      <c r="E38" s="13"/>
      <c r="F38" s="14"/>
      <c r="G38" s="15"/>
      <c r="H38" s="16" t="s">
        <v>7</v>
      </c>
      <c r="I38" s="17" t="s">
        <v>7</v>
      </c>
      <c r="J38" s="16" t="s">
        <v>8</v>
      </c>
      <c r="K38" s="18" t="s">
        <v>9</v>
      </c>
      <c r="L38" s="18" t="s">
        <v>8</v>
      </c>
      <c r="M38" s="17" t="s">
        <v>9</v>
      </c>
      <c r="N38" s="19" t="s">
        <v>10</v>
      </c>
      <c r="O38" s="19"/>
      <c r="P38" s="19" t="s">
        <v>11</v>
      </c>
      <c r="Q38" s="19"/>
      <c r="R38" s="11"/>
      <c r="S38" s="20"/>
      <c r="T38" s="21"/>
    </row>
    <row r="39" customFormat="false" ht="12.75" hidden="false" customHeight="false" outlineLevel="0" collapsed="false">
      <c r="E39" s="16" t="s">
        <v>12</v>
      </c>
      <c r="F39" s="18" t="s">
        <v>12</v>
      </c>
      <c r="G39" s="17" t="s">
        <v>13</v>
      </c>
      <c r="H39" s="16" t="s">
        <v>14</v>
      </c>
      <c r="I39" s="17" t="s">
        <v>14</v>
      </c>
      <c r="J39" s="22" t="s">
        <v>15</v>
      </c>
      <c r="K39" s="18" t="s">
        <v>16</v>
      </c>
      <c r="L39" s="18" t="s">
        <v>17</v>
      </c>
      <c r="M39" s="17" t="s">
        <v>18</v>
      </c>
      <c r="N39" s="23"/>
      <c r="O39" s="15"/>
      <c r="P39" s="22"/>
      <c r="Q39" s="24" t="s">
        <v>19</v>
      </c>
      <c r="R39" s="11"/>
      <c r="S39" s="16" t="s">
        <v>20</v>
      </c>
      <c r="T39" s="25" t="s">
        <v>21</v>
      </c>
    </row>
    <row r="40" customFormat="false" ht="12.75" hidden="false" customHeight="false" outlineLevel="0" collapsed="false">
      <c r="A40" s="26" t="s">
        <v>22</v>
      </c>
      <c r="B40" s="27" t="s">
        <v>23</v>
      </c>
      <c r="C40" s="27" t="s">
        <v>24</v>
      </c>
      <c r="D40" s="28" t="s">
        <v>25</v>
      </c>
      <c r="E40" s="22" t="s">
        <v>26</v>
      </c>
      <c r="F40" s="5" t="s">
        <v>27</v>
      </c>
      <c r="G40" s="25" t="s">
        <v>28</v>
      </c>
      <c r="H40" s="22" t="s">
        <v>29</v>
      </c>
      <c r="I40" s="25" t="s">
        <v>30</v>
      </c>
      <c r="J40" s="22" t="s">
        <v>10</v>
      </c>
      <c r="K40" s="5" t="s">
        <v>10</v>
      </c>
      <c r="L40" s="5" t="s">
        <v>30</v>
      </c>
      <c r="M40" s="25" t="s">
        <v>30</v>
      </c>
      <c r="N40" s="22" t="s">
        <v>20</v>
      </c>
      <c r="O40" s="25" t="s">
        <v>21</v>
      </c>
      <c r="P40" s="22" t="s">
        <v>20</v>
      </c>
      <c r="Q40" s="29" t="s">
        <v>21</v>
      </c>
      <c r="R40" s="5"/>
      <c r="S40" s="22" t="s">
        <v>31</v>
      </c>
      <c r="T40" s="25" t="s">
        <v>32</v>
      </c>
      <c r="U40" s="30"/>
      <c r="V40" s="30"/>
    </row>
    <row r="41" customFormat="false" ht="12.75" hidden="false" customHeight="false" outlineLevel="0" collapsed="false">
      <c r="A41" s="31" t="n">
        <f aca="false">$C$2</f>
        <v>37014</v>
      </c>
      <c r="B41" s="32" t="n">
        <v>1</v>
      </c>
      <c r="C41" s="33" t="str">
        <f aca="false">INDEX(RtMw,C68,0)</f>
        <v/>
      </c>
      <c r="D41" s="34" t="str">
        <f aca="false">INDEX(RTPrice,C68,0)</f>
        <v/>
      </c>
      <c r="E41" s="35" t="n">
        <f aca="false">VLOOKUP(A41,Gas,4,FALSE())</f>
        <v>4.78</v>
      </c>
      <c r="F41" s="35" t="n">
        <f aca="false">VLOOKUP(A41,Gas,5,FALSE())</f>
        <v>4.78</v>
      </c>
      <c r="G41" s="36" t="n">
        <f aca="false">VLOOKUP(A41,Bogey,2,FALSE())</f>
        <v>61.93</v>
      </c>
      <c r="H41" s="37" t="e">
        <f aca="false">IF(C41&gt;0,G41-D41,"")</f>
        <v>#VALUE!</v>
      </c>
      <c r="I41" s="38" t="e">
        <f aca="false">IF(C41&gt;0,H41*ABS(C41),"")</f>
        <v>#VALUE!</v>
      </c>
      <c r="J41" s="39" t="n">
        <f aca="false">IF(C41=0,"",1)</f>
        <v>1</v>
      </c>
      <c r="K41" s="40" t="e">
        <f aca="false">IF(C41=0,"",G41-(D41+1))</f>
        <v>#VALUE!</v>
      </c>
      <c r="L41" s="40" t="e">
        <f aca="false">IF(C41=0,"",C41*J41)</f>
        <v>#VALUE!</v>
      </c>
      <c r="M41" s="21" t="e">
        <f aca="false">IF(C41=0,"",C41*K41)</f>
        <v>#VALUE!</v>
      </c>
      <c r="N41" s="41" t="str">
        <f aca="false">IF(C41=0,"",D41)</f>
        <v/>
      </c>
      <c r="O41" s="42" t="e">
        <f aca="false">IF(C41=0,"",D41+1)</f>
        <v>#VALUE!</v>
      </c>
      <c r="P41" s="40" t="e">
        <f aca="false">IF(C41=0,"",N41*C41)</f>
        <v>#VALUE!</v>
      </c>
      <c r="Q41" s="43" t="e">
        <f aca="false">IF(C41=0,"",O41*C41)</f>
        <v>#VALUE!</v>
      </c>
      <c r="R41" s="44"/>
      <c r="S41" s="45" t="e">
        <f aca="false">IF(C41=0,"",L41)</f>
        <v>#VALUE!</v>
      </c>
      <c r="T41" s="46" t="e">
        <f aca="false">IF(C41=0,"",M41)</f>
        <v>#VALUE!</v>
      </c>
    </row>
    <row r="42" customFormat="false" ht="12.75" hidden="false" customHeight="false" outlineLevel="0" collapsed="false">
      <c r="A42" s="47" t="n">
        <f aca="false">$C$2</f>
        <v>37014</v>
      </c>
      <c r="B42" s="12" t="n">
        <v>2</v>
      </c>
      <c r="C42" s="48" t="str">
        <f aca="false">INDEX(RtMw,C68+1,0)</f>
        <v/>
      </c>
      <c r="D42" s="49" t="str">
        <f aca="false">INDEX(RTPrice,C68+1,0)</f>
        <v/>
      </c>
      <c r="E42" s="50" t="n">
        <f aca="false">VLOOKUP(A42,Gas,4,FALSE())</f>
        <v>4.78</v>
      </c>
      <c r="F42" s="50" t="n">
        <f aca="false">VLOOKUP(A42,Gas,5,FALSE())</f>
        <v>4.78</v>
      </c>
      <c r="G42" s="51" t="n">
        <f aca="false">VLOOKUP(A42,Bogey,2,FALSE())</f>
        <v>61.93</v>
      </c>
      <c r="H42" s="52" t="e">
        <f aca="false">IF(C42&gt;0,G42-D42,"")</f>
        <v>#VALUE!</v>
      </c>
      <c r="I42" s="53" t="e">
        <f aca="false">IF(C42&gt;0,H42*ABS(C42),"")</f>
        <v>#VALUE!</v>
      </c>
      <c r="J42" s="54" t="n">
        <f aca="false">IF(C42=0,"",1)</f>
        <v>1</v>
      </c>
      <c r="K42" s="44" t="e">
        <f aca="false">IF(C42=0,"",G42-(D42+1))</f>
        <v>#VALUE!</v>
      </c>
      <c r="L42" s="44" t="e">
        <f aca="false">IF(C42=0,"",C42*J42)</f>
        <v>#VALUE!</v>
      </c>
      <c r="M42" s="55" t="e">
        <f aca="false">IF(C42=0,"",C42*K42)</f>
        <v>#VALUE!</v>
      </c>
      <c r="N42" s="56" t="str">
        <f aca="false">IF(C42=0,"",D42)</f>
        <v/>
      </c>
      <c r="O42" s="57" t="e">
        <f aca="false">IF(C42=0,"",D42+1)</f>
        <v>#VALUE!</v>
      </c>
      <c r="P42" s="44" t="e">
        <f aca="false">IF(C42=0,"",N42*C42)</f>
        <v>#VALUE!</v>
      </c>
      <c r="Q42" s="58" t="e">
        <f aca="false">IF(C42=0,"",O42*C42)</f>
        <v>#VALUE!</v>
      </c>
      <c r="R42" s="44"/>
      <c r="S42" s="59" t="e">
        <f aca="false">IF(C42=0,"",L42)</f>
        <v>#VALUE!</v>
      </c>
      <c r="T42" s="60" t="e">
        <f aca="false">IF(C42=0,"",M42)</f>
        <v>#VALUE!</v>
      </c>
    </row>
    <row r="43" customFormat="false" ht="12.75" hidden="false" customHeight="false" outlineLevel="0" collapsed="false">
      <c r="A43" s="47" t="n">
        <f aca="false">$C$2</f>
        <v>37014</v>
      </c>
      <c r="B43" s="12" t="n">
        <v>3</v>
      </c>
      <c r="C43" s="48" t="str">
        <f aca="false">INDEX(RtMw,C68+2,0)</f>
        <v/>
      </c>
      <c r="D43" s="49" t="str">
        <f aca="false">INDEX(RTPrice,C68+2,0)</f>
        <v/>
      </c>
      <c r="E43" s="50" t="n">
        <f aca="false">VLOOKUP(A43,Gas,4,FALSE())</f>
        <v>4.78</v>
      </c>
      <c r="F43" s="50" t="n">
        <f aca="false">VLOOKUP(A43,Gas,5,FALSE())</f>
        <v>4.78</v>
      </c>
      <c r="G43" s="51" t="n">
        <f aca="false">VLOOKUP(A43,Bogey,2,FALSE())</f>
        <v>61.93</v>
      </c>
      <c r="H43" s="52" t="e">
        <f aca="false">IF(C43&gt;0,G43-D43,"")</f>
        <v>#VALUE!</v>
      </c>
      <c r="I43" s="53" t="e">
        <f aca="false">IF(C43&gt;0,H43*ABS(C43),"")</f>
        <v>#VALUE!</v>
      </c>
      <c r="J43" s="54" t="n">
        <f aca="false">IF(C43=0,"",1)</f>
        <v>1</v>
      </c>
      <c r="K43" s="44" t="e">
        <f aca="false">IF(C43=0,"",G43-(D43+1))</f>
        <v>#VALUE!</v>
      </c>
      <c r="L43" s="44" t="e">
        <f aca="false">IF(C43=0,"",C43*J43)</f>
        <v>#VALUE!</v>
      </c>
      <c r="M43" s="55" t="e">
        <f aca="false">IF(C43=0,"",C43*K43)</f>
        <v>#VALUE!</v>
      </c>
      <c r="N43" s="56" t="str">
        <f aca="false">IF(C43=0,"",D43)</f>
        <v/>
      </c>
      <c r="O43" s="57" t="e">
        <f aca="false">IF(C43=0,"",D43+1)</f>
        <v>#VALUE!</v>
      </c>
      <c r="P43" s="44" t="e">
        <f aca="false">IF(C43=0,"",N43*C43)</f>
        <v>#VALUE!</v>
      </c>
      <c r="Q43" s="58" t="e">
        <f aca="false">IF(C43=0,"",O43*C43)</f>
        <v>#VALUE!</v>
      </c>
      <c r="R43" s="44"/>
      <c r="S43" s="59" t="e">
        <f aca="false">IF(C43=0,"",L43)</f>
        <v>#VALUE!</v>
      </c>
      <c r="T43" s="60" t="e">
        <f aca="false">IF(C43=0,"",M43)</f>
        <v>#VALUE!</v>
      </c>
    </row>
    <row r="44" customFormat="false" ht="12.75" hidden="false" customHeight="false" outlineLevel="0" collapsed="false">
      <c r="A44" s="47" t="n">
        <f aca="false">$C$2</f>
        <v>37014</v>
      </c>
      <c r="B44" s="12" t="n">
        <v>4</v>
      </c>
      <c r="C44" s="48" t="str">
        <f aca="false">INDEX(RtMw,C68+3,0)</f>
        <v/>
      </c>
      <c r="D44" s="49" t="str">
        <f aca="false">INDEX(RTPrice,C68+3,0)</f>
        <v/>
      </c>
      <c r="E44" s="50" t="n">
        <f aca="false">VLOOKUP(A44,Gas,4,FALSE())</f>
        <v>4.78</v>
      </c>
      <c r="F44" s="50" t="n">
        <f aca="false">VLOOKUP(A44,Gas,5,FALSE())</f>
        <v>4.78</v>
      </c>
      <c r="G44" s="51" t="n">
        <f aca="false">VLOOKUP(A44,Bogey,2,FALSE())</f>
        <v>61.93</v>
      </c>
      <c r="H44" s="52" t="e">
        <f aca="false">IF(C44&gt;0,G44-D44,"")</f>
        <v>#VALUE!</v>
      </c>
      <c r="I44" s="53" t="e">
        <f aca="false">IF(C44&gt;0,H44*ABS(C44),"")</f>
        <v>#VALUE!</v>
      </c>
      <c r="J44" s="54" t="n">
        <f aca="false">IF(C44=0,"",1)</f>
        <v>1</v>
      </c>
      <c r="K44" s="44" t="e">
        <f aca="false">IF(C44=0,"",G44-(D44+1))</f>
        <v>#VALUE!</v>
      </c>
      <c r="L44" s="44" t="e">
        <f aca="false">IF(C44=0,"",C44*J44)</f>
        <v>#VALUE!</v>
      </c>
      <c r="M44" s="55" t="e">
        <f aca="false">IF(C44=0,"",C44*K44)</f>
        <v>#VALUE!</v>
      </c>
      <c r="N44" s="56" t="str">
        <f aca="false">IF(C44=0,"",D44)</f>
        <v/>
      </c>
      <c r="O44" s="57" t="e">
        <f aca="false">IF(C44=0,"",D44+1)</f>
        <v>#VALUE!</v>
      </c>
      <c r="P44" s="44" t="e">
        <f aca="false">IF(C44=0,"",N44*C44)</f>
        <v>#VALUE!</v>
      </c>
      <c r="Q44" s="58" t="e">
        <f aca="false">IF(C44=0,"",O44*C44)</f>
        <v>#VALUE!</v>
      </c>
      <c r="R44" s="44"/>
      <c r="S44" s="59" t="e">
        <f aca="false">IF(C44=0,"",L44)</f>
        <v>#VALUE!</v>
      </c>
      <c r="T44" s="60" t="e">
        <f aca="false">IF(C44=0,"",M44)</f>
        <v>#VALUE!</v>
      </c>
    </row>
    <row r="45" customFormat="false" ht="12.75" hidden="false" customHeight="false" outlineLevel="0" collapsed="false">
      <c r="A45" s="47" t="n">
        <f aca="false">$C$2</f>
        <v>37014</v>
      </c>
      <c r="B45" s="12" t="n">
        <v>5</v>
      </c>
      <c r="C45" s="48" t="str">
        <f aca="false">INDEX(RtMw,C68+4,0)</f>
        <v/>
      </c>
      <c r="D45" s="49" t="str">
        <f aca="false">INDEX(RTPrice,C68+4,0)</f>
        <v/>
      </c>
      <c r="E45" s="50" t="n">
        <f aca="false">VLOOKUP(A45,Gas,4,FALSE())</f>
        <v>4.78</v>
      </c>
      <c r="F45" s="50" t="n">
        <f aca="false">VLOOKUP(A45,Gas,5,FALSE())</f>
        <v>4.78</v>
      </c>
      <c r="G45" s="51" t="n">
        <f aca="false">VLOOKUP(A45,Bogey,2,FALSE())</f>
        <v>61.93</v>
      </c>
      <c r="H45" s="52" t="e">
        <f aca="false">IF(C45&gt;0,G45-D45,"")</f>
        <v>#VALUE!</v>
      </c>
      <c r="I45" s="53" t="e">
        <f aca="false">IF(C45&gt;0,H45*ABS(C45),"")</f>
        <v>#VALUE!</v>
      </c>
      <c r="J45" s="54" t="n">
        <f aca="false">IF(C45=0,"",1)</f>
        <v>1</v>
      </c>
      <c r="K45" s="44" t="e">
        <f aca="false">IF(C45=0,"",G45-(D45+1))</f>
        <v>#VALUE!</v>
      </c>
      <c r="L45" s="44" t="e">
        <f aca="false">IF(C45=0,"",C45*J45)</f>
        <v>#VALUE!</v>
      </c>
      <c r="M45" s="55" t="e">
        <f aca="false">IF(C45=0,"",C45*K45)</f>
        <v>#VALUE!</v>
      </c>
      <c r="N45" s="56" t="str">
        <f aca="false">IF(C45=0,"",D45)</f>
        <v/>
      </c>
      <c r="O45" s="57" t="e">
        <f aca="false">IF(C45=0,"",D45+1)</f>
        <v>#VALUE!</v>
      </c>
      <c r="P45" s="44" t="e">
        <f aca="false">IF(C45=0,"",N45*C45)</f>
        <v>#VALUE!</v>
      </c>
      <c r="Q45" s="58" t="e">
        <f aca="false">IF(C45=0,"",O45*C45)</f>
        <v>#VALUE!</v>
      </c>
      <c r="R45" s="44"/>
      <c r="S45" s="59" t="e">
        <f aca="false">IF(C45=0,"",L45)</f>
        <v>#VALUE!</v>
      </c>
      <c r="T45" s="60" t="e">
        <f aca="false">IF(C45=0,"",M45)</f>
        <v>#VALUE!</v>
      </c>
    </row>
    <row r="46" customFormat="false" ht="12.75" hidden="false" customHeight="false" outlineLevel="0" collapsed="false">
      <c r="A46" s="47" t="n">
        <f aca="false">$C$2</f>
        <v>37014</v>
      </c>
      <c r="B46" s="12" t="n">
        <v>6</v>
      </c>
      <c r="C46" s="48" t="str">
        <f aca="false">INDEX(RtMw,C68+5,0)</f>
        <v/>
      </c>
      <c r="D46" s="49" t="str">
        <f aca="false">INDEX(RTPrice,C68+5,0)</f>
        <v/>
      </c>
      <c r="E46" s="50" t="n">
        <f aca="false">VLOOKUP(A46,Gas,4,FALSE())</f>
        <v>4.78</v>
      </c>
      <c r="F46" s="50" t="n">
        <f aca="false">VLOOKUP(A46,Gas,5,FALSE())</f>
        <v>4.78</v>
      </c>
      <c r="G46" s="51" t="n">
        <f aca="false">VLOOKUP(A46,Bogey,2,FALSE())</f>
        <v>61.93</v>
      </c>
      <c r="H46" s="52" t="e">
        <f aca="false">IF(C46&gt;0,G46-D46,"")</f>
        <v>#VALUE!</v>
      </c>
      <c r="I46" s="53" t="e">
        <f aca="false">IF(C46&gt;0,H46*ABS(C46),"")</f>
        <v>#VALUE!</v>
      </c>
      <c r="J46" s="54" t="n">
        <f aca="false">IF(C46=0,"",1)</f>
        <v>1</v>
      </c>
      <c r="K46" s="44" t="e">
        <f aca="false">IF(C46=0,"",G46-(D46+1))</f>
        <v>#VALUE!</v>
      </c>
      <c r="L46" s="44" t="e">
        <f aca="false">IF(C46=0,"",C46*J46)</f>
        <v>#VALUE!</v>
      </c>
      <c r="M46" s="55" t="e">
        <f aca="false">IF(C46=0,"",C46*K46)</f>
        <v>#VALUE!</v>
      </c>
      <c r="N46" s="56" t="str">
        <f aca="false">IF(C46=0,"",D46)</f>
        <v/>
      </c>
      <c r="O46" s="57" t="e">
        <f aca="false">IF(C46=0,"",D46+1)</f>
        <v>#VALUE!</v>
      </c>
      <c r="P46" s="44" t="e">
        <f aca="false">IF(C46=0,"",N46*C46)</f>
        <v>#VALUE!</v>
      </c>
      <c r="Q46" s="58" t="e">
        <f aca="false">IF(C46=0,"",O46*C46)</f>
        <v>#VALUE!</v>
      </c>
      <c r="R46" s="44"/>
      <c r="S46" s="59" t="e">
        <f aca="false">IF(C46=0,"",L46)</f>
        <v>#VALUE!</v>
      </c>
      <c r="T46" s="60" t="e">
        <f aca="false">IF(C46=0,"",M46)</f>
        <v>#VALUE!</v>
      </c>
    </row>
    <row r="47" customFormat="false" ht="12.75" hidden="false" customHeight="false" outlineLevel="0" collapsed="false">
      <c r="A47" s="47" t="n">
        <f aca="false">$C$2</f>
        <v>37014</v>
      </c>
      <c r="B47" s="12" t="n">
        <v>7</v>
      </c>
      <c r="C47" s="48" t="str">
        <f aca="false">INDEX(RtMw,C68+6,0)</f>
        <v/>
      </c>
      <c r="D47" s="49" t="str">
        <f aca="false">INDEX(RTPrice,C68+6,0)</f>
        <v/>
      </c>
      <c r="E47" s="50" t="n">
        <f aca="false">VLOOKUP(A47,Gas,4,FALSE())</f>
        <v>4.78</v>
      </c>
      <c r="F47" s="50" t="n">
        <f aca="false">VLOOKUP(A47,Gas,5,FALSE())</f>
        <v>4.78</v>
      </c>
      <c r="G47" s="51" t="n">
        <f aca="false">VLOOKUP(A47,Bogey,2,FALSE())</f>
        <v>61.93</v>
      </c>
      <c r="H47" s="52" t="e">
        <f aca="false">IF(C47&gt;0,G47-D47,"")</f>
        <v>#VALUE!</v>
      </c>
      <c r="I47" s="53" t="e">
        <f aca="false">IF(C47&gt;0,H47*ABS(C47),"")</f>
        <v>#VALUE!</v>
      </c>
      <c r="J47" s="54" t="e">
        <f aca="false">IF($C47=0,"",$H47*0.4)</f>
        <v>#VALUE!</v>
      </c>
      <c r="K47" s="49" t="e">
        <f aca="false">IF($C47=0,"",$H47*0.6)</f>
        <v>#VALUE!</v>
      </c>
      <c r="L47" s="49" t="e">
        <f aca="false">IF(C47=0,"",J47*$C47)</f>
        <v>#VALUE!</v>
      </c>
      <c r="M47" s="55" t="e">
        <f aca="false">IF(C47=0,"",C47*K47)</f>
        <v>#VALUE!</v>
      </c>
      <c r="N47" s="56" t="str">
        <f aca="false">IF(C47=0,"",D47)</f>
        <v/>
      </c>
      <c r="O47" s="57" t="e">
        <f aca="false">IF(C47=0,"",D47+J47)</f>
        <v>#VALUE!</v>
      </c>
      <c r="P47" s="44" t="e">
        <f aca="false">IF(C47=0,"",N47*C47)</f>
        <v>#VALUE!</v>
      </c>
      <c r="Q47" s="58" t="e">
        <f aca="false">IF(C47=0,"",O47*C47)</f>
        <v>#VALUE!</v>
      </c>
      <c r="R47" s="44"/>
      <c r="S47" s="59" t="e">
        <f aca="false">IF(C47=0,"",L47)</f>
        <v>#VALUE!</v>
      </c>
      <c r="T47" s="60" t="e">
        <f aca="false">IF(C47=0,"",M47)</f>
        <v>#VALUE!</v>
      </c>
    </row>
    <row r="48" customFormat="false" ht="12.75" hidden="false" customHeight="false" outlineLevel="0" collapsed="false">
      <c r="A48" s="47" t="n">
        <f aca="false">$C$2</f>
        <v>37014</v>
      </c>
      <c r="B48" s="12" t="n">
        <v>8</v>
      </c>
      <c r="C48" s="48" t="str">
        <f aca="false">INDEX(RtMw,C68+7,0)</f>
        <v/>
      </c>
      <c r="D48" s="49" t="str">
        <f aca="false">INDEX(RTPrice,C68+7,0)</f>
        <v/>
      </c>
      <c r="E48" s="50" t="n">
        <f aca="false">VLOOKUP(A48,Gas,4,FALSE())</f>
        <v>4.78</v>
      </c>
      <c r="F48" s="50" t="n">
        <f aca="false">VLOOKUP(A48,Gas,5,FALSE())</f>
        <v>4.78</v>
      </c>
      <c r="G48" s="51" t="n">
        <f aca="false">VLOOKUP(A48,Bogey,2,FALSE())</f>
        <v>61.93</v>
      </c>
      <c r="H48" s="52" t="e">
        <f aca="false">IF(C48&gt;0,G48-D48,"")</f>
        <v>#VALUE!</v>
      </c>
      <c r="I48" s="53" t="e">
        <f aca="false">IF(C48&gt;0,H48*ABS(C48),"")</f>
        <v>#VALUE!</v>
      </c>
      <c r="J48" s="54" t="e">
        <f aca="false">IF($C48=0,"",$H48*0.4)</f>
        <v>#VALUE!</v>
      </c>
      <c r="K48" s="49" t="e">
        <f aca="false">IF($C48=0,"",$H48*0.6)</f>
        <v>#VALUE!</v>
      </c>
      <c r="L48" s="49" t="e">
        <f aca="false">IF(C48=0,"",J48*$C48)</f>
        <v>#VALUE!</v>
      </c>
      <c r="M48" s="55" t="e">
        <f aca="false">IF(C48=0,"",C48*K48)</f>
        <v>#VALUE!</v>
      </c>
      <c r="N48" s="56" t="str">
        <f aca="false">IF(C48=0,"",D48)</f>
        <v/>
      </c>
      <c r="O48" s="57" t="e">
        <f aca="false">IF(C48=0,"",D48+J48)</f>
        <v>#VALUE!</v>
      </c>
      <c r="P48" s="44" t="e">
        <f aca="false">IF(C48=0,"",N48*C48)</f>
        <v>#VALUE!</v>
      </c>
      <c r="Q48" s="58" t="e">
        <f aca="false">IF(C48=0,"",O48*C48)</f>
        <v>#VALUE!</v>
      </c>
      <c r="R48" s="44"/>
      <c r="S48" s="59" t="e">
        <f aca="false">IF(C48=0,"",L48)</f>
        <v>#VALUE!</v>
      </c>
      <c r="T48" s="60" t="e">
        <f aca="false">IF(C48=0,"",M48)</f>
        <v>#VALUE!</v>
      </c>
    </row>
    <row r="49" customFormat="false" ht="12.75" hidden="false" customHeight="false" outlineLevel="0" collapsed="false">
      <c r="A49" s="47" t="n">
        <f aca="false">$C$2</f>
        <v>37014</v>
      </c>
      <c r="B49" s="12" t="n">
        <v>9</v>
      </c>
      <c r="C49" s="48" t="str">
        <f aca="false">INDEX(RtMw,C68+8,0)</f>
        <v/>
      </c>
      <c r="D49" s="49" t="str">
        <f aca="false">INDEX(RTPrice,C68+8,0)</f>
        <v/>
      </c>
      <c r="E49" s="50" t="n">
        <f aca="false">VLOOKUP(A49,Gas,4,FALSE())</f>
        <v>4.78</v>
      </c>
      <c r="F49" s="50" t="n">
        <f aca="false">VLOOKUP(A49,Gas,5,FALSE())</f>
        <v>4.78</v>
      </c>
      <c r="G49" s="51" t="n">
        <f aca="false">VLOOKUP(A49,Bogey,2,FALSE())</f>
        <v>61.93</v>
      </c>
      <c r="H49" s="52" t="e">
        <f aca="false">IF(C49&gt;0,G49-D49,"")</f>
        <v>#VALUE!</v>
      </c>
      <c r="I49" s="53" t="e">
        <f aca="false">IF(C49&gt;0,H49*ABS(C49),"")</f>
        <v>#VALUE!</v>
      </c>
      <c r="J49" s="54" t="e">
        <f aca="false">IF($C49=0,"",$H49*0.4)</f>
        <v>#VALUE!</v>
      </c>
      <c r="K49" s="49" t="e">
        <f aca="false">IF($C49=0,"",$H49*0.6)</f>
        <v>#VALUE!</v>
      </c>
      <c r="L49" s="49" t="e">
        <f aca="false">IF(C49=0,"",J49*$C49)</f>
        <v>#VALUE!</v>
      </c>
      <c r="M49" s="55" t="e">
        <f aca="false">IF(C49=0,"",C49*K49)</f>
        <v>#VALUE!</v>
      </c>
      <c r="N49" s="56" t="str">
        <f aca="false">IF(C49=0,"",D49)</f>
        <v/>
      </c>
      <c r="O49" s="57" t="e">
        <f aca="false">IF(C49=0,"",D49+J49)</f>
        <v>#VALUE!</v>
      </c>
      <c r="P49" s="44" t="e">
        <f aca="false">IF(C49=0,"",N49*C49)</f>
        <v>#VALUE!</v>
      </c>
      <c r="Q49" s="58" t="e">
        <f aca="false">IF(C49=0,"",O49*C49)</f>
        <v>#VALUE!</v>
      </c>
      <c r="R49" s="44"/>
      <c r="S49" s="59" t="e">
        <f aca="false">IF(C49=0,"",L49)</f>
        <v>#VALUE!</v>
      </c>
      <c r="T49" s="60" t="e">
        <f aca="false">IF(C49=0,"",M49)</f>
        <v>#VALUE!</v>
      </c>
    </row>
    <row r="50" customFormat="false" ht="12.75" hidden="false" customHeight="false" outlineLevel="0" collapsed="false">
      <c r="A50" s="47" t="n">
        <f aca="false">$C$2</f>
        <v>37014</v>
      </c>
      <c r="B50" s="12" t="n">
        <v>10</v>
      </c>
      <c r="C50" s="48" t="str">
        <f aca="false">INDEX(RtMw,C68+9,0)</f>
        <v/>
      </c>
      <c r="D50" s="49" t="str">
        <f aca="false">INDEX(RTPrice,C68+9,0)</f>
        <v/>
      </c>
      <c r="E50" s="50" t="n">
        <f aca="false">VLOOKUP(A50,Gas,4,FALSE())</f>
        <v>4.78</v>
      </c>
      <c r="F50" s="50" t="n">
        <f aca="false">VLOOKUP(A50,Gas,5,FALSE())</f>
        <v>4.78</v>
      </c>
      <c r="G50" s="51" t="n">
        <f aca="false">VLOOKUP(A50,Bogey,2,FALSE())</f>
        <v>61.93</v>
      </c>
      <c r="H50" s="52" t="e">
        <f aca="false">IF(C50&gt;0,G50-D50,"")</f>
        <v>#VALUE!</v>
      </c>
      <c r="I50" s="53" t="e">
        <f aca="false">IF(C50&gt;0,H50*ABS(C50),"")</f>
        <v>#VALUE!</v>
      </c>
      <c r="J50" s="54" t="e">
        <f aca="false">IF($C50=0,"",$H50*0.4)</f>
        <v>#VALUE!</v>
      </c>
      <c r="K50" s="49" t="e">
        <f aca="false">IF($C50=0,"",$H50*0.6)</f>
        <v>#VALUE!</v>
      </c>
      <c r="L50" s="49" t="e">
        <f aca="false">IF(C50=0,"",J50*$C50)</f>
        <v>#VALUE!</v>
      </c>
      <c r="M50" s="55" t="e">
        <f aca="false">IF(C50=0,"",C50*K50)</f>
        <v>#VALUE!</v>
      </c>
      <c r="N50" s="56" t="str">
        <f aca="false">IF(C50=0,"",D50)</f>
        <v/>
      </c>
      <c r="O50" s="57" t="e">
        <f aca="false">IF(C50=0,"",D50+J50)</f>
        <v>#VALUE!</v>
      </c>
      <c r="P50" s="44" t="e">
        <f aca="false">IF(C50=0,"",N50*C50)</f>
        <v>#VALUE!</v>
      </c>
      <c r="Q50" s="58" t="e">
        <f aca="false">IF(C50=0,"",O50*C50)</f>
        <v>#VALUE!</v>
      </c>
      <c r="R50" s="44"/>
      <c r="S50" s="59" t="e">
        <f aca="false">IF(C50=0,"",L50)</f>
        <v>#VALUE!</v>
      </c>
      <c r="T50" s="60" t="e">
        <f aca="false">IF(C50=0,"",M50)</f>
        <v>#VALUE!</v>
      </c>
    </row>
    <row r="51" customFormat="false" ht="12.75" hidden="false" customHeight="false" outlineLevel="0" collapsed="false">
      <c r="A51" s="47" t="n">
        <f aca="false">$C$2</f>
        <v>37014</v>
      </c>
      <c r="B51" s="12" t="n">
        <v>11</v>
      </c>
      <c r="C51" s="48" t="str">
        <f aca="false">INDEX(RtMw,C68+10,0)</f>
        <v/>
      </c>
      <c r="D51" s="49" t="str">
        <f aca="false">INDEX(RTPrice,C68+10,0)</f>
        <v/>
      </c>
      <c r="E51" s="50" t="n">
        <f aca="false">VLOOKUP(A51,Gas,4,FALSE())</f>
        <v>4.78</v>
      </c>
      <c r="F51" s="50" t="n">
        <f aca="false">VLOOKUP(A51,Gas,5,FALSE())</f>
        <v>4.78</v>
      </c>
      <c r="G51" s="51" t="n">
        <f aca="false">VLOOKUP(A51,Bogey,2,FALSE())</f>
        <v>61.93</v>
      </c>
      <c r="H51" s="52" t="e">
        <f aca="false">IF(C51&gt;0,G51-D51,"")</f>
        <v>#VALUE!</v>
      </c>
      <c r="I51" s="53" t="e">
        <f aca="false">IF(C51&gt;0,H51*ABS(C51),"")</f>
        <v>#VALUE!</v>
      </c>
      <c r="J51" s="54" t="e">
        <f aca="false">IF($C51=0,"",$H51*0.4)</f>
        <v>#VALUE!</v>
      </c>
      <c r="K51" s="49" t="e">
        <f aca="false">IF($C51=0,"",$H51*0.6)</f>
        <v>#VALUE!</v>
      </c>
      <c r="L51" s="49" t="e">
        <f aca="false">IF(C51=0,"",J51*$C51)</f>
        <v>#VALUE!</v>
      </c>
      <c r="M51" s="55" t="e">
        <f aca="false">IF(C51=0,"",C51*K51)</f>
        <v>#VALUE!</v>
      </c>
      <c r="N51" s="56" t="str">
        <f aca="false">IF(C51=0,"",D51)</f>
        <v/>
      </c>
      <c r="O51" s="57" t="e">
        <f aca="false">IF(C51=0,"",D51+J51)</f>
        <v>#VALUE!</v>
      </c>
      <c r="P51" s="44" t="e">
        <f aca="false">IF(C51=0,"",N51*C51)</f>
        <v>#VALUE!</v>
      </c>
      <c r="Q51" s="58" t="e">
        <f aca="false">IF(C51=0,"",O51*C51)</f>
        <v>#VALUE!</v>
      </c>
      <c r="R51" s="44"/>
      <c r="S51" s="59" t="e">
        <f aca="false">IF(C51=0,"",L51)</f>
        <v>#VALUE!</v>
      </c>
      <c r="T51" s="60" t="e">
        <f aca="false">IF(C51=0,"",M51)</f>
        <v>#VALUE!</v>
      </c>
    </row>
    <row r="52" customFormat="false" ht="12.75" hidden="false" customHeight="false" outlineLevel="0" collapsed="false">
      <c r="A52" s="47" t="n">
        <f aca="false">$C$2</f>
        <v>37014</v>
      </c>
      <c r="B52" s="12" t="n">
        <v>12</v>
      </c>
      <c r="C52" s="48" t="str">
        <f aca="false">INDEX(RtMw,C68+11,0)</f>
        <v/>
      </c>
      <c r="D52" s="49" t="str">
        <f aca="false">INDEX(RTPrice,C68+11,0)</f>
        <v/>
      </c>
      <c r="E52" s="50" t="n">
        <f aca="false">VLOOKUP(A52,Gas,4,FALSE())</f>
        <v>4.78</v>
      </c>
      <c r="F52" s="50" t="n">
        <f aca="false">VLOOKUP(A52,Gas,5,FALSE())</f>
        <v>4.78</v>
      </c>
      <c r="G52" s="51" t="n">
        <f aca="false">VLOOKUP(A52,Bogey,2,FALSE())</f>
        <v>61.93</v>
      </c>
      <c r="H52" s="52" t="e">
        <f aca="false">IF(C52&gt;0,G52-D52,"")</f>
        <v>#VALUE!</v>
      </c>
      <c r="I52" s="53" t="e">
        <f aca="false">IF(C52&gt;0,H52*ABS(C52),"")</f>
        <v>#VALUE!</v>
      </c>
      <c r="J52" s="54" t="e">
        <f aca="false">IF($C52=0,"",$H52*0.4)</f>
        <v>#VALUE!</v>
      </c>
      <c r="K52" s="49" t="e">
        <f aca="false">IF($C52=0,"",$H52*0.6)</f>
        <v>#VALUE!</v>
      </c>
      <c r="L52" s="49" t="e">
        <f aca="false">IF(C52=0,"",J52*$C52)</f>
        <v>#VALUE!</v>
      </c>
      <c r="M52" s="55" t="e">
        <f aca="false">IF(C52=0,"",C52*K52)</f>
        <v>#VALUE!</v>
      </c>
      <c r="N52" s="56" t="str">
        <f aca="false">IF(C52=0,"",D52)</f>
        <v/>
      </c>
      <c r="O52" s="57" t="e">
        <f aca="false">IF(C52=0,"",D52+J52)</f>
        <v>#VALUE!</v>
      </c>
      <c r="P52" s="44" t="e">
        <f aca="false">IF(C52=0,"",N52*C52)</f>
        <v>#VALUE!</v>
      </c>
      <c r="Q52" s="58" t="e">
        <f aca="false">IF(C52=0,"",O52*C52)</f>
        <v>#VALUE!</v>
      </c>
      <c r="R52" s="44"/>
      <c r="S52" s="59" t="e">
        <f aca="false">IF(C52=0,"",L52)</f>
        <v>#VALUE!</v>
      </c>
      <c r="T52" s="60" t="e">
        <f aca="false">IF(C52=0,"",M52)</f>
        <v>#VALUE!</v>
      </c>
    </row>
    <row r="53" customFormat="false" ht="12.75" hidden="false" customHeight="false" outlineLevel="0" collapsed="false">
      <c r="A53" s="47" t="n">
        <f aca="false">$C$2</f>
        <v>37014</v>
      </c>
      <c r="B53" s="12" t="n">
        <v>13</v>
      </c>
      <c r="C53" s="48" t="str">
        <f aca="false">INDEX(RtMw,C68+12,0)</f>
        <v/>
      </c>
      <c r="D53" s="49" t="str">
        <f aca="false">INDEX(RTPrice,C68+12,0)</f>
        <v/>
      </c>
      <c r="E53" s="50" t="n">
        <f aca="false">VLOOKUP(A53,Gas,4,FALSE())</f>
        <v>4.78</v>
      </c>
      <c r="F53" s="50" t="n">
        <f aca="false">VLOOKUP(A53,Gas,5,FALSE())</f>
        <v>4.78</v>
      </c>
      <c r="G53" s="51" t="n">
        <f aca="false">VLOOKUP(A53,Bogey,2,FALSE())</f>
        <v>61.93</v>
      </c>
      <c r="H53" s="52" t="e">
        <f aca="false">IF(C53&gt;0,G53-D53,"")</f>
        <v>#VALUE!</v>
      </c>
      <c r="I53" s="53" t="e">
        <f aca="false">IF(C53&gt;0,H53*ABS(C53),"")</f>
        <v>#VALUE!</v>
      </c>
      <c r="J53" s="54" t="e">
        <f aca="false">IF($C53=0,"",$H53*0.4)</f>
        <v>#VALUE!</v>
      </c>
      <c r="K53" s="49" t="e">
        <f aca="false">IF($C53=0,"",$H53*0.6)</f>
        <v>#VALUE!</v>
      </c>
      <c r="L53" s="49" t="e">
        <f aca="false">IF(C53=0,"",J53*$C53)</f>
        <v>#VALUE!</v>
      </c>
      <c r="M53" s="55" t="e">
        <f aca="false">IF(C53=0,"",C53*K53)</f>
        <v>#VALUE!</v>
      </c>
      <c r="N53" s="56" t="str">
        <f aca="false">IF(C53=0,"",D53)</f>
        <v/>
      </c>
      <c r="O53" s="57" t="e">
        <f aca="false">IF(C53=0,"",D53+J53)</f>
        <v>#VALUE!</v>
      </c>
      <c r="P53" s="44" t="e">
        <f aca="false">IF(C53=0,"",N53*C53)</f>
        <v>#VALUE!</v>
      </c>
      <c r="Q53" s="58" t="e">
        <f aca="false">IF(C53=0,"",O53*C53)</f>
        <v>#VALUE!</v>
      </c>
      <c r="R53" s="44"/>
      <c r="S53" s="59" t="e">
        <f aca="false">IF(C53=0,"",L53)</f>
        <v>#VALUE!</v>
      </c>
      <c r="T53" s="60" t="e">
        <f aca="false">IF(C53=0,"",M53)</f>
        <v>#VALUE!</v>
      </c>
    </row>
    <row r="54" customFormat="false" ht="12.75" hidden="false" customHeight="false" outlineLevel="0" collapsed="false">
      <c r="A54" s="47" t="n">
        <f aca="false">$C$2</f>
        <v>37014</v>
      </c>
      <c r="B54" s="12" t="n">
        <v>14</v>
      </c>
      <c r="C54" s="48" t="str">
        <f aca="false">INDEX(RtMw,C68+13,0)</f>
        <v/>
      </c>
      <c r="D54" s="49" t="str">
        <f aca="false">INDEX(RTPrice,C68+13,0)</f>
        <v/>
      </c>
      <c r="E54" s="50" t="n">
        <f aca="false">VLOOKUP(A54,Gas,4,FALSE())</f>
        <v>4.78</v>
      </c>
      <c r="F54" s="50" t="n">
        <f aca="false">VLOOKUP(A54,Gas,5,FALSE())</f>
        <v>4.78</v>
      </c>
      <c r="G54" s="51" t="n">
        <f aca="false">VLOOKUP(A54,Bogey,2,FALSE())</f>
        <v>61.93</v>
      </c>
      <c r="H54" s="52" t="e">
        <f aca="false">IF(C54&gt;0,G54-D54,"")</f>
        <v>#VALUE!</v>
      </c>
      <c r="I54" s="53" t="e">
        <f aca="false">IF(C54&gt;0,H54*ABS(C54),"")</f>
        <v>#VALUE!</v>
      </c>
      <c r="J54" s="54" t="e">
        <f aca="false">IF($C54=0,"",$H54*0.4)</f>
        <v>#VALUE!</v>
      </c>
      <c r="K54" s="49" t="e">
        <f aca="false">IF($C54=0,"",$H54*0.6)</f>
        <v>#VALUE!</v>
      </c>
      <c r="L54" s="49" t="e">
        <f aca="false">IF(C54=0,"",J54*$C54)</f>
        <v>#VALUE!</v>
      </c>
      <c r="M54" s="55" t="e">
        <f aca="false">IF(C54=0,"",C54*K54)</f>
        <v>#VALUE!</v>
      </c>
      <c r="N54" s="56" t="str">
        <f aca="false">IF(C54=0,"",D54)</f>
        <v/>
      </c>
      <c r="O54" s="57" t="e">
        <f aca="false">IF(C54=0,"",D54+J54)</f>
        <v>#VALUE!</v>
      </c>
      <c r="P54" s="44" t="e">
        <f aca="false">IF(C54=0,"",N54*C54)</f>
        <v>#VALUE!</v>
      </c>
      <c r="Q54" s="58" t="e">
        <f aca="false">IF(C54=0,"",O54*C54)</f>
        <v>#VALUE!</v>
      </c>
      <c r="R54" s="44"/>
      <c r="S54" s="59" t="e">
        <f aca="false">IF(C54=0,"",L54)</f>
        <v>#VALUE!</v>
      </c>
      <c r="T54" s="60" t="e">
        <f aca="false">IF(C54=0,"",M54)</f>
        <v>#VALUE!</v>
      </c>
    </row>
    <row r="55" customFormat="false" ht="12.75" hidden="false" customHeight="false" outlineLevel="0" collapsed="false">
      <c r="A55" s="47" t="n">
        <f aca="false">$C$2</f>
        <v>37014</v>
      </c>
      <c r="B55" s="12" t="n">
        <v>15</v>
      </c>
      <c r="C55" s="48" t="str">
        <f aca="false">INDEX(RtMw,C68+14,0)</f>
        <v/>
      </c>
      <c r="D55" s="49" t="str">
        <f aca="false">INDEX(RTPrice,C68+14,0)</f>
        <v/>
      </c>
      <c r="E55" s="50" t="n">
        <f aca="false">VLOOKUP(A55,Gas,4,FALSE())</f>
        <v>4.78</v>
      </c>
      <c r="F55" s="50" t="n">
        <f aca="false">VLOOKUP(A55,Gas,5,FALSE())</f>
        <v>4.78</v>
      </c>
      <c r="G55" s="51" t="n">
        <f aca="false">VLOOKUP(A55,Bogey,2,FALSE())</f>
        <v>61.93</v>
      </c>
      <c r="H55" s="52" t="e">
        <f aca="false">IF(C55&gt;0,G55-D55,"")</f>
        <v>#VALUE!</v>
      </c>
      <c r="I55" s="53" t="e">
        <f aca="false">IF(C55&gt;0,H55*ABS(C55),"")</f>
        <v>#VALUE!</v>
      </c>
      <c r="J55" s="54" t="e">
        <f aca="false">IF($C55=0,"",$H55*0.4)</f>
        <v>#VALUE!</v>
      </c>
      <c r="K55" s="49" t="e">
        <f aca="false">IF($C55=0,"",$H55*0.6)</f>
        <v>#VALUE!</v>
      </c>
      <c r="L55" s="49" t="e">
        <f aca="false">IF(C55=0,"",J55*$C55)</f>
        <v>#VALUE!</v>
      </c>
      <c r="M55" s="55" t="e">
        <f aca="false">IF(C55=0,"",C55*K55)</f>
        <v>#VALUE!</v>
      </c>
      <c r="N55" s="56" t="str">
        <f aca="false">IF(C55=0,"",D55)</f>
        <v/>
      </c>
      <c r="O55" s="57"/>
      <c r="P55" s="44" t="e">
        <f aca="false">IF(C55=0,"",N55*C55)</f>
        <v>#VALUE!</v>
      </c>
      <c r="Q55" s="58" t="e">
        <f aca="false">IF(C55=0,"",O55*C55)</f>
        <v>#VALUE!</v>
      </c>
      <c r="R55" s="44"/>
      <c r="S55" s="59" t="e">
        <f aca="false">IF(C55=0,"",L55)</f>
        <v>#VALUE!</v>
      </c>
      <c r="T55" s="60" t="e">
        <f aca="false">IF(C55=0,"",M55)</f>
        <v>#VALUE!</v>
      </c>
    </row>
    <row r="56" customFormat="false" ht="12.75" hidden="false" customHeight="false" outlineLevel="0" collapsed="false">
      <c r="A56" s="47" t="n">
        <f aca="false">$C$2</f>
        <v>37014</v>
      </c>
      <c r="B56" s="12" t="n">
        <v>16</v>
      </c>
      <c r="C56" s="48" t="n">
        <f aca="false">INDEX(RtMw,C68+15,0)</f>
        <v>7</v>
      </c>
      <c r="D56" s="49" t="n">
        <f aca="false">INDEX(RTPrice,C68+15,0)</f>
        <v>50</v>
      </c>
      <c r="E56" s="50" t="n">
        <f aca="false">VLOOKUP(A56,Gas,4,FALSE())</f>
        <v>4.78</v>
      </c>
      <c r="F56" s="50" t="n">
        <f aca="false">VLOOKUP(A56,Gas,5,FALSE())</f>
        <v>4.78</v>
      </c>
      <c r="G56" s="51" t="n">
        <f aca="false">VLOOKUP(A56,Bogey,2,FALSE())</f>
        <v>61.93</v>
      </c>
      <c r="H56" s="52" t="n">
        <f aca="false">IF(C56&gt;0,G56-D56,"")</f>
        <v>11.93</v>
      </c>
      <c r="I56" s="53" t="n">
        <f aca="false">IF(C56&gt;0,H56*ABS(C56),"")</f>
        <v>83.51</v>
      </c>
      <c r="J56" s="54" t="n">
        <f aca="false">IF($C56=0,"",$H56*0.4)</f>
        <v>4.772</v>
      </c>
      <c r="K56" s="49" t="n">
        <f aca="false">IF($C56=0,"",$H56*0.6)</f>
        <v>7.158</v>
      </c>
      <c r="L56" s="49" t="n">
        <f aca="false">IF(C56=0,"",J56*$C56)</f>
        <v>33.404</v>
      </c>
      <c r="M56" s="55" t="n">
        <f aca="false">IF(C56=0,"",C56*K56)</f>
        <v>50.106</v>
      </c>
      <c r="N56" s="56" t="n">
        <f aca="false">IF(C56=0,"",D56)</f>
        <v>50</v>
      </c>
      <c r="O56" s="57"/>
      <c r="P56" s="44" t="n">
        <f aca="false">IF(C56=0,"",N56*C56)</f>
        <v>350</v>
      </c>
      <c r="Q56" s="58" t="n">
        <f aca="false">IF(C56=0,"",O56*C56)</f>
        <v>0</v>
      </c>
      <c r="R56" s="44"/>
      <c r="S56" s="59" t="n">
        <f aca="false">IF(C56=0,"",L56)</f>
        <v>33.404</v>
      </c>
      <c r="T56" s="60" t="n">
        <f aca="false">IF(C56=0,"",M56)</f>
        <v>50.106</v>
      </c>
    </row>
    <row r="57" customFormat="false" ht="12.75" hidden="false" customHeight="false" outlineLevel="0" collapsed="false">
      <c r="A57" s="47" t="n">
        <f aca="false">$C$2</f>
        <v>37014</v>
      </c>
      <c r="B57" s="12" t="n">
        <v>17</v>
      </c>
      <c r="C57" s="48" t="str">
        <f aca="false">INDEX(RtMw,C68+16,0)</f>
        <v/>
      </c>
      <c r="D57" s="49" t="str">
        <f aca="false">INDEX(RTPrice,C68+16,0)</f>
        <v/>
      </c>
      <c r="E57" s="50" t="n">
        <f aca="false">VLOOKUP(A57,Gas,4,FALSE())</f>
        <v>4.78</v>
      </c>
      <c r="F57" s="50" t="n">
        <f aca="false">VLOOKUP(A57,Gas,5,FALSE())</f>
        <v>4.78</v>
      </c>
      <c r="G57" s="51" t="n">
        <f aca="false">VLOOKUP(A57,Bogey,2,FALSE())</f>
        <v>61.93</v>
      </c>
      <c r="H57" s="52" t="e">
        <f aca="false">IF(C57&gt;0,G57-D57,"")</f>
        <v>#VALUE!</v>
      </c>
      <c r="I57" s="53" t="e">
        <f aca="false">IF(C57&gt;0,H57*ABS(C57),"")</f>
        <v>#VALUE!</v>
      </c>
      <c r="J57" s="54" t="e">
        <f aca="false">IF($C57=0,"",$H57*0.4)</f>
        <v>#VALUE!</v>
      </c>
      <c r="K57" s="49" t="e">
        <f aca="false">IF($C57=0,"",$H57*0.6)</f>
        <v>#VALUE!</v>
      </c>
      <c r="L57" s="49" t="e">
        <f aca="false">IF(C57=0,"",J57*$C57)</f>
        <v>#VALUE!</v>
      </c>
      <c r="M57" s="55" t="e">
        <f aca="false">IF(C57=0,"",C57*K57)</f>
        <v>#VALUE!</v>
      </c>
      <c r="N57" s="56" t="str">
        <f aca="false">IF(C57=0,"",D57)</f>
        <v/>
      </c>
      <c r="O57" s="57"/>
      <c r="P57" s="44" t="e">
        <f aca="false">IF(C57=0,"",N57*C57)</f>
        <v>#VALUE!</v>
      </c>
      <c r="Q57" s="58" t="e">
        <f aca="false">IF(C57=0,"",O57*C57)</f>
        <v>#VALUE!</v>
      </c>
      <c r="R57" s="44"/>
      <c r="S57" s="59" t="e">
        <f aca="false">IF(C57=0,"",L57)</f>
        <v>#VALUE!</v>
      </c>
      <c r="T57" s="60" t="e">
        <f aca="false">IF(C57=0,"",M57)</f>
        <v>#VALUE!</v>
      </c>
    </row>
    <row r="58" customFormat="false" ht="12.75" hidden="false" customHeight="false" outlineLevel="0" collapsed="false">
      <c r="A58" s="47" t="n">
        <f aca="false">$C$2</f>
        <v>37014</v>
      </c>
      <c r="B58" s="12" t="n">
        <v>18</v>
      </c>
      <c r="C58" s="48" t="str">
        <f aca="false">INDEX(RtMw,C68+17,0)</f>
        <v/>
      </c>
      <c r="D58" s="49" t="str">
        <f aca="false">INDEX(RTPrice,C68+17,0)</f>
        <v/>
      </c>
      <c r="E58" s="50" t="n">
        <f aca="false">VLOOKUP(A58,Gas,4,FALSE())</f>
        <v>4.78</v>
      </c>
      <c r="F58" s="50" t="n">
        <f aca="false">VLOOKUP(A58,Gas,5,FALSE())</f>
        <v>4.78</v>
      </c>
      <c r="G58" s="51" t="n">
        <f aca="false">VLOOKUP(A58,Bogey,2,FALSE())</f>
        <v>61.93</v>
      </c>
      <c r="H58" s="52" t="e">
        <f aca="false">IF(C58&gt;0,G58-D58,"")</f>
        <v>#VALUE!</v>
      </c>
      <c r="I58" s="53" t="e">
        <f aca="false">IF(C58&gt;0,H58*ABS(C58),"")</f>
        <v>#VALUE!</v>
      </c>
      <c r="J58" s="54" t="e">
        <f aca="false">IF($C58=0,"",$H58*0.4)</f>
        <v>#VALUE!</v>
      </c>
      <c r="K58" s="49" t="e">
        <f aca="false">IF($C58=0,"",$H58*0.6)</f>
        <v>#VALUE!</v>
      </c>
      <c r="L58" s="49" t="e">
        <f aca="false">IF(C58=0,"",J58*$C58)</f>
        <v>#VALUE!</v>
      </c>
      <c r="M58" s="55" t="e">
        <f aca="false">IF(C58=0,"",C58*K58)</f>
        <v>#VALUE!</v>
      </c>
      <c r="N58" s="56" t="str">
        <f aca="false">IF(C58=0,"",D58)</f>
        <v/>
      </c>
      <c r="O58" s="57"/>
      <c r="P58" s="44" t="e">
        <f aca="false">IF(C58=0,"",N58*C58)</f>
        <v>#VALUE!</v>
      </c>
      <c r="Q58" s="58" t="e">
        <f aca="false">IF(C58=0,"",O58*C58)</f>
        <v>#VALUE!</v>
      </c>
      <c r="R58" s="44"/>
      <c r="S58" s="59" t="e">
        <f aca="false">IF(C58=0,"",L58)</f>
        <v>#VALUE!</v>
      </c>
      <c r="T58" s="60" t="e">
        <f aca="false">IF(C58=0,"",M58)</f>
        <v>#VALUE!</v>
      </c>
    </row>
    <row r="59" customFormat="false" ht="12.75" hidden="false" customHeight="false" outlineLevel="0" collapsed="false">
      <c r="A59" s="47" t="n">
        <f aca="false">$C$2</f>
        <v>37014</v>
      </c>
      <c r="B59" s="12" t="n">
        <v>19</v>
      </c>
      <c r="C59" s="48" t="n">
        <f aca="false">INDEX(RtMw,C68+18,0)</f>
        <v>10</v>
      </c>
      <c r="D59" s="49" t="n">
        <f aca="false">INDEX(RTPrice,C68+18,0)</f>
        <v>75</v>
      </c>
      <c r="E59" s="50" t="n">
        <f aca="false">VLOOKUP(A59,Gas,4,FALSE())</f>
        <v>4.78</v>
      </c>
      <c r="F59" s="50" t="n">
        <f aca="false">VLOOKUP(A59,Gas,5,FALSE())</f>
        <v>4.78</v>
      </c>
      <c r="G59" s="51" t="n">
        <f aca="false">VLOOKUP(A59,Bogey,2,FALSE())</f>
        <v>61.93</v>
      </c>
      <c r="H59" s="52" t="n">
        <f aca="false">IF(C59&gt;0,G59-D59,"")</f>
        <v>-13.07</v>
      </c>
      <c r="I59" s="53" t="n">
        <f aca="false">IF(C59&gt;0,H59*ABS(C59),"")</f>
        <v>-130.7</v>
      </c>
      <c r="J59" s="54" t="n">
        <f aca="false">IF($C59=0,"",$H59*0.4)</f>
        <v>-5.228</v>
      </c>
      <c r="K59" s="49" t="n">
        <f aca="false">IF($C59=0,"",$H59*0.6)</f>
        <v>-7.842</v>
      </c>
      <c r="L59" s="49" t="n">
        <f aca="false">IF(C59=0,"",J59*$C59)</f>
        <v>-52.28</v>
      </c>
      <c r="M59" s="55" t="n">
        <f aca="false">IF(C59=0,"",C59*K59)</f>
        <v>-78.42</v>
      </c>
      <c r="N59" s="56" t="n">
        <f aca="false">IF(C59=0,"",D59)</f>
        <v>75</v>
      </c>
      <c r="O59" s="57"/>
      <c r="P59" s="44" t="n">
        <f aca="false">IF(C59=0,"",N59*C59)</f>
        <v>750</v>
      </c>
      <c r="Q59" s="58" t="n">
        <f aca="false">IF(C59=0,"",O59*C59)</f>
        <v>0</v>
      </c>
      <c r="R59" s="44"/>
      <c r="S59" s="59" t="n">
        <f aca="false">IF(C59=0,"",L59)</f>
        <v>-52.28</v>
      </c>
      <c r="T59" s="60" t="n">
        <f aca="false">IF(C59=0,"",M59)</f>
        <v>-78.42</v>
      </c>
    </row>
    <row r="60" customFormat="false" ht="12.75" hidden="false" customHeight="false" outlineLevel="0" collapsed="false">
      <c r="A60" s="47" t="n">
        <f aca="false">$C$2</f>
        <v>37014</v>
      </c>
      <c r="B60" s="12" t="n">
        <v>20</v>
      </c>
      <c r="C60" s="48" t="n">
        <f aca="false">INDEX(RtMw,C68+19,0)</f>
        <v>10</v>
      </c>
      <c r="D60" s="49" t="n">
        <f aca="false">INDEX(RTPrice,C68+19,0)</f>
        <v>75</v>
      </c>
      <c r="E60" s="50" t="n">
        <f aca="false">VLOOKUP(A60,Gas,4,FALSE())</f>
        <v>4.78</v>
      </c>
      <c r="F60" s="50" t="n">
        <f aca="false">VLOOKUP(A60,Gas,5,FALSE())</f>
        <v>4.78</v>
      </c>
      <c r="G60" s="51" t="n">
        <f aca="false">VLOOKUP(A60,Bogey,2,FALSE())</f>
        <v>61.93</v>
      </c>
      <c r="H60" s="52" t="n">
        <f aca="false">IF(C60&gt;0,G60-D60,"")</f>
        <v>-13.07</v>
      </c>
      <c r="I60" s="53" t="n">
        <f aca="false">IF(C60&gt;0,H60*ABS(C60),"")</f>
        <v>-130.7</v>
      </c>
      <c r="J60" s="54" t="n">
        <f aca="false">IF($C60=0,"",$H60*0.4)</f>
        <v>-5.228</v>
      </c>
      <c r="K60" s="49" t="n">
        <f aca="false">IF($C60=0,"",$H60*0.6)</f>
        <v>-7.842</v>
      </c>
      <c r="L60" s="49" t="n">
        <f aca="false">IF(C60=0,"",J60*$C60)</f>
        <v>-52.28</v>
      </c>
      <c r="M60" s="55" t="n">
        <f aca="false">IF(C60=0,"",C60*K60)</f>
        <v>-78.42</v>
      </c>
      <c r="N60" s="56" t="n">
        <f aca="false">IF(C60=0,"",D60)</f>
        <v>75</v>
      </c>
      <c r="O60" s="57"/>
      <c r="P60" s="44" t="n">
        <f aca="false">IF(C60=0,"",N60*C60)</f>
        <v>750</v>
      </c>
      <c r="Q60" s="58" t="n">
        <f aca="false">IF(C60=0,"",O60*C60)</f>
        <v>0</v>
      </c>
      <c r="R60" s="44"/>
      <c r="S60" s="59" t="n">
        <f aca="false">IF(C60=0,"",L60)</f>
        <v>-52.28</v>
      </c>
      <c r="T60" s="60" t="n">
        <f aca="false">IF(C60=0,"",M60)</f>
        <v>-78.42</v>
      </c>
    </row>
    <row r="61" customFormat="false" ht="12.75" hidden="false" customHeight="false" outlineLevel="0" collapsed="false">
      <c r="A61" s="47" t="n">
        <f aca="false">$C$2</f>
        <v>37014</v>
      </c>
      <c r="B61" s="12" t="n">
        <v>21</v>
      </c>
      <c r="C61" s="48" t="n">
        <f aca="false">INDEX(RtMw,C68+20,0)</f>
        <v>8</v>
      </c>
      <c r="D61" s="49" t="n">
        <f aca="false">INDEX(RTPrice,C68+20,0)</f>
        <v>69</v>
      </c>
      <c r="E61" s="50" t="n">
        <f aca="false">VLOOKUP(A61,Gas,4,FALSE())</f>
        <v>4.78</v>
      </c>
      <c r="F61" s="50" t="n">
        <f aca="false">VLOOKUP(A61,Gas,5,FALSE())</f>
        <v>4.78</v>
      </c>
      <c r="G61" s="51" t="n">
        <f aca="false">VLOOKUP(A61,Bogey,2,FALSE())</f>
        <v>61.93</v>
      </c>
      <c r="H61" s="52" t="n">
        <f aca="false">IF(C61&gt;0,G61-D61,"")</f>
        <v>-7.07</v>
      </c>
      <c r="I61" s="53" t="n">
        <f aca="false">IF(C61&gt;0,H61*ABS(C61),"")</f>
        <v>-56.56</v>
      </c>
      <c r="J61" s="54" t="n">
        <f aca="false">IF($C61=0,"",$H61*0.4)</f>
        <v>-2.828</v>
      </c>
      <c r="K61" s="49" t="n">
        <f aca="false">IF($C61=0,"",$H61*0.6)</f>
        <v>-4.242</v>
      </c>
      <c r="L61" s="49" t="n">
        <f aca="false">IF(C61=0,"",J61*$C61)</f>
        <v>-22.624</v>
      </c>
      <c r="M61" s="55" t="n">
        <f aca="false">IF(C61=0,"",C61*K61)</f>
        <v>-33.936</v>
      </c>
      <c r="N61" s="56" t="n">
        <f aca="false">IF(C61=0,"",D61)</f>
        <v>69</v>
      </c>
      <c r="O61" s="57"/>
      <c r="P61" s="44" t="n">
        <f aca="false">IF(C61=0,"",N61*C61)</f>
        <v>552</v>
      </c>
      <c r="Q61" s="58" t="n">
        <f aca="false">IF(C61=0,"",O61*C61)</f>
        <v>0</v>
      </c>
      <c r="R61" s="44"/>
      <c r="S61" s="59" t="n">
        <f aca="false">IF(C61=0,"",L61)</f>
        <v>-22.624</v>
      </c>
      <c r="T61" s="60" t="n">
        <f aca="false">IF(C61=0,"",M61)</f>
        <v>-33.936</v>
      </c>
    </row>
    <row r="62" customFormat="false" ht="12.75" hidden="false" customHeight="false" outlineLevel="0" collapsed="false">
      <c r="A62" s="47" t="n">
        <f aca="false">$C$2</f>
        <v>37014</v>
      </c>
      <c r="B62" s="12" t="n">
        <v>22</v>
      </c>
      <c r="C62" s="48" t="n">
        <f aca="false">INDEX(RtMw,C68+21,0)</f>
        <v>7</v>
      </c>
      <c r="D62" s="49" t="n">
        <f aca="false">INDEX(RTPrice,C68+21,0)</f>
        <v>55</v>
      </c>
      <c r="E62" s="50" t="n">
        <f aca="false">VLOOKUP(A62,Gas,4,FALSE())</f>
        <v>4.78</v>
      </c>
      <c r="F62" s="50" t="n">
        <f aca="false">VLOOKUP(A62,Gas,5,FALSE())</f>
        <v>4.78</v>
      </c>
      <c r="G62" s="51" t="n">
        <f aca="false">VLOOKUP(A62,Bogey,2,FALSE())</f>
        <v>61.93</v>
      </c>
      <c r="H62" s="52" t="n">
        <f aca="false">IF(C62&gt;0,G62-D62,"")</f>
        <v>6.93</v>
      </c>
      <c r="I62" s="53" t="n">
        <f aca="false">IF(C62&gt;0,H62*ABS(C62),"")</f>
        <v>48.51</v>
      </c>
      <c r="J62" s="54" t="n">
        <f aca="false">IF($C62=0,"",$H62*0.4)</f>
        <v>2.772</v>
      </c>
      <c r="K62" s="49" t="n">
        <f aca="false">IF($C62=0,"",$H62*0.6)</f>
        <v>4.158</v>
      </c>
      <c r="L62" s="49" t="n">
        <f aca="false">IF(C62=0,"",J62*$C62)</f>
        <v>19.404</v>
      </c>
      <c r="M62" s="55" t="n">
        <f aca="false">IF(C62=0,"",C62*K62)</f>
        <v>29.106</v>
      </c>
      <c r="N62" s="56" t="n">
        <f aca="false">IF(C62=0,"",D62)</f>
        <v>55</v>
      </c>
      <c r="O62" s="57"/>
      <c r="P62" s="44" t="n">
        <f aca="false">IF(C62=0,"",N62*C62)</f>
        <v>385</v>
      </c>
      <c r="Q62" s="58" t="n">
        <f aca="false">IF(C62=0,"",O62*C62)</f>
        <v>0</v>
      </c>
      <c r="R62" s="44"/>
      <c r="S62" s="59" t="n">
        <f aca="false">IF(C62=0,"",L62)</f>
        <v>19.404</v>
      </c>
      <c r="T62" s="60" t="n">
        <f aca="false">IF(C62=0,"",M62)</f>
        <v>29.106</v>
      </c>
    </row>
    <row r="63" customFormat="false" ht="12.75" hidden="false" customHeight="false" outlineLevel="0" collapsed="false">
      <c r="A63" s="47" t="n">
        <f aca="false">$C$2</f>
        <v>37014</v>
      </c>
      <c r="B63" s="12" t="n">
        <v>23</v>
      </c>
      <c r="C63" s="48" t="n">
        <f aca="false">INDEX(RtMw,C68+22,0)</f>
        <v>20</v>
      </c>
      <c r="D63" s="49" t="n">
        <f aca="false">INDEX(RTPrice,C68+22,0)</f>
        <v>45</v>
      </c>
      <c r="E63" s="50" t="n">
        <f aca="false">VLOOKUP(A63,Gas,4,FALSE())</f>
        <v>4.78</v>
      </c>
      <c r="F63" s="50" t="n">
        <f aca="false">VLOOKUP(A63,Gas,5,FALSE())</f>
        <v>4.78</v>
      </c>
      <c r="G63" s="51" t="n">
        <f aca="false">VLOOKUP(A63,Bogey,2,FALSE())</f>
        <v>61.93</v>
      </c>
      <c r="H63" s="52" t="n">
        <f aca="false">IF(C63&gt;0,G63-D63,"")</f>
        <v>16.93</v>
      </c>
      <c r="I63" s="53" t="n">
        <f aca="false">IF(C63&gt;0,H63*ABS(C63),"")</f>
        <v>338.6</v>
      </c>
      <c r="J63" s="54" t="n">
        <f aca="false">IF(C63=0,"",1)</f>
        <v>1</v>
      </c>
      <c r="K63" s="44" t="n">
        <f aca="false">IF(C63=0,"",G63-(D63+1))</f>
        <v>15.93</v>
      </c>
      <c r="L63" s="44" t="n">
        <f aca="false">IF(C63=0,"",C63*J63)</f>
        <v>20</v>
      </c>
      <c r="M63" s="55" t="n">
        <f aca="false">IF(C63=0,"",C63*K63)</f>
        <v>318.6</v>
      </c>
      <c r="N63" s="56" t="n">
        <f aca="false">IF(C63=0,"",D63)</f>
        <v>45</v>
      </c>
      <c r="O63" s="57" t="n">
        <f aca="false">IF(C63=0,"",D63+1)</f>
        <v>46</v>
      </c>
      <c r="P63" s="44" t="n">
        <f aca="false">IF(C63=0,"",N63*C63)</f>
        <v>900</v>
      </c>
      <c r="Q63" s="58" t="n">
        <f aca="false">IF(C63=0,"",O63*C63)</f>
        <v>920</v>
      </c>
      <c r="R63" s="44"/>
      <c r="S63" s="59" t="n">
        <f aca="false">IF(C63=0,"",L63)</f>
        <v>20</v>
      </c>
      <c r="T63" s="60" t="n">
        <f aca="false">IF(C63=0,"",M63)</f>
        <v>318.6</v>
      </c>
    </row>
    <row r="64" customFormat="false" ht="12.75" hidden="false" customHeight="false" outlineLevel="0" collapsed="false">
      <c r="A64" s="61" t="n">
        <f aca="false">$C$2</f>
        <v>37014</v>
      </c>
      <c r="B64" s="62" t="n">
        <v>24</v>
      </c>
      <c r="C64" s="63" t="n">
        <f aca="false">INDEX(RtMw,C68+23,0)</f>
        <v>14</v>
      </c>
      <c r="D64" s="64" t="n">
        <f aca="false">INDEX(RTPrice,C68+23,0)</f>
        <v>40</v>
      </c>
      <c r="E64" s="65" t="n">
        <f aca="false">VLOOKUP(A64,Gas,4,FALSE())</f>
        <v>4.78</v>
      </c>
      <c r="F64" s="65" t="n">
        <f aca="false">VLOOKUP(A64,Gas,5,FALSE())</f>
        <v>4.78</v>
      </c>
      <c r="G64" s="66" t="n">
        <f aca="false">VLOOKUP(A64,Bogey,2,FALSE())</f>
        <v>61.93</v>
      </c>
      <c r="H64" s="67" t="n">
        <f aca="false">IF(C64&gt;0,G64-D64,"")</f>
        <v>21.93</v>
      </c>
      <c r="I64" s="68" t="n">
        <f aca="false">IF(C64&gt;0,H64*ABS(C64),"")</f>
        <v>307.02</v>
      </c>
      <c r="J64" s="69" t="n">
        <f aca="false">IF(C64=0,"",1)</f>
        <v>1</v>
      </c>
      <c r="K64" s="70" t="n">
        <f aca="false">IF(C64=0,"",G64-(D64+1))</f>
        <v>20.93</v>
      </c>
      <c r="L64" s="70" t="n">
        <f aca="false">IF(C64=0,"",C64*J64)</f>
        <v>14</v>
      </c>
      <c r="M64" s="71" t="n">
        <f aca="false">IF(C64=0,"",C64*K64)</f>
        <v>293.02</v>
      </c>
      <c r="N64" s="72" t="n">
        <f aca="false">IF(C64=0,"",D64)</f>
        <v>40</v>
      </c>
      <c r="O64" s="73" t="n">
        <f aca="false">IF(C64=0,"",D64+1)</f>
        <v>41</v>
      </c>
      <c r="P64" s="70" t="n">
        <f aca="false">IF(C64=0,"",N64*C64)</f>
        <v>560</v>
      </c>
      <c r="Q64" s="74" t="n">
        <f aca="false">IF(C64=0,"",O64*C64)</f>
        <v>574</v>
      </c>
      <c r="R64" s="44"/>
      <c r="S64" s="75" t="n">
        <f aca="false">IF(C64=0,"",L64)</f>
        <v>14</v>
      </c>
      <c r="T64" s="76" t="n">
        <f aca="false">IF(C64=0,"",M64)</f>
        <v>293.02</v>
      </c>
    </row>
    <row r="66" customFormat="false" ht="12.75" hidden="false" customHeight="false" outlineLevel="0" collapsed="false">
      <c r="Q66" s="78" t="e">
        <f aca="false">SUM(Q41:Q65)</f>
        <v>#VALUE!</v>
      </c>
    </row>
    <row r="68" customFormat="false" ht="12.75" hidden="true" customHeight="false" outlineLevel="0" collapsed="false">
      <c r="B68" s="0" t="s">
        <v>33</v>
      </c>
      <c r="C68" s="0" t="n">
        <f aca="false">MATCH(C2,RTDate,0)</f>
        <v>49</v>
      </c>
    </row>
  </sheetData>
  <mergeCells count="18">
    <mergeCell ref="A1:C1"/>
    <mergeCell ref="A2:B2"/>
    <mergeCell ref="E3:G3"/>
    <mergeCell ref="H3:I3"/>
    <mergeCell ref="J3:M3"/>
    <mergeCell ref="N3:Q3"/>
    <mergeCell ref="S3:T3"/>
    <mergeCell ref="B4:D4"/>
    <mergeCell ref="N4:O4"/>
    <mergeCell ref="P4:Q4"/>
    <mergeCell ref="E37:G37"/>
    <mergeCell ref="H37:I37"/>
    <mergeCell ref="J37:M37"/>
    <mergeCell ref="N37:Q37"/>
    <mergeCell ref="S37:T37"/>
    <mergeCell ref="B38:D38"/>
    <mergeCell ref="N38:O38"/>
    <mergeCell ref="P38:Q38"/>
  </mergeCells>
  <conditionalFormatting sqref="K5:K12 H3:H5 E3:G6 I3:I30 J3:J12 L5:M30 J29:K30 K4:N4 A1:C2 D31:G36 I31:M36 N5:N36 P65:IV65536 P4:T36 U1:IV64 K39:K46 H8:H39 A39:D64 E37:G40 I37:I64 J37:J46 J63:K64 K38:N38 D5:D30 L39:N64 A5:C36 P38:T64 A65:N65536 D1:D3 D37 H42:H64">
    <cfRule type="cellIs" priority="2" operator="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9921875" defaultRowHeight="12.75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3" min="3" style="0" width="11.85"/>
    <col collapsed="false" customWidth="true" hidden="false" outlineLevel="0" max="4" min="4" style="1" width="23.99"/>
    <col collapsed="false" customWidth="true" hidden="false" outlineLevel="0" max="7" min="5" style="0" width="14.41"/>
    <col collapsed="false" customWidth="true" hidden="false" outlineLevel="0" max="8" min="8" style="0" width="28.99"/>
    <col collapsed="false" customWidth="true" hidden="false" outlineLevel="0" max="9" min="9" style="0" width="26.56"/>
    <col collapsed="false" customWidth="true" hidden="false" outlineLevel="0" max="10" min="10" style="0" width="17.14"/>
    <col collapsed="false" customWidth="true" hidden="false" outlineLevel="0" max="11" min="11" style="0" width="14.28"/>
    <col collapsed="false" customWidth="true" hidden="false" outlineLevel="0" max="13" min="12" style="0" width="26.56"/>
    <col collapsed="false" customWidth="true" hidden="false" outlineLevel="0" max="14" min="14" style="2" width="15.28"/>
    <col collapsed="false" customWidth="true" hidden="false" outlineLevel="0" max="15" min="15" style="0" width="15.28"/>
    <col collapsed="false" customWidth="true" hidden="false" outlineLevel="0" max="16" min="16" style="2" width="15.28"/>
    <col collapsed="false" customWidth="true" hidden="false" outlineLevel="0" max="17" min="17" style="0" width="17.56"/>
    <col collapsed="false" customWidth="true" hidden="false" outlineLevel="0" max="18" min="18" style="2" width="2.56"/>
    <col collapsed="false" customWidth="true" hidden="false" outlineLevel="0" max="19" min="19" style="0" width="12.42"/>
    <col collapsed="false" customWidth="true" hidden="false" outlineLevel="0" max="20" min="20" style="1" width="14.56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3" t="s">
        <v>1</v>
      </c>
      <c r="B2" s="3"/>
      <c r="C2" s="83" t="n">
        <v>37015</v>
      </c>
      <c r="D2" s="5"/>
    </row>
    <row r="3" customFormat="false" ht="12.75" hidden="false" customHeight="false" outlineLevel="0" collapsed="false">
      <c r="A3" s="6"/>
      <c r="B3" s="6"/>
      <c r="C3" s="84" t="n">
        <v>37020</v>
      </c>
      <c r="D3" s="7"/>
      <c r="E3" s="8" t="s">
        <v>2</v>
      </c>
      <c r="F3" s="8"/>
      <c r="G3" s="8"/>
      <c r="H3" s="9" t="s">
        <v>3</v>
      </c>
      <c r="I3" s="9"/>
      <c r="J3" s="9" t="s">
        <v>4</v>
      </c>
      <c r="K3" s="9"/>
      <c r="L3" s="9"/>
      <c r="M3" s="9"/>
      <c r="N3" s="10" t="s">
        <v>5</v>
      </c>
      <c r="O3" s="10"/>
      <c r="P3" s="10"/>
      <c r="Q3" s="10"/>
      <c r="R3" s="11"/>
      <c r="S3" s="10" t="s">
        <v>6</v>
      </c>
      <c r="T3" s="10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B4" s="85" t="s">
        <v>34</v>
      </c>
      <c r="C4" s="85"/>
      <c r="D4" s="85"/>
      <c r="E4" s="13"/>
      <c r="F4" s="14"/>
      <c r="G4" s="15"/>
      <c r="H4" s="16" t="s">
        <v>7</v>
      </c>
      <c r="I4" s="17" t="s">
        <v>7</v>
      </c>
      <c r="J4" s="16" t="s">
        <v>8</v>
      </c>
      <c r="K4" s="18" t="s">
        <v>9</v>
      </c>
      <c r="L4" s="18" t="s">
        <v>8</v>
      </c>
      <c r="M4" s="17" t="s">
        <v>9</v>
      </c>
      <c r="N4" s="19" t="s">
        <v>10</v>
      </c>
      <c r="O4" s="19"/>
      <c r="P4" s="19" t="s">
        <v>11</v>
      </c>
      <c r="Q4" s="19"/>
      <c r="R4" s="11"/>
      <c r="S4" s="20"/>
      <c r="T4" s="21"/>
    </row>
    <row r="5" customFormat="false" ht="12.75" hidden="false" customHeight="false" outlineLevel="0" collapsed="false">
      <c r="E5" s="16" t="s">
        <v>12</v>
      </c>
      <c r="F5" s="18" t="s">
        <v>12</v>
      </c>
      <c r="G5" s="17" t="s">
        <v>13</v>
      </c>
      <c r="H5" s="16" t="s">
        <v>14</v>
      </c>
      <c r="I5" s="17" t="s">
        <v>14</v>
      </c>
      <c r="J5" s="22" t="s">
        <v>15</v>
      </c>
      <c r="K5" s="18" t="s">
        <v>16</v>
      </c>
      <c r="L5" s="18" t="s">
        <v>17</v>
      </c>
      <c r="M5" s="17" t="s">
        <v>18</v>
      </c>
      <c r="N5" s="23"/>
      <c r="O5" s="15"/>
      <c r="P5" s="22"/>
      <c r="Q5" s="24" t="s">
        <v>19</v>
      </c>
      <c r="R5" s="11"/>
      <c r="S5" s="16" t="s">
        <v>20</v>
      </c>
      <c r="T5" s="25" t="s">
        <v>21</v>
      </c>
    </row>
    <row r="6" customFormat="false" ht="12.75" hidden="false" customHeight="false" outlineLevel="0" collapsed="false">
      <c r="A6" s="26" t="s">
        <v>22</v>
      </c>
      <c r="B6" s="27" t="s">
        <v>23</v>
      </c>
      <c r="C6" s="27" t="s">
        <v>24</v>
      </c>
      <c r="D6" s="28" t="s">
        <v>25</v>
      </c>
      <c r="E6" s="22" t="s">
        <v>26</v>
      </c>
      <c r="F6" s="5" t="s">
        <v>27</v>
      </c>
      <c r="G6" s="25" t="s">
        <v>28</v>
      </c>
      <c r="H6" s="22" t="s">
        <v>29</v>
      </c>
      <c r="I6" s="25" t="s">
        <v>30</v>
      </c>
      <c r="J6" s="22" t="s">
        <v>10</v>
      </c>
      <c r="K6" s="5" t="s">
        <v>10</v>
      </c>
      <c r="L6" s="5" t="s">
        <v>30</v>
      </c>
      <c r="M6" s="25" t="s">
        <v>30</v>
      </c>
      <c r="N6" s="22" t="s">
        <v>20</v>
      </c>
      <c r="O6" s="25" t="s">
        <v>21</v>
      </c>
      <c r="P6" s="22" t="s">
        <v>20</v>
      </c>
      <c r="Q6" s="29" t="s">
        <v>21</v>
      </c>
      <c r="R6" s="5"/>
      <c r="S6" s="22" t="s">
        <v>31</v>
      </c>
      <c r="T6" s="25" t="s">
        <v>32</v>
      </c>
      <c r="U6" s="30"/>
      <c r="V6" s="30"/>
    </row>
    <row r="7" customFormat="false" ht="12.75" hidden="false" customHeight="false" outlineLevel="0" collapsed="false">
      <c r="A7" s="31" t="n">
        <f aca="false">$C$2</f>
        <v>37015</v>
      </c>
      <c r="B7" s="32" t="n">
        <v>1</v>
      </c>
      <c r="C7" s="33" t="n">
        <f aca="false">INDEX(DaMw,C34,0)</f>
        <v>15</v>
      </c>
      <c r="D7" s="46" t="n">
        <f aca="false">INDEX(DaPrice,C34,0)</f>
        <v>20</v>
      </c>
      <c r="E7" s="35" t="n">
        <f aca="false">VLOOKUP(A7,Gas,4,FALSE())</f>
        <v>4.78</v>
      </c>
      <c r="F7" s="35" t="n">
        <f aca="false">VLOOKUP(A7,Gas,5,FALSE())</f>
        <v>4.78</v>
      </c>
      <c r="G7" s="36" t="n">
        <f aca="false">VLOOKUP(A7,Bogey,2,FALSE())</f>
        <v>59.14</v>
      </c>
      <c r="H7" s="37" t="n">
        <f aca="false">IF(C7&gt;0,G7-D7,"")</f>
        <v>39.14</v>
      </c>
      <c r="I7" s="38" t="n">
        <f aca="false">IF(C7&gt;0,H7*ABS(C7),"")</f>
        <v>587.1</v>
      </c>
      <c r="J7" s="39" t="n">
        <f aca="false">IF(C7=0,"",1)</f>
        <v>1</v>
      </c>
      <c r="K7" s="40" t="n">
        <f aca="false">IF(C7=0,"",G7-(D7+1))</f>
        <v>38.14</v>
      </c>
      <c r="L7" s="40" t="n">
        <f aca="false">IF(C7=0,"",C7*J7)</f>
        <v>15</v>
      </c>
      <c r="M7" s="21" t="n">
        <f aca="false">IF(C7=0,"",C7*K7)</f>
        <v>572.1</v>
      </c>
      <c r="N7" s="41" t="n">
        <f aca="false">IF(C7=0,"",D7)</f>
        <v>20</v>
      </c>
      <c r="O7" s="42" t="n">
        <f aca="false">IF(C7=0,"",D7+1)</f>
        <v>21</v>
      </c>
      <c r="P7" s="40" t="n">
        <f aca="false">IF(C7=0,"",N7*C7)</f>
        <v>300</v>
      </c>
      <c r="Q7" s="43" t="n">
        <f aca="false">IF(C7=0,"",O7*C7)</f>
        <v>315</v>
      </c>
      <c r="R7" s="44"/>
      <c r="S7" s="45" t="n">
        <f aca="false">IF(C7=0,"",L7)</f>
        <v>15</v>
      </c>
      <c r="T7" s="46" t="n">
        <f aca="false">IF(C7=0,"",M7)</f>
        <v>572.1</v>
      </c>
    </row>
    <row r="8" customFormat="false" ht="12.75" hidden="false" customHeight="false" outlineLevel="0" collapsed="false">
      <c r="A8" s="47" t="n">
        <f aca="false">$C$2</f>
        <v>37015</v>
      </c>
      <c r="B8" s="12" t="n">
        <v>2</v>
      </c>
      <c r="C8" s="48" t="n">
        <f aca="false">INDEX(DaMw,C34+1,0)</f>
        <v>15</v>
      </c>
      <c r="D8" s="60" t="n">
        <f aca="false">INDEX(DaPrice,C34+1,0)</f>
        <v>20</v>
      </c>
      <c r="E8" s="50" t="n">
        <f aca="false">VLOOKUP(A8,Gas,4,FALSE())</f>
        <v>4.78</v>
      </c>
      <c r="F8" s="50" t="n">
        <f aca="false">VLOOKUP(A8,Gas,5,FALSE())</f>
        <v>4.78</v>
      </c>
      <c r="G8" s="51" t="n">
        <f aca="false">VLOOKUP(A8,Bogey,2,FALSE())</f>
        <v>59.14</v>
      </c>
      <c r="H8" s="52" t="n">
        <f aca="false">IF(C8&gt;0,G8-D8,"")</f>
        <v>39.14</v>
      </c>
      <c r="I8" s="53" t="n">
        <f aca="false">IF(C8&gt;0,H8*ABS(C8),"")</f>
        <v>587.1</v>
      </c>
      <c r="J8" s="54" t="n">
        <f aca="false">IF(C8=0,"",1)</f>
        <v>1</v>
      </c>
      <c r="K8" s="44" t="n">
        <f aca="false">IF(C8=0,"",G8-(D8+1))</f>
        <v>38.14</v>
      </c>
      <c r="L8" s="44" t="n">
        <f aca="false">IF(C8=0,"",C8*J8)</f>
        <v>15</v>
      </c>
      <c r="M8" s="55" t="n">
        <f aca="false">IF(C8=0,"",C8*K8)</f>
        <v>572.1</v>
      </c>
      <c r="N8" s="56" t="n">
        <f aca="false">IF(C8=0,"",D8)</f>
        <v>20</v>
      </c>
      <c r="O8" s="57" t="n">
        <f aca="false">IF(C8=0,"",D8+1)</f>
        <v>21</v>
      </c>
      <c r="P8" s="44" t="n">
        <f aca="false">IF(C8=0,"",N8*C8)</f>
        <v>300</v>
      </c>
      <c r="Q8" s="58" t="n">
        <f aca="false">IF(C8=0,"",O8*C8)</f>
        <v>315</v>
      </c>
      <c r="R8" s="44"/>
      <c r="S8" s="59" t="n">
        <f aca="false">IF(C8=0,"",L8)</f>
        <v>15</v>
      </c>
      <c r="T8" s="60" t="n">
        <f aca="false">IF(C8=0,"",M8)</f>
        <v>572.1</v>
      </c>
    </row>
    <row r="9" customFormat="false" ht="12.75" hidden="false" customHeight="false" outlineLevel="0" collapsed="false">
      <c r="A9" s="47" t="n">
        <f aca="false">$C$2</f>
        <v>37015</v>
      </c>
      <c r="B9" s="12" t="n">
        <v>3</v>
      </c>
      <c r="C9" s="48" t="n">
        <f aca="false">INDEX(DaMw,C34+2,0)</f>
        <v>15</v>
      </c>
      <c r="D9" s="60" t="n">
        <f aca="false">INDEX(DaPrice,C34+2,0)</f>
        <v>20</v>
      </c>
      <c r="E9" s="50" t="n">
        <f aca="false">VLOOKUP(A9,Gas,4,FALSE())</f>
        <v>4.78</v>
      </c>
      <c r="F9" s="50" t="n">
        <f aca="false">VLOOKUP(A9,Gas,5,FALSE())</f>
        <v>4.78</v>
      </c>
      <c r="G9" s="51" t="n">
        <f aca="false">VLOOKUP(A9,Bogey,2,FALSE())</f>
        <v>59.14</v>
      </c>
      <c r="H9" s="52" t="n">
        <f aca="false">IF(C9&gt;0,G9-D9,"")</f>
        <v>39.14</v>
      </c>
      <c r="I9" s="53" t="n">
        <f aca="false">IF(C9&gt;0,H9*ABS(C9),"")</f>
        <v>587.1</v>
      </c>
      <c r="J9" s="54" t="n">
        <f aca="false">IF(C9=0,"",1)</f>
        <v>1</v>
      </c>
      <c r="K9" s="44" t="n">
        <f aca="false">IF(C9=0,"",G9-(D9+1))</f>
        <v>38.14</v>
      </c>
      <c r="L9" s="44" t="n">
        <f aca="false">IF(C9=0,"",C9*J9)</f>
        <v>15</v>
      </c>
      <c r="M9" s="55" t="n">
        <f aca="false">IF(C9=0,"",C9*K9)</f>
        <v>572.1</v>
      </c>
      <c r="N9" s="56" t="n">
        <f aca="false">IF(C9=0,"",D9)</f>
        <v>20</v>
      </c>
      <c r="O9" s="57" t="n">
        <f aca="false">IF(C9=0,"",D9+1)</f>
        <v>21</v>
      </c>
      <c r="P9" s="44" t="n">
        <f aca="false">IF(C9=0,"",N9*C9)</f>
        <v>300</v>
      </c>
      <c r="Q9" s="58" t="n">
        <f aca="false">IF(C9=0,"",O9*C9)</f>
        <v>315</v>
      </c>
      <c r="R9" s="44"/>
      <c r="S9" s="59" t="n">
        <f aca="false">IF(C9=0,"",L9)</f>
        <v>15</v>
      </c>
      <c r="T9" s="60" t="n">
        <f aca="false">IF(C9=0,"",M9)</f>
        <v>572.1</v>
      </c>
    </row>
    <row r="10" customFormat="false" ht="12.75" hidden="false" customHeight="false" outlineLevel="0" collapsed="false">
      <c r="A10" s="47" t="n">
        <f aca="false">$C$2</f>
        <v>37015</v>
      </c>
      <c r="B10" s="12" t="n">
        <v>4</v>
      </c>
      <c r="C10" s="48" t="n">
        <f aca="false">INDEX(DaMw,C34+3,0)</f>
        <v>15</v>
      </c>
      <c r="D10" s="60" t="n">
        <f aca="false">INDEX(DaPrice,C34+3,0)</f>
        <v>20</v>
      </c>
      <c r="E10" s="50" t="n">
        <f aca="false">VLOOKUP(A10,Gas,4,FALSE())</f>
        <v>4.78</v>
      </c>
      <c r="F10" s="50" t="n">
        <f aca="false">VLOOKUP(A10,Gas,5,FALSE())</f>
        <v>4.78</v>
      </c>
      <c r="G10" s="51" t="n">
        <f aca="false">VLOOKUP(A10,Bogey,2,FALSE())</f>
        <v>59.14</v>
      </c>
      <c r="H10" s="52" t="n">
        <f aca="false">IF(C10&gt;0,G10-D10,"")</f>
        <v>39.14</v>
      </c>
      <c r="I10" s="53" t="n">
        <f aca="false">IF(C10&gt;0,H10*ABS(C10),"")</f>
        <v>587.1</v>
      </c>
      <c r="J10" s="54" t="n">
        <f aca="false">IF(C10=0,"",1)</f>
        <v>1</v>
      </c>
      <c r="K10" s="44" t="n">
        <f aca="false">IF(C10=0,"",G10-(D10+1))</f>
        <v>38.14</v>
      </c>
      <c r="L10" s="44" t="n">
        <f aca="false">IF(C10=0,"",C10*J10)</f>
        <v>15</v>
      </c>
      <c r="M10" s="55" t="n">
        <f aca="false">IF(C10=0,"",C10*K10)</f>
        <v>572.1</v>
      </c>
      <c r="N10" s="56" t="n">
        <f aca="false">IF(C10=0,"",D10)</f>
        <v>20</v>
      </c>
      <c r="O10" s="57" t="n">
        <f aca="false">IF(C10=0,"",D10+1)</f>
        <v>21</v>
      </c>
      <c r="P10" s="44" t="n">
        <f aca="false">IF(C10=0,"",N10*C10)</f>
        <v>300</v>
      </c>
      <c r="Q10" s="58" t="n">
        <f aca="false">IF(C10=0,"",O10*C10)</f>
        <v>315</v>
      </c>
      <c r="R10" s="44"/>
      <c r="S10" s="59" t="n">
        <f aca="false">IF(C10=0,"",L10)</f>
        <v>15</v>
      </c>
      <c r="T10" s="60" t="n">
        <f aca="false">IF(C10=0,"",M10)</f>
        <v>572.1</v>
      </c>
    </row>
    <row r="11" customFormat="false" ht="12.75" hidden="false" customHeight="false" outlineLevel="0" collapsed="false">
      <c r="A11" s="47" t="n">
        <f aca="false">$C$2</f>
        <v>37015</v>
      </c>
      <c r="B11" s="12" t="n">
        <v>5</v>
      </c>
      <c r="C11" s="48" t="n">
        <f aca="false">INDEX(DaMw,C34+4,0)</f>
        <v>15</v>
      </c>
      <c r="D11" s="60" t="n">
        <f aca="false">INDEX(DaPrice,C34+4,0)</f>
        <v>20</v>
      </c>
      <c r="E11" s="50" t="n">
        <f aca="false">VLOOKUP(A11,Gas,4,FALSE())</f>
        <v>4.78</v>
      </c>
      <c r="F11" s="50" t="n">
        <f aca="false">VLOOKUP(A11,Gas,5,FALSE())</f>
        <v>4.78</v>
      </c>
      <c r="G11" s="51" t="n">
        <f aca="false">VLOOKUP(A11,Bogey,2,FALSE())</f>
        <v>59.14</v>
      </c>
      <c r="H11" s="52" t="n">
        <f aca="false">IF(C11&gt;0,G11-D11,"")</f>
        <v>39.14</v>
      </c>
      <c r="I11" s="53" t="n">
        <f aca="false">IF(C11&gt;0,H11*ABS(C11),"")</f>
        <v>587.1</v>
      </c>
      <c r="J11" s="54" t="n">
        <f aca="false">IF(C11=0,"",1)</f>
        <v>1</v>
      </c>
      <c r="K11" s="44" t="n">
        <f aca="false">IF(C11=0,"",G11-(D11+1))</f>
        <v>38.14</v>
      </c>
      <c r="L11" s="44" t="n">
        <f aca="false">IF(C11=0,"",C11*J11)</f>
        <v>15</v>
      </c>
      <c r="M11" s="55" t="n">
        <f aca="false">IF(C11=0,"",C11*K11)</f>
        <v>572.1</v>
      </c>
      <c r="N11" s="56" t="n">
        <f aca="false">IF(C11=0,"",D11)</f>
        <v>20</v>
      </c>
      <c r="O11" s="57" t="n">
        <f aca="false">IF(C11=0,"",D11+1)</f>
        <v>21</v>
      </c>
      <c r="P11" s="44" t="n">
        <f aca="false">IF(C11=0,"",N11*C11)</f>
        <v>300</v>
      </c>
      <c r="Q11" s="58" t="n">
        <f aca="false">IF(C11=0,"",O11*C11)</f>
        <v>315</v>
      </c>
      <c r="R11" s="44"/>
      <c r="S11" s="59" t="n">
        <f aca="false">IF(C11=0,"",L11)</f>
        <v>15</v>
      </c>
      <c r="T11" s="60" t="n">
        <f aca="false">IF(C11=0,"",M11)</f>
        <v>572.1</v>
      </c>
    </row>
    <row r="12" customFormat="false" ht="12.75" hidden="false" customHeight="false" outlineLevel="0" collapsed="false">
      <c r="A12" s="47" t="n">
        <f aca="false">$C$2</f>
        <v>37015</v>
      </c>
      <c r="B12" s="12" t="n">
        <v>6</v>
      </c>
      <c r="C12" s="48" t="n">
        <f aca="false">INDEX(DaMw,C34+5,0)</f>
        <v>15</v>
      </c>
      <c r="D12" s="60" t="n">
        <f aca="false">INDEX(DaPrice,C34+5,0)</f>
        <v>20</v>
      </c>
      <c r="E12" s="50" t="n">
        <f aca="false">VLOOKUP(A12,Gas,4,FALSE())</f>
        <v>4.78</v>
      </c>
      <c r="F12" s="50" t="n">
        <f aca="false">VLOOKUP(A12,Gas,5,FALSE())</f>
        <v>4.78</v>
      </c>
      <c r="G12" s="51" t="n">
        <f aca="false">VLOOKUP(A12,Bogey,2,FALSE())</f>
        <v>59.14</v>
      </c>
      <c r="H12" s="52" t="n">
        <f aca="false">IF(C12&gt;0,G12-D12,"")</f>
        <v>39.14</v>
      </c>
      <c r="I12" s="53" t="n">
        <f aca="false">IF(C12&gt;0,H12*ABS(C12),"")</f>
        <v>587.1</v>
      </c>
      <c r="J12" s="54" t="n">
        <f aca="false">IF(C12=0,"",1)</f>
        <v>1</v>
      </c>
      <c r="K12" s="44" t="n">
        <f aca="false">IF(C12=0,"",G12-(D12+1))</f>
        <v>38.14</v>
      </c>
      <c r="L12" s="44" t="n">
        <f aca="false">IF(C12=0,"",C12*J12)</f>
        <v>15</v>
      </c>
      <c r="M12" s="55" t="n">
        <f aca="false">IF(C12=0,"",C12*K12)</f>
        <v>572.1</v>
      </c>
      <c r="N12" s="56" t="n">
        <f aca="false">IF(C12=0,"",D12)</f>
        <v>20</v>
      </c>
      <c r="O12" s="57" t="n">
        <f aca="false">IF(C12=0,"",D12+1)</f>
        <v>21</v>
      </c>
      <c r="P12" s="44" t="n">
        <f aca="false">IF(C12=0,"",N12*C12)</f>
        <v>300</v>
      </c>
      <c r="Q12" s="58" t="n">
        <f aca="false">IF(C12=0,"",O12*C12)</f>
        <v>315</v>
      </c>
      <c r="R12" s="44"/>
      <c r="S12" s="59" t="n">
        <f aca="false">IF(C12=0,"",L12)</f>
        <v>15</v>
      </c>
      <c r="T12" s="60" t="n">
        <f aca="false">IF(C12=0,"",M12)</f>
        <v>572.1</v>
      </c>
    </row>
    <row r="13" customFormat="false" ht="12.75" hidden="false" customHeight="false" outlineLevel="0" collapsed="false">
      <c r="A13" s="47" t="n">
        <f aca="false">$C$2</f>
        <v>37015</v>
      </c>
      <c r="B13" s="12" t="n">
        <v>7</v>
      </c>
      <c r="C13" s="48" t="n">
        <f aca="false">INDEX(DaMw,C34+6,0)</f>
        <v>20</v>
      </c>
      <c r="D13" s="60" t="n">
        <f aca="false">INDEX(DaPrice,C34+6,0)</f>
        <v>50</v>
      </c>
      <c r="E13" s="50" t="n">
        <f aca="false">VLOOKUP(A13,Gas,4,FALSE())</f>
        <v>4.78</v>
      </c>
      <c r="F13" s="50" t="n">
        <f aca="false">VLOOKUP(A13,Gas,5,FALSE())</f>
        <v>4.78</v>
      </c>
      <c r="G13" s="51" t="n">
        <f aca="false">VLOOKUP(A13,Bogey,2,FALSE())</f>
        <v>59.14</v>
      </c>
      <c r="H13" s="52" t="n">
        <f aca="false">IF(C13&gt;0,G13-D13,"")</f>
        <v>9.14</v>
      </c>
      <c r="I13" s="53" t="n">
        <f aca="false">IF(C13&gt;0,H13*ABS(C13),"")</f>
        <v>182.8</v>
      </c>
      <c r="J13" s="54" t="n">
        <f aca="false">IF($C13=0,"",$H13*0.4)</f>
        <v>3.656</v>
      </c>
      <c r="K13" s="49" t="n">
        <f aca="false">IF($C13=0,"",$H13*0.6)</f>
        <v>5.484</v>
      </c>
      <c r="L13" s="49" t="n">
        <f aca="false">IF(C13=0,"",J13*$C13)</f>
        <v>73.12</v>
      </c>
      <c r="M13" s="55" t="n">
        <f aca="false">IF(C13=0,"",C13*K13)</f>
        <v>109.68</v>
      </c>
      <c r="N13" s="56" t="n">
        <f aca="false">IF(C13=0,"",D13)</f>
        <v>50</v>
      </c>
      <c r="O13" s="57" t="n">
        <f aca="false">IF(C13=0,"",D13+J13)</f>
        <v>53.656</v>
      </c>
      <c r="P13" s="44" t="n">
        <f aca="false">IF(C13=0,"",N13*C13)</f>
        <v>1000</v>
      </c>
      <c r="Q13" s="58" t="n">
        <f aca="false">IF(C13=0,"",O13*C13)</f>
        <v>1073.12</v>
      </c>
      <c r="R13" s="44"/>
      <c r="S13" s="59" t="n">
        <f aca="false">IF(C13=0,"",L13)</f>
        <v>73.12</v>
      </c>
      <c r="T13" s="60" t="n">
        <f aca="false">IF(C13=0,"",M13)</f>
        <v>109.68</v>
      </c>
    </row>
    <row r="14" customFormat="false" ht="12.75" hidden="false" customHeight="false" outlineLevel="0" collapsed="false">
      <c r="A14" s="47" t="n">
        <f aca="false">$C$2</f>
        <v>37015</v>
      </c>
      <c r="B14" s="12" t="n">
        <v>8</v>
      </c>
      <c r="C14" s="48" t="n">
        <f aca="false">INDEX(DaMw,C34+7,0)</f>
        <v>20</v>
      </c>
      <c r="D14" s="60" t="n">
        <f aca="false">INDEX(DaPrice,C34+7,0)</f>
        <v>50</v>
      </c>
      <c r="E14" s="50" t="n">
        <f aca="false">VLOOKUP(A14,Gas,4,FALSE())</f>
        <v>4.78</v>
      </c>
      <c r="F14" s="50" t="n">
        <f aca="false">VLOOKUP(A14,Gas,5,FALSE())</f>
        <v>4.78</v>
      </c>
      <c r="G14" s="51" t="n">
        <f aca="false">VLOOKUP(A14,Bogey,2,FALSE())</f>
        <v>59.14</v>
      </c>
      <c r="H14" s="52" t="n">
        <f aca="false">IF(C14&gt;0,G14-D14,"")</f>
        <v>9.14</v>
      </c>
      <c r="I14" s="53" t="n">
        <f aca="false">IF(C14&gt;0,H14*ABS(C14),"")</f>
        <v>182.8</v>
      </c>
      <c r="J14" s="54" t="n">
        <f aca="false">IF($C14=0,"",$H14*0.4)</f>
        <v>3.656</v>
      </c>
      <c r="K14" s="49" t="n">
        <f aca="false">IF($C14=0,"",$H14*0.6)</f>
        <v>5.484</v>
      </c>
      <c r="L14" s="49" t="n">
        <f aca="false">IF(C14=0,"",J14*$C14)</f>
        <v>73.12</v>
      </c>
      <c r="M14" s="55" t="n">
        <f aca="false">IF(C14=0,"",C14*K14)</f>
        <v>109.68</v>
      </c>
      <c r="N14" s="56" t="n">
        <f aca="false">IF(C14=0,"",D14)</f>
        <v>50</v>
      </c>
      <c r="O14" s="57" t="n">
        <f aca="false">IF(C14=0,"",D14+J14)</f>
        <v>53.656</v>
      </c>
      <c r="P14" s="44" t="n">
        <f aca="false">IF(C14=0,"",N14*C14)</f>
        <v>1000</v>
      </c>
      <c r="Q14" s="58" t="n">
        <f aca="false">IF(C14=0,"",O14*C14)</f>
        <v>1073.12</v>
      </c>
      <c r="R14" s="44"/>
      <c r="S14" s="59" t="n">
        <f aca="false">IF(C14=0,"",L14)</f>
        <v>73.12</v>
      </c>
      <c r="T14" s="60" t="n">
        <f aca="false">IF(C14=0,"",M14)</f>
        <v>109.68</v>
      </c>
    </row>
    <row r="15" customFormat="false" ht="12.75" hidden="false" customHeight="false" outlineLevel="0" collapsed="false">
      <c r="A15" s="47" t="n">
        <f aca="false">$C$2</f>
        <v>37015</v>
      </c>
      <c r="B15" s="12" t="n">
        <v>9</v>
      </c>
      <c r="C15" s="48" t="n">
        <f aca="false">INDEX(DaMw,C34+8,0)</f>
        <v>21.1268180929244</v>
      </c>
      <c r="D15" s="60" t="n">
        <f aca="false">INDEX(DaPrice,C34+8,0)</f>
        <v>50</v>
      </c>
      <c r="E15" s="50" t="n">
        <f aca="false">VLOOKUP(A15,Gas,4,FALSE())</f>
        <v>4.78</v>
      </c>
      <c r="F15" s="50" t="n">
        <f aca="false">VLOOKUP(A15,Gas,5,FALSE())</f>
        <v>4.78</v>
      </c>
      <c r="G15" s="51" t="n">
        <f aca="false">VLOOKUP(A15,Bogey,2,FALSE())</f>
        <v>59.14</v>
      </c>
      <c r="H15" s="52" t="n">
        <f aca="false">IF(C15&gt;0,G15-D15,"")</f>
        <v>9.14</v>
      </c>
      <c r="I15" s="53" t="n">
        <f aca="false">IF(C15&gt;0,H15*ABS(C15),"")</f>
        <v>193.099117369329</v>
      </c>
      <c r="J15" s="54" t="n">
        <f aca="false">IF($C15=0,"",$H15*0.4)</f>
        <v>3.656</v>
      </c>
      <c r="K15" s="49" t="n">
        <f aca="false">IF($C15=0,"",$H15*0.6)</f>
        <v>5.484</v>
      </c>
      <c r="L15" s="49" t="n">
        <f aca="false">IF(C15=0,"",J15*$C15)</f>
        <v>77.2396469477316</v>
      </c>
      <c r="M15" s="55" t="n">
        <f aca="false">IF(C15=0,"",C15*K15)</f>
        <v>115.859470421597</v>
      </c>
      <c r="N15" s="56" t="n">
        <f aca="false">IF(C15=0,"",D15)</f>
        <v>50</v>
      </c>
      <c r="O15" s="57" t="n">
        <f aca="false">IF(C15=0,"",D15+J15)</f>
        <v>53.656</v>
      </c>
      <c r="P15" s="44" t="n">
        <f aca="false">IF(C15=0,"",N15*C15)</f>
        <v>1056.34090464622</v>
      </c>
      <c r="Q15" s="58" t="n">
        <f aca="false">IF(C15=0,"",O15*C15)</f>
        <v>1133.58055159395</v>
      </c>
      <c r="R15" s="44"/>
      <c r="S15" s="59" t="n">
        <f aca="false">IF(C15=0,"",L15)</f>
        <v>77.2396469477316</v>
      </c>
      <c r="T15" s="60" t="n">
        <f aca="false">IF(C15=0,"",M15)</f>
        <v>115.859470421597</v>
      </c>
    </row>
    <row r="16" customFormat="false" ht="12.75" hidden="false" customHeight="false" outlineLevel="0" collapsed="false">
      <c r="A16" s="47" t="n">
        <f aca="false">$C$2</f>
        <v>37015</v>
      </c>
      <c r="B16" s="12" t="n">
        <v>10</v>
      </c>
      <c r="C16" s="48" t="n">
        <f aca="false">INDEX(DaMw,C34+9,0)</f>
        <v>23.7154650466741</v>
      </c>
      <c r="D16" s="60" t="n">
        <f aca="false">INDEX(DaPrice,C34+9,0)</f>
        <v>50</v>
      </c>
      <c r="E16" s="50" t="n">
        <f aca="false">VLOOKUP(A16,Gas,4,FALSE())</f>
        <v>4.78</v>
      </c>
      <c r="F16" s="50" t="n">
        <f aca="false">VLOOKUP(A16,Gas,5,FALSE())</f>
        <v>4.78</v>
      </c>
      <c r="G16" s="51" t="n">
        <f aca="false">VLOOKUP(A16,Bogey,2,FALSE())</f>
        <v>59.14</v>
      </c>
      <c r="H16" s="52" t="n">
        <f aca="false">IF(C16&gt;0,G16-D16,"")</f>
        <v>9.14</v>
      </c>
      <c r="I16" s="53" t="n">
        <f aca="false">IF(C16&gt;0,H16*ABS(C16),"")</f>
        <v>216.759350526601</v>
      </c>
      <c r="J16" s="54" t="n">
        <f aca="false">IF($C16=0,"",$H16*0.4)</f>
        <v>3.656</v>
      </c>
      <c r="K16" s="49" t="n">
        <f aca="false">IF($C16=0,"",$H16*0.6)</f>
        <v>5.484</v>
      </c>
      <c r="L16" s="49" t="n">
        <f aca="false">IF(C16=0,"",J16*$C16)</f>
        <v>86.7037402106405</v>
      </c>
      <c r="M16" s="55" t="n">
        <f aca="false">IF(C16=0,"",C16*K16)</f>
        <v>130.055610315961</v>
      </c>
      <c r="N16" s="56" t="n">
        <f aca="false">IF(C16=0,"",D16)</f>
        <v>50</v>
      </c>
      <c r="O16" s="57" t="n">
        <f aca="false">IF(C16=0,"",D16+J16)</f>
        <v>53.656</v>
      </c>
      <c r="P16" s="44" t="n">
        <f aca="false">IF(C16=0,"",N16*C16)</f>
        <v>1185.77325233371</v>
      </c>
      <c r="Q16" s="58" t="n">
        <f aca="false">IF(C16=0,"",O16*C16)</f>
        <v>1272.47699254435</v>
      </c>
      <c r="R16" s="44"/>
      <c r="S16" s="59" t="n">
        <f aca="false">IF(C16=0,"",L16)</f>
        <v>86.7037402106405</v>
      </c>
      <c r="T16" s="60" t="n">
        <f aca="false">IF(C16=0,"",M16)</f>
        <v>130.055610315961</v>
      </c>
    </row>
    <row r="17" customFormat="false" ht="12.75" hidden="false" customHeight="false" outlineLevel="0" collapsed="false">
      <c r="A17" s="47" t="n">
        <f aca="false">$C$2</f>
        <v>37015</v>
      </c>
      <c r="B17" s="12" t="n">
        <v>11</v>
      </c>
      <c r="C17" s="48" t="n">
        <f aca="false">INDEX(DaMw,C34+10,0)</f>
        <v>23.3744386125487</v>
      </c>
      <c r="D17" s="60" t="n">
        <f aca="false">INDEX(DaPrice,C34+10,0)</f>
        <v>50</v>
      </c>
      <c r="E17" s="50" t="n">
        <f aca="false">VLOOKUP(A17,Gas,4,FALSE())</f>
        <v>4.78</v>
      </c>
      <c r="F17" s="50" t="n">
        <f aca="false">VLOOKUP(A17,Gas,5,FALSE())</f>
        <v>4.78</v>
      </c>
      <c r="G17" s="51" t="n">
        <f aca="false">VLOOKUP(A17,Bogey,2,FALSE())</f>
        <v>59.14</v>
      </c>
      <c r="H17" s="52" t="n">
        <f aca="false">IF(C17&gt;0,G17-D17,"")</f>
        <v>9.14</v>
      </c>
      <c r="I17" s="53" t="n">
        <f aca="false">IF(C17&gt;0,H17*ABS(C17),"")</f>
        <v>213.642368918695</v>
      </c>
      <c r="J17" s="54" t="n">
        <f aca="false">IF($C17=0,"",$H17*0.4)</f>
        <v>3.656</v>
      </c>
      <c r="K17" s="49" t="n">
        <f aca="false">IF($C17=0,"",$H17*0.6)</f>
        <v>5.484</v>
      </c>
      <c r="L17" s="49" t="n">
        <f aca="false">IF(C17=0,"",J17*$C17)</f>
        <v>85.4569475674781</v>
      </c>
      <c r="M17" s="55" t="n">
        <f aca="false">IF(C17=0,"",C17*K17)</f>
        <v>128.185421351217</v>
      </c>
      <c r="N17" s="56" t="n">
        <f aca="false">IF(C17=0,"",D17)</f>
        <v>50</v>
      </c>
      <c r="O17" s="57" t="n">
        <f aca="false">IF(C17=0,"",D17+J17)</f>
        <v>53.656</v>
      </c>
      <c r="P17" s="44" t="n">
        <f aca="false">IF(C17=0,"",N17*C17)</f>
        <v>1168.72193062744</v>
      </c>
      <c r="Q17" s="58" t="n">
        <f aca="false">IF(C17=0,"",O17*C17)</f>
        <v>1254.17887819491</v>
      </c>
      <c r="R17" s="44"/>
      <c r="S17" s="59" t="n">
        <f aca="false">IF(C17=0,"",L17)</f>
        <v>85.4569475674781</v>
      </c>
      <c r="T17" s="60" t="n">
        <f aca="false">IF(C17=0,"",M17)</f>
        <v>128.185421351217</v>
      </c>
    </row>
    <row r="18" customFormat="false" ht="12.75" hidden="false" customHeight="false" outlineLevel="0" collapsed="false">
      <c r="A18" s="47" t="n">
        <f aca="false">$C$2</f>
        <v>37015</v>
      </c>
      <c r="B18" s="12" t="n">
        <v>12</v>
      </c>
      <c r="C18" s="48" t="n">
        <f aca="false">INDEX(DaMw,C34+11,0)</f>
        <v>25.3229402622349</v>
      </c>
      <c r="D18" s="60" t="n">
        <f aca="false">INDEX(DaPrice,C34+11,0)</f>
        <v>50</v>
      </c>
      <c r="E18" s="50" t="n">
        <f aca="false">VLOOKUP(A18,Gas,4,FALSE())</f>
        <v>4.78</v>
      </c>
      <c r="F18" s="50" t="n">
        <f aca="false">VLOOKUP(A18,Gas,5,FALSE())</f>
        <v>4.78</v>
      </c>
      <c r="G18" s="51" t="n">
        <f aca="false">VLOOKUP(A18,Bogey,2,FALSE())</f>
        <v>59.14</v>
      </c>
      <c r="H18" s="52" t="n">
        <f aca="false">IF(C18&gt;0,G18-D18,"")</f>
        <v>9.14</v>
      </c>
      <c r="I18" s="53" t="n">
        <f aca="false">IF(C18&gt;0,H18*ABS(C18),"")</f>
        <v>231.451673996827</v>
      </c>
      <c r="J18" s="54" t="n">
        <f aca="false">IF($C18=0,"",$H18*0.4)</f>
        <v>3.656</v>
      </c>
      <c r="K18" s="49" t="n">
        <f aca="false">IF($C18=0,"",$H18*0.6)</f>
        <v>5.484</v>
      </c>
      <c r="L18" s="49" t="n">
        <f aca="false">IF(C18=0,"",J18*$C18)</f>
        <v>92.5806695987308</v>
      </c>
      <c r="M18" s="55" t="n">
        <f aca="false">IF(C18=0,"",C18*K18)</f>
        <v>138.871004398096</v>
      </c>
      <c r="N18" s="56" t="n">
        <f aca="false">IF(C18=0,"",D18)</f>
        <v>50</v>
      </c>
      <c r="O18" s="57" t="n">
        <f aca="false">IF(C18=0,"",D18+J18)</f>
        <v>53.656</v>
      </c>
      <c r="P18" s="44" t="n">
        <f aca="false">IF(C18=0,"",N18*C18)</f>
        <v>1266.14701311175</v>
      </c>
      <c r="Q18" s="58" t="n">
        <f aca="false">IF(C18=0,"",O18*C18)</f>
        <v>1358.72768271048</v>
      </c>
      <c r="R18" s="44"/>
      <c r="S18" s="59" t="n">
        <f aca="false">IF(C18=0,"",L18)</f>
        <v>92.5806695987308</v>
      </c>
      <c r="T18" s="60" t="n">
        <f aca="false">IF(C18=0,"",M18)</f>
        <v>138.871004398096</v>
      </c>
    </row>
    <row r="19" customFormat="false" ht="12.75" hidden="false" customHeight="false" outlineLevel="0" collapsed="false">
      <c r="A19" s="47" t="n">
        <f aca="false">$C$2</f>
        <v>37015</v>
      </c>
      <c r="B19" s="12" t="n">
        <v>13</v>
      </c>
      <c r="C19" s="48" t="n">
        <f aca="false">INDEX(DaMw,C34+12,0)</f>
        <v>24.4937323431345</v>
      </c>
      <c r="D19" s="60" t="n">
        <f aca="false">INDEX(DaPrice,C34+12,0)</f>
        <v>50</v>
      </c>
      <c r="E19" s="50" t="n">
        <f aca="false">VLOOKUP(A19,Gas,4,FALSE())</f>
        <v>4.78</v>
      </c>
      <c r="F19" s="50" t="n">
        <f aca="false">VLOOKUP(A19,Gas,5,FALSE())</f>
        <v>4.78</v>
      </c>
      <c r="G19" s="51" t="n">
        <f aca="false">VLOOKUP(A19,Bogey,2,FALSE())</f>
        <v>59.14</v>
      </c>
      <c r="H19" s="52" t="n">
        <f aca="false">IF(C19&gt;0,G19-D19,"")</f>
        <v>9.14</v>
      </c>
      <c r="I19" s="53" t="n">
        <f aca="false">IF(C19&gt;0,H19*ABS(C19),"")</f>
        <v>223.872713616249</v>
      </c>
      <c r="J19" s="54" t="n">
        <f aca="false">IF($C19=0,"",$H19*0.4)</f>
        <v>3.656</v>
      </c>
      <c r="K19" s="49" t="n">
        <f aca="false">IF($C19=0,"",$H19*0.6)</f>
        <v>5.484</v>
      </c>
      <c r="L19" s="49" t="n">
        <f aca="false">IF(C19=0,"",J19*$C19)</f>
        <v>89.5490854464997</v>
      </c>
      <c r="M19" s="55" t="n">
        <f aca="false">IF(C19=0,"",C19*K19)</f>
        <v>134.32362816975</v>
      </c>
      <c r="N19" s="56" t="n">
        <f aca="false">IF(C19=0,"",D19)</f>
        <v>50</v>
      </c>
      <c r="O19" s="57" t="n">
        <f aca="false">IF(C19=0,"",D19+J19)</f>
        <v>53.656</v>
      </c>
      <c r="P19" s="44" t="n">
        <f aca="false">IF(C19=0,"",N19*C19)</f>
        <v>1224.68661715672</v>
      </c>
      <c r="Q19" s="58" t="n">
        <f aca="false">IF(C19=0,"",O19*C19)</f>
        <v>1314.23570260322</v>
      </c>
      <c r="R19" s="44"/>
      <c r="S19" s="59" t="n">
        <f aca="false">IF(C19=0,"",L19)</f>
        <v>89.5490854464997</v>
      </c>
      <c r="T19" s="60" t="n">
        <f aca="false">IF(C19=0,"",M19)</f>
        <v>134.32362816975</v>
      </c>
    </row>
    <row r="20" customFormat="false" ht="12.75" hidden="false" customHeight="false" outlineLevel="0" collapsed="false">
      <c r="A20" s="47" t="n">
        <f aca="false">$C$2</f>
        <v>37015</v>
      </c>
      <c r="B20" s="12" t="n">
        <v>14</v>
      </c>
      <c r="C20" s="48" t="n">
        <f aca="false">INDEX(DaMw,C34+13,0)</f>
        <v>24.2949121562136</v>
      </c>
      <c r="D20" s="60" t="n">
        <f aca="false">INDEX(DaPrice,C34+13,0)</f>
        <v>50</v>
      </c>
      <c r="E20" s="50" t="n">
        <f aca="false">VLOOKUP(A20,Gas,4,FALSE())</f>
        <v>4.78</v>
      </c>
      <c r="F20" s="50" t="n">
        <f aca="false">VLOOKUP(A20,Gas,5,FALSE())</f>
        <v>4.78</v>
      </c>
      <c r="G20" s="51" t="n">
        <f aca="false">VLOOKUP(A20,Bogey,2,FALSE())</f>
        <v>59.14</v>
      </c>
      <c r="H20" s="52" t="n">
        <f aca="false">IF(C20&gt;0,G20-D20,"")</f>
        <v>9.14</v>
      </c>
      <c r="I20" s="53" t="n">
        <f aca="false">IF(C20&gt;0,H20*ABS(C20),"")</f>
        <v>222.055497107792</v>
      </c>
      <c r="J20" s="54" t="n">
        <f aca="false">IF($C20=0,"",$H20*0.4)</f>
        <v>3.656</v>
      </c>
      <c r="K20" s="49" t="n">
        <f aca="false">IF($C20=0,"",$H20*0.6)</f>
        <v>5.484</v>
      </c>
      <c r="L20" s="49" t="n">
        <f aca="false">IF(C20=0,"",J20*$C20)</f>
        <v>88.8221988431169</v>
      </c>
      <c r="M20" s="55" t="n">
        <f aca="false">IF(C20=0,"",C20*K20)</f>
        <v>133.233298264675</v>
      </c>
      <c r="N20" s="56" t="n">
        <f aca="false">IF(C20=0,"",D20)</f>
        <v>50</v>
      </c>
      <c r="O20" s="57" t="n">
        <f aca="false">IF(C20=0,"",D20+J20)</f>
        <v>53.656</v>
      </c>
      <c r="P20" s="44" t="n">
        <f aca="false">IF(C20=0,"",N20*C20)</f>
        <v>1214.74560781068</v>
      </c>
      <c r="Q20" s="58" t="n">
        <f aca="false">IF(C20=0,"",O20*C20)</f>
        <v>1303.5678066538</v>
      </c>
      <c r="R20" s="44"/>
      <c r="S20" s="59" t="n">
        <f aca="false">IF(C20=0,"",L20)</f>
        <v>88.8221988431169</v>
      </c>
      <c r="T20" s="60" t="n">
        <f aca="false">IF(C20=0,"",M20)</f>
        <v>133.233298264675</v>
      </c>
    </row>
    <row r="21" customFormat="false" ht="12.75" hidden="false" customHeight="false" outlineLevel="0" collapsed="false">
      <c r="A21" s="47" t="n">
        <f aca="false">$C$2</f>
        <v>37015</v>
      </c>
      <c r="B21" s="12" t="n">
        <v>15</v>
      </c>
      <c r="C21" s="48" t="n">
        <f aca="false">INDEX(DaMw,C34+14,0)</f>
        <v>25.3634220466924</v>
      </c>
      <c r="D21" s="60" t="n">
        <f aca="false">INDEX(DaPrice,C34+14,0)</f>
        <v>50</v>
      </c>
      <c r="E21" s="50" t="n">
        <f aca="false">VLOOKUP(A21,Gas,4,FALSE())</f>
        <v>4.78</v>
      </c>
      <c r="F21" s="50" t="n">
        <f aca="false">VLOOKUP(A21,Gas,5,FALSE())</f>
        <v>4.78</v>
      </c>
      <c r="G21" s="51" t="n">
        <f aca="false">VLOOKUP(A21,Bogey,2,FALSE())</f>
        <v>59.14</v>
      </c>
      <c r="H21" s="52" t="n">
        <f aca="false">IF(C21&gt;0,G21-D21,"")</f>
        <v>9.14</v>
      </c>
      <c r="I21" s="53" t="n">
        <f aca="false">IF(C21&gt;0,H21*ABS(C21),"")</f>
        <v>231.821677506769</v>
      </c>
      <c r="J21" s="54" t="n">
        <f aca="false">IF($C21=0,"",$H21*0.4)</f>
        <v>3.656</v>
      </c>
      <c r="K21" s="49" t="n">
        <f aca="false">IF($C21=0,"",$H21*0.6)</f>
        <v>5.484</v>
      </c>
      <c r="L21" s="49" t="n">
        <f aca="false">IF(C21=0,"",J21*$C21)</f>
        <v>92.7286710027074</v>
      </c>
      <c r="M21" s="55" t="n">
        <f aca="false">IF(C21=0,"",C21*K21)</f>
        <v>139.093006504061</v>
      </c>
      <c r="N21" s="56" t="n">
        <f aca="false">IF(C21=0,"",D21)</f>
        <v>50</v>
      </c>
      <c r="O21" s="57" t="n">
        <f aca="false">IF(C21=0,"",D21+J21)</f>
        <v>53.656</v>
      </c>
      <c r="P21" s="44" t="n">
        <f aca="false">IF(C21=0,"",N21*C21)</f>
        <v>1268.17110233462</v>
      </c>
      <c r="Q21" s="58" t="n">
        <f aca="false">IF(C21=0,"",O21*C21)</f>
        <v>1360.89977333733</v>
      </c>
      <c r="R21" s="44"/>
      <c r="S21" s="59" t="n">
        <f aca="false">IF(C21=0,"",L21)</f>
        <v>92.7286710027074</v>
      </c>
      <c r="T21" s="60" t="n">
        <f aca="false">IF(C21=0,"",M21)</f>
        <v>139.093006504061</v>
      </c>
    </row>
    <row r="22" customFormat="false" ht="12.75" hidden="false" customHeight="false" outlineLevel="0" collapsed="false">
      <c r="A22" s="47" t="n">
        <f aca="false">$C$2</f>
        <v>37015</v>
      </c>
      <c r="B22" s="12" t="n">
        <v>16</v>
      </c>
      <c r="C22" s="48" t="n">
        <f aca="false">INDEX(DaMw,C34+15,0)</f>
        <v>26.1568707538188</v>
      </c>
      <c r="D22" s="60" t="n">
        <f aca="false">INDEX(DaPrice,C34+15,0)</f>
        <v>50</v>
      </c>
      <c r="E22" s="50" t="n">
        <f aca="false">VLOOKUP(A22,Gas,4,FALSE())</f>
        <v>4.78</v>
      </c>
      <c r="F22" s="50" t="n">
        <f aca="false">VLOOKUP(A22,Gas,5,FALSE())</f>
        <v>4.78</v>
      </c>
      <c r="G22" s="51" t="n">
        <f aca="false">VLOOKUP(A22,Bogey,2,FALSE())</f>
        <v>59.14</v>
      </c>
      <c r="H22" s="52" t="n">
        <f aca="false">IF(C22&gt;0,G22-D22,"")</f>
        <v>9.14</v>
      </c>
      <c r="I22" s="53" t="n">
        <f aca="false">IF(C22&gt;0,H22*ABS(C22),"")</f>
        <v>239.073798689904</v>
      </c>
      <c r="J22" s="54" t="n">
        <f aca="false">IF($C22=0,"",$H22*0.4)</f>
        <v>3.656</v>
      </c>
      <c r="K22" s="49" t="n">
        <f aca="false">IF($C22=0,"",$H22*0.6)</f>
        <v>5.484</v>
      </c>
      <c r="L22" s="49" t="n">
        <f aca="false">IF(C22=0,"",J22*$C22)</f>
        <v>95.6295194759615</v>
      </c>
      <c r="M22" s="55" t="n">
        <f aca="false">IF(C22=0,"",C22*K22)</f>
        <v>143.444279213942</v>
      </c>
      <c r="N22" s="56" t="n">
        <f aca="false">IF(C22=0,"",D22)</f>
        <v>50</v>
      </c>
      <c r="O22" s="57" t="n">
        <f aca="false">IF(C22=0,"",D22+J22)</f>
        <v>53.656</v>
      </c>
      <c r="P22" s="44" t="n">
        <f aca="false">IF(C22=0,"",N22*C22)</f>
        <v>1307.84353769094</v>
      </c>
      <c r="Q22" s="58" t="n">
        <f aca="false">IF(C22=0,"",O22*C22)</f>
        <v>1403.4730571669</v>
      </c>
      <c r="R22" s="44"/>
      <c r="S22" s="59" t="n">
        <f aca="false">IF(C22=0,"",L22)</f>
        <v>95.6295194759615</v>
      </c>
      <c r="T22" s="60" t="n">
        <f aca="false">IF(C22=0,"",M22)</f>
        <v>143.444279213942</v>
      </c>
    </row>
    <row r="23" customFormat="false" ht="12.75" hidden="false" customHeight="false" outlineLevel="0" collapsed="false">
      <c r="A23" s="47" t="n">
        <f aca="false">$C$2</f>
        <v>37015</v>
      </c>
      <c r="B23" s="12" t="n">
        <v>17</v>
      </c>
      <c r="C23" s="48" t="n">
        <f aca="false">INDEX(DaMw,C34+16,0)</f>
        <v>23.9448010308688</v>
      </c>
      <c r="D23" s="60" t="n">
        <f aca="false">INDEX(DaPrice,C34+16,0)</f>
        <v>50</v>
      </c>
      <c r="E23" s="50" t="n">
        <f aca="false">VLOOKUP(A23,Gas,4,FALSE())</f>
        <v>4.78</v>
      </c>
      <c r="F23" s="50" t="n">
        <f aca="false">VLOOKUP(A23,Gas,5,FALSE())</f>
        <v>4.78</v>
      </c>
      <c r="G23" s="51" t="n">
        <f aca="false">VLOOKUP(A23,Bogey,2,FALSE())</f>
        <v>59.14</v>
      </c>
      <c r="H23" s="52" t="n">
        <f aca="false">IF(C23&gt;0,G23-D23,"")</f>
        <v>9.14</v>
      </c>
      <c r="I23" s="53" t="n">
        <f aca="false">IF(C23&gt;0,H23*ABS(C23),"")</f>
        <v>218.855481422141</v>
      </c>
      <c r="J23" s="54" t="n">
        <f aca="false">IF($C23=0,"",$H23*0.4)</f>
        <v>3.656</v>
      </c>
      <c r="K23" s="49" t="n">
        <f aca="false">IF($C23=0,"",$H23*0.6)</f>
        <v>5.484</v>
      </c>
      <c r="L23" s="49" t="n">
        <f aca="false">IF(C23=0,"",J23*$C23)</f>
        <v>87.5421925688564</v>
      </c>
      <c r="M23" s="55" t="n">
        <f aca="false">IF(C23=0,"",C23*K23)</f>
        <v>131.313288853285</v>
      </c>
      <c r="N23" s="56" t="n">
        <f aca="false">IF(C23=0,"",D23)</f>
        <v>50</v>
      </c>
      <c r="O23" s="57" t="n">
        <f aca="false">IF(C23=0,"",D23+J23)</f>
        <v>53.656</v>
      </c>
      <c r="P23" s="44" t="n">
        <f aca="false">IF(C23=0,"",N23*C23)</f>
        <v>1197.24005154344</v>
      </c>
      <c r="Q23" s="58" t="n">
        <f aca="false">IF(C23=0,"",O23*C23)</f>
        <v>1284.7822441123</v>
      </c>
      <c r="R23" s="44"/>
      <c r="S23" s="59" t="n">
        <f aca="false">IF(C23=0,"",L23)</f>
        <v>87.5421925688564</v>
      </c>
      <c r="T23" s="60" t="n">
        <f aca="false">IF(C23=0,"",M23)</f>
        <v>131.313288853285</v>
      </c>
    </row>
    <row r="24" customFormat="false" ht="12.75" hidden="false" customHeight="false" outlineLevel="0" collapsed="false">
      <c r="A24" s="47" t="n">
        <f aca="false">$C$2</f>
        <v>37015</v>
      </c>
      <c r="B24" s="12" t="n">
        <v>18</v>
      </c>
      <c r="C24" s="48" t="n">
        <f aca="false">INDEX(DaMw,C34+17,0)</f>
        <v>22.4901522232633</v>
      </c>
      <c r="D24" s="60" t="n">
        <f aca="false">INDEX(DaPrice,C34+17,0)</f>
        <v>50</v>
      </c>
      <c r="E24" s="50" t="n">
        <f aca="false">VLOOKUP(A24,Gas,4,FALSE())</f>
        <v>4.78</v>
      </c>
      <c r="F24" s="50" t="n">
        <f aca="false">VLOOKUP(A24,Gas,5,FALSE())</f>
        <v>4.78</v>
      </c>
      <c r="G24" s="51" t="n">
        <f aca="false">VLOOKUP(A24,Bogey,2,FALSE())</f>
        <v>59.14</v>
      </c>
      <c r="H24" s="52" t="n">
        <f aca="false">IF(C24&gt;0,G24-D24,"")</f>
        <v>9.14</v>
      </c>
      <c r="I24" s="53" t="n">
        <f aca="false">IF(C24&gt;0,H24*ABS(C24),"")</f>
        <v>205.559991320627</v>
      </c>
      <c r="J24" s="54" t="n">
        <f aca="false">IF($C24=0,"",$H24*0.4)</f>
        <v>3.656</v>
      </c>
      <c r="K24" s="49" t="n">
        <f aca="false">IF($C24=0,"",$H24*0.6)</f>
        <v>5.484</v>
      </c>
      <c r="L24" s="49" t="n">
        <f aca="false">IF(C24=0,"",J24*$C24)</f>
        <v>82.2239965282506</v>
      </c>
      <c r="M24" s="55" t="n">
        <f aca="false">IF(C24=0,"",C24*K24)</f>
        <v>123.335994792376</v>
      </c>
      <c r="N24" s="56" t="n">
        <f aca="false">IF(C24=0,"",D24)</f>
        <v>50</v>
      </c>
      <c r="O24" s="57" t="n">
        <f aca="false">IF(C24=0,"",D24+J24)</f>
        <v>53.656</v>
      </c>
      <c r="P24" s="44" t="n">
        <f aca="false">IF(C24=0,"",N24*C24)</f>
        <v>1124.50761116317</v>
      </c>
      <c r="Q24" s="58" t="n">
        <f aca="false">IF(C24=0,"",O24*C24)</f>
        <v>1206.73160769142</v>
      </c>
      <c r="R24" s="44"/>
      <c r="S24" s="59" t="n">
        <f aca="false">IF(C24=0,"",L24)</f>
        <v>82.2239965282506</v>
      </c>
      <c r="T24" s="60" t="n">
        <f aca="false">IF(C24=0,"",M24)</f>
        <v>123.335994792376</v>
      </c>
    </row>
    <row r="25" customFormat="false" ht="12.75" hidden="false" customHeight="false" outlineLevel="0" collapsed="false">
      <c r="A25" s="47" t="n">
        <f aca="false">$C$2</f>
        <v>37015</v>
      </c>
      <c r="B25" s="12" t="n">
        <v>19</v>
      </c>
      <c r="C25" s="48" t="n">
        <f aca="false">INDEX(DaMw,C34+18,0)</f>
        <v>23.0277963954882</v>
      </c>
      <c r="D25" s="60" t="n">
        <f aca="false">INDEX(DaPrice,C34+18,0)</f>
        <v>50</v>
      </c>
      <c r="E25" s="50" t="n">
        <f aca="false">VLOOKUP(A25,Gas,4,FALSE())</f>
        <v>4.78</v>
      </c>
      <c r="F25" s="50" t="n">
        <f aca="false">VLOOKUP(A25,Gas,5,FALSE())</f>
        <v>4.78</v>
      </c>
      <c r="G25" s="51" t="n">
        <f aca="false">VLOOKUP(A25,Bogey,2,FALSE())</f>
        <v>59.14</v>
      </c>
      <c r="H25" s="52" t="n">
        <f aca="false">IF(C25&gt;0,G25-D25,"")</f>
        <v>9.14</v>
      </c>
      <c r="I25" s="53" t="n">
        <f aca="false">IF(C25&gt;0,H25*ABS(C25),"")</f>
        <v>210.474059054762</v>
      </c>
      <c r="J25" s="54" t="n">
        <f aca="false">IF($C25=0,"",$H25*0.4)</f>
        <v>3.656</v>
      </c>
      <c r="K25" s="49" t="n">
        <f aca="false">IF($C25=0,"",$H25*0.6)</f>
        <v>5.484</v>
      </c>
      <c r="L25" s="49" t="n">
        <f aca="false">IF(C25=0,"",J25*$C25)</f>
        <v>84.1896236219049</v>
      </c>
      <c r="M25" s="55" t="n">
        <f aca="false">IF(C25=0,"",C25*K25)</f>
        <v>126.284435432857</v>
      </c>
      <c r="N25" s="56" t="n">
        <f aca="false">IF(C25=0,"",D25)</f>
        <v>50</v>
      </c>
      <c r="O25" s="57" t="n">
        <f aca="false">IF(C25=0,"",D25+J25)</f>
        <v>53.656</v>
      </c>
      <c r="P25" s="44" t="n">
        <f aca="false">IF(C25=0,"",N25*C25)</f>
        <v>1151.38981977441</v>
      </c>
      <c r="Q25" s="58" t="n">
        <f aca="false">IF(C25=0,"",O25*C25)</f>
        <v>1235.57944339631</v>
      </c>
      <c r="R25" s="44"/>
      <c r="S25" s="59" t="n">
        <f aca="false">IF(C25=0,"",L25)</f>
        <v>84.1896236219049</v>
      </c>
      <c r="T25" s="60" t="n">
        <f aca="false">IF(C25=0,"",M25)</f>
        <v>126.284435432857</v>
      </c>
    </row>
    <row r="26" customFormat="false" ht="12.75" hidden="false" customHeight="false" outlineLevel="0" collapsed="false">
      <c r="A26" s="47" t="n">
        <f aca="false">$C$2</f>
        <v>37015</v>
      </c>
      <c r="B26" s="12" t="n">
        <v>20</v>
      </c>
      <c r="C26" s="48" t="n">
        <f aca="false">INDEX(DaMw,C34+19,0)</f>
        <v>21.842478541566</v>
      </c>
      <c r="D26" s="60" t="n">
        <f aca="false">INDEX(DaPrice,C34+19,0)</f>
        <v>50</v>
      </c>
      <c r="E26" s="50" t="n">
        <f aca="false">VLOOKUP(A26,Gas,4,FALSE())</f>
        <v>4.78</v>
      </c>
      <c r="F26" s="50" t="n">
        <f aca="false">VLOOKUP(A26,Gas,5,FALSE())</f>
        <v>4.78</v>
      </c>
      <c r="G26" s="51" t="n">
        <f aca="false">VLOOKUP(A26,Bogey,2,FALSE())</f>
        <v>59.14</v>
      </c>
      <c r="H26" s="52" t="n">
        <f aca="false">IF(C26&gt;0,G26-D26,"")</f>
        <v>9.14</v>
      </c>
      <c r="I26" s="53" t="n">
        <f aca="false">IF(C26&gt;0,H26*ABS(C26),"")</f>
        <v>199.640253869913</v>
      </c>
      <c r="J26" s="54" t="n">
        <f aca="false">IF($C26=0,"",$H26*0.4)</f>
        <v>3.656</v>
      </c>
      <c r="K26" s="49" t="n">
        <f aca="false">IF($C26=0,"",$H26*0.6)</f>
        <v>5.484</v>
      </c>
      <c r="L26" s="49" t="n">
        <f aca="false">IF(C26=0,"",J26*$C26)</f>
        <v>79.8561015479653</v>
      </c>
      <c r="M26" s="55" t="n">
        <f aca="false">IF(C26=0,"",C26*K26)</f>
        <v>119.784152321948</v>
      </c>
      <c r="N26" s="56" t="n">
        <f aca="false">IF(C26=0,"",D26)</f>
        <v>50</v>
      </c>
      <c r="O26" s="57" t="n">
        <f aca="false">IF(C26=0,"",D26+J26)</f>
        <v>53.656</v>
      </c>
      <c r="P26" s="44" t="n">
        <f aca="false">IF(C26=0,"",N26*C26)</f>
        <v>1092.1239270783</v>
      </c>
      <c r="Q26" s="58" t="n">
        <f aca="false">IF(C26=0,"",O26*C26)</f>
        <v>1171.98002862627</v>
      </c>
      <c r="R26" s="44"/>
      <c r="S26" s="59" t="n">
        <f aca="false">IF(C26=0,"",L26)</f>
        <v>79.8561015479653</v>
      </c>
      <c r="T26" s="60" t="n">
        <f aca="false">IF(C26=0,"",M26)</f>
        <v>119.784152321948</v>
      </c>
    </row>
    <row r="27" customFormat="false" ht="12.75" hidden="false" customHeight="false" outlineLevel="0" collapsed="false">
      <c r="A27" s="47" t="n">
        <f aca="false">$C$2</f>
        <v>37015</v>
      </c>
      <c r="B27" s="12" t="n">
        <v>21</v>
      </c>
      <c r="C27" s="48" t="n">
        <f aca="false">INDEX(DaMw,C34+20,0)</f>
        <v>24.8374741468255</v>
      </c>
      <c r="D27" s="60" t="n">
        <f aca="false">INDEX(DaPrice,C34+20,0)</f>
        <v>50</v>
      </c>
      <c r="E27" s="50" t="n">
        <f aca="false">VLOOKUP(A27,Gas,4,FALSE())</f>
        <v>4.78</v>
      </c>
      <c r="F27" s="50" t="n">
        <f aca="false">VLOOKUP(A27,Gas,5,FALSE())</f>
        <v>4.78</v>
      </c>
      <c r="G27" s="51" t="n">
        <f aca="false">VLOOKUP(A27,Bogey,2,FALSE())</f>
        <v>59.14</v>
      </c>
      <c r="H27" s="52" t="n">
        <f aca="false">IF(C27&gt;0,G27-D27,"")</f>
        <v>9.14</v>
      </c>
      <c r="I27" s="53" t="n">
        <f aca="false">IF(C27&gt;0,H27*ABS(C27),"")</f>
        <v>227.014513701985</v>
      </c>
      <c r="J27" s="54" t="n">
        <f aca="false">IF($C27=0,"",$H27*0.4)</f>
        <v>3.656</v>
      </c>
      <c r="K27" s="49" t="n">
        <f aca="false">IF($C27=0,"",$H27*0.6)</f>
        <v>5.484</v>
      </c>
      <c r="L27" s="49" t="n">
        <f aca="false">IF(C27=0,"",J27*$C27)</f>
        <v>90.805805480794</v>
      </c>
      <c r="M27" s="55" t="n">
        <f aca="false">IF(C27=0,"",C27*K27)</f>
        <v>136.208708221191</v>
      </c>
      <c r="N27" s="56" t="n">
        <f aca="false">IF(C27=0,"",D27)</f>
        <v>50</v>
      </c>
      <c r="O27" s="57" t="n">
        <f aca="false">IF(C27=0,"",D27+J27)</f>
        <v>53.656</v>
      </c>
      <c r="P27" s="44" t="n">
        <f aca="false">IF(C27=0,"",N27*C27)</f>
        <v>1241.87370734128</v>
      </c>
      <c r="Q27" s="58" t="n">
        <f aca="false">IF(C27=0,"",O27*C27)</f>
        <v>1332.67951282207</v>
      </c>
      <c r="R27" s="44"/>
      <c r="S27" s="59" t="n">
        <f aca="false">IF(C27=0,"",L27)</f>
        <v>90.805805480794</v>
      </c>
      <c r="T27" s="60" t="n">
        <f aca="false">IF(C27=0,"",M27)</f>
        <v>136.208708221191</v>
      </c>
    </row>
    <row r="28" customFormat="false" ht="12.75" hidden="false" customHeight="false" outlineLevel="0" collapsed="false">
      <c r="A28" s="47" t="n">
        <f aca="false">$C$2</f>
        <v>37015</v>
      </c>
      <c r="B28" s="12" t="n">
        <v>22</v>
      </c>
      <c r="C28" s="48" t="n">
        <f aca="false">INDEX(DaMw,C34+21,0)</f>
        <v>24.617253253736</v>
      </c>
      <c r="D28" s="60" t="n">
        <f aca="false">INDEX(DaPrice,C34+21,0)</f>
        <v>50</v>
      </c>
      <c r="E28" s="50" t="n">
        <f aca="false">VLOOKUP(A28,Gas,4,FALSE())</f>
        <v>4.78</v>
      </c>
      <c r="F28" s="50" t="n">
        <f aca="false">VLOOKUP(A28,Gas,5,FALSE())</f>
        <v>4.78</v>
      </c>
      <c r="G28" s="51" t="n">
        <f aca="false">VLOOKUP(A28,Bogey,2,FALSE())</f>
        <v>59.14</v>
      </c>
      <c r="H28" s="52" t="n">
        <f aca="false">IF(C28&gt;0,G28-D28,"")</f>
        <v>9.14</v>
      </c>
      <c r="I28" s="53" t="n">
        <f aca="false">IF(C28&gt;0,H28*ABS(C28),"")</f>
        <v>225.001694739147</v>
      </c>
      <c r="J28" s="54" t="n">
        <f aca="false">IF($C28=0,"",$H28*0.4)</f>
        <v>3.656</v>
      </c>
      <c r="K28" s="49" t="n">
        <f aca="false">IF($C28=0,"",$H28*0.6)</f>
        <v>5.484</v>
      </c>
      <c r="L28" s="49" t="n">
        <f aca="false">IF(C28=0,"",J28*$C28)</f>
        <v>90.0006778956588</v>
      </c>
      <c r="M28" s="55" t="n">
        <f aca="false">IF(C28=0,"",C28*K28)</f>
        <v>135.001016843488</v>
      </c>
      <c r="N28" s="56" t="n">
        <f aca="false">IF(C28=0,"",D28)</f>
        <v>50</v>
      </c>
      <c r="O28" s="57" t="n">
        <f aca="false">IF(C28=0,"",D28+J28)</f>
        <v>53.656</v>
      </c>
      <c r="P28" s="44" t="n">
        <f aca="false">IF(C28=0,"",N28*C28)</f>
        <v>1230.8626626868</v>
      </c>
      <c r="Q28" s="58" t="n">
        <f aca="false">IF(C28=0,"",O28*C28)</f>
        <v>1320.86334058246</v>
      </c>
      <c r="R28" s="44"/>
      <c r="S28" s="59" t="n">
        <f aca="false">IF(C28=0,"",L28)</f>
        <v>90.0006778956588</v>
      </c>
      <c r="T28" s="60" t="n">
        <f aca="false">IF(C28=0,"",M28)</f>
        <v>135.001016843488</v>
      </c>
    </row>
    <row r="29" customFormat="false" ht="12.75" hidden="false" customHeight="false" outlineLevel="0" collapsed="false">
      <c r="A29" s="47" t="n">
        <f aca="false">$C$2</f>
        <v>37015</v>
      </c>
      <c r="B29" s="12" t="n">
        <v>23</v>
      </c>
      <c r="C29" s="48" t="n">
        <f aca="false">INDEX(DaMw,C34+22,0)</f>
        <v>15</v>
      </c>
      <c r="D29" s="60" t="n">
        <f aca="false">INDEX(DaPrice,C34+22,0)</f>
        <v>20</v>
      </c>
      <c r="E29" s="50" t="n">
        <f aca="false">VLOOKUP(A29,Gas,4,FALSE())</f>
        <v>4.78</v>
      </c>
      <c r="F29" s="50" t="n">
        <f aca="false">VLOOKUP(A29,Gas,5,FALSE())</f>
        <v>4.78</v>
      </c>
      <c r="G29" s="51" t="n">
        <f aca="false">VLOOKUP(A29,Bogey,2,FALSE())</f>
        <v>59.14</v>
      </c>
      <c r="H29" s="52" t="n">
        <f aca="false">IF(C29&gt;0,G29-D29,"")</f>
        <v>39.14</v>
      </c>
      <c r="I29" s="53" t="n">
        <f aca="false">IF(C29&gt;0,H29*ABS(C29),"")</f>
        <v>587.1</v>
      </c>
      <c r="J29" s="54" t="n">
        <f aca="false">IF(C29=0,"",1)</f>
        <v>1</v>
      </c>
      <c r="K29" s="44" t="n">
        <f aca="false">IF(C29=0,"",G29-(D29+1))</f>
        <v>38.14</v>
      </c>
      <c r="L29" s="44" t="n">
        <f aca="false">IF(C29=0,"",C29*J29)</f>
        <v>15</v>
      </c>
      <c r="M29" s="55" t="n">
        <f aca="false">IF(C29=0,"",C29*K29)</f>
        <v>572.1</v>
      </c>
      <c r="N29" s="56" t="n">
        <f aca="false">IF(C29=0,"",D29)</f>
        <v>20</v>
      </c>
      <c r="O29" s="57" t="n">
        <f aca="false">IF(C29=0,"",D29+1)</f>
        <v>21</v>
      </c>
      <c r="P29" s="44" t="n">
        <f aca="false">IF(C29=0,"",N29*C29)</f>
        <v>300</v>
      </c>
      <c r="Q29" s="58" t="n">
        <f aca="false">IF(C29=0,"",O29*C29)</f>
        <v>315</v>
      </c>
      <c r="R29" s="44"/>
      <c r="S29" s="59" t="n">
        <f aca="false">IF(C29=0,"",L29)</f>
        <v>15</v>
      </c>
      <c r="T29" s="60" t="n">
        <f aca="false">IF(C29=0,"",M29)</f>
        <v>572.1</v>
      </c>
    </row>
    <row r="30" customFormat="false" ht="12.75" hidden="false" customHeight="false" outlineLevel="0" collapsed="false">
      <c r="A30" s="61" t="n">
        <f aca="false">$C$2</f>
        <v>37015</v>
      </c>
      <c r="B30" s="62" t="n">
        <v>24</v>
      </c>
      <c r="C30" s="63" t="n">
        <f aca="false">INDEX(DaMw,C34+23,0)</f>
        <v>15</v>
      </c>
      <c r="D30" s="76" t="n">
        <f aca="false">INDEX(DaPrice,C34+23,0)</f>
        <v>20</v>
      </c>
      <c r="E30" s="65" t="n">
        <f aca="false">VLOOKUP(A30,Gas,4,FALSE())</f>
        <v>4.78</v>
      </c>
      <c r="F30" s="65" t="n">
        <f aca="false">VLOOKUP(A30,Gas,5,FALSE())</f>
        <v>4.78</v>
      </c>
      <c r="G30" s="66" t="n">
        <f aca="false">VLOOKUP(A30,Bogey,2,FALSE())</f>
        <v>59.14</v>
      </c>
      <c r="H30" s="67" t="n">
        <f aca="false">IF(C30&gt;0,G30-D30,"")</f>
        <v>39.14</v>
      </c>
      <c r="I30" s="68" t="n">
        <f aca="false">IF(C30&gt;0,H30*ABS(C30),"")</f>
        <v>587.1</v>
      </c>
      <c r="J30" s="69" t="n">
        <f aca="false">IF(C30=0,"",1)</f>
        <v>1</v>
      </c>
      <c r="K30" s="70" t="n">
        <f aca="false">IF(C30=0,"",G30-(D30+1))</f>
        <v>38.14</v>
      </c>
      <c r="L30" s="70" t="n">
        <f aca="false">IF(C30=0,"",C30*J30)</f>
        <v>15</v>
      </c>
      <c r="M30" s="71" t="n">
        <f aca="false">IF(C30=0,"",C30*K30)</f>
        <v>572.1</v>
      </c>
      <c r="N30" s="72" t="n">
        <f aca="false">IF(C30=0,"",D30)</f>
        <v>20</v>
      </c>
      <c r="O30" s="73" t="n">
        <f aca="false">IF(C30=0,"",D30+1)</f>
        <v>21</v>
      </c>
      <c r="P30" s="70" t="n">
        <f aca="false">IF(C30=0,"",N30*C30)</f>
        <v>300</v>
      </c>
      <c r="Q30" s="74" t="n">
        <f aca="false">IF(C30=0,"",O30*C30)</f>
        <v>315</v>
      </c>
      <c r="R30" s="44"/>
      <c r="S30" s="75" t="n">
        <f aca="false">IF(C30=0,"",L30)</f>
        <v>15</v>
      </c>
      <c r="T30" s="76" t="n">
        <f aca="false">IF(C30=0,"",M30)</f>
        <v>572.1</v>
      </c>
    </row>
    <row r="31" customFormat="false" ht="4.5" hidden="false" customHeight="true" outlineLevel="0" collapsed="false">
      <c r="E31" s="77"/>
      <c r="F31" s="77"/>
      <c r="G31" s="77"/>
      <c r="I31" s="78"/>
      <c r="Q31" s="2"/>
      <c r="S31" s="2"/>
    </row>
    <row r="32" customFormat="false" ht="12.75" hidden="false" customHeight="false" outlineLevel="0" collapsed="false">
      <c r="K32" s="79"/>
      <c r="L32" s="79"/>
      <c r="M32" s="79"/>
      <c r="N32" s="80"/>
      <c r="O32" s="79"/>
      <c r="P32" s="80"/>
      <c r="Q32" s="81" t="n">
        <f aca="false">SUM(Q7:Q30)</f>
        <v>22619.9966220358</v>
      </c>
      <c r="R32" s="82"/>
      <c r="S32" s="81" t="n">
        <f aca="false">SUM(S7:S30)</f>
        <v>1489.5688767363</v>
      </c>
      <c r="T32" s="81" t="n">
        <f aca="false">SUM(T7:T30)</f>
        <v>6631.15331510445</v>
      </c>
    </row>
    <row r="34" customFormat="false" ht="12.75" hidden="true" customHeight="false" outlineLevel="0" collapsed="false">
      <c r="B34" s="0" t="s">
        <v>33</v>
      </c>
      <c r="C34" s="0" t="n">
        <f aca="false">MATCH(C2,DaDate,0)</f>
        <v>73</v>
      </c>
    </row>
    <row r="37" customFormat="false" ht="12.75" hidden="false" customHeight="false" outlineLevel="0" collapsed="false">
      <c r="A37" s="6"/>
      <c r="B37" s="6"/>
      <c r="C37" s="6"/>
      <c r="D37" s="7"/>
      <c r="E37" s="8" t="s">
        <v>2</v>
      </c>
      <c r="F37" s="8"/>
      <c r="G37" s="8"/>
      <c r="H37" s="9" t="s">
        <v>3</v>
      </c>
      <c r="I37" s="9"/>
      <c r="J37" s="9" t="s">
        <v>4</v>
      </c>
      <c r="K37" s="9"/>
      <c r="L37" s="9"/>
      <c r="M37" s="9"/>
      <c r="N37" s="10" t="s">
        <v>5</v>
      </c>
      <c r="O37" s="10"/>
      <c r="P37" s="10"/>
      <c r="Q37" s="10"/>
      <c r="R37" s="11"/>
      <c r="S37" s="10" t="s">
        <v>6</v>
      </c>
      <c r="T37" s="10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2.75" hidden="false" customHeight="false" outlineLevel="0" collapsed="false">
      <c r="B38" s="85" t="s">
        <v>35</v>
      </c>
      <c r="C38" s="85"/>
      <c r="D38" s="85"/>
      <c r="E38" s="13"/>
      <c r="F38" s="14"/>
      <c r="G38" s="15"/>
      <c r="H38" s="16" t="s">
        <v>7</v>
      </c>
      <c r="I38" s="17" t="s">
        <v>7</v>
      </c>
      <c r="J38" s="16" t="s">
        <v>8</v>
      </c>
      <c r="K38" s="18" t="s">
        <v>9</v>
      </c>
      <c r="L38" s="18" t="s">
        <v>8</v>
      </c>
      <c r="M38" s="17" t="s">
        <v>9</v>
      </c>
      <c r="N38" s="19" t="s">
        <v>10</v>
      </c>
      <c r="O38" s="19"/>
      <c r="P38" s="19" t="s">
        <v>11</v>
      </c>
      <c r="Q38" s="19"/>
      <c r="R38" s="11"/>
      <c r="S38" s="20"/>
      <c r="T38" s="21"/>
    </row>
    <row r="39" customFormat="false" ht="12.75" hidden="false" customHeight="false" outlineLevel="0" collapsed="false">
      <c r="E39" s="16" t="s">
        <v>12</v>
      </c>
      <c r="F39" s="18" t="s">
        <v>12</v>
      </c>
      <c r="G39" s="17" t="s">
        <v>13</v>
      </c>
      <c r="H39" s="16" t="s">
        <v>14</v>
      </c>
      <c r="I39" s="17" t="s">
        <v>14</v>
      </c>
      <c r="J39" s="22" t="s">
        <v>15</v>
      </c>
      <c r="K39" s="18" t="s">
        <v>16</v>
      </c>
      <c r="L39" s="18" t="s">
        <v>17</v>
      </c>
      <c r="M39" s="17" t="s">
        <v>18</v>
      </c>
      <c r="N39" s="23"/>
      <c r="O39" s="15"/>
      <c r="P39" s="22"/>
      <c r="Q39" s="24" t="s">
        <v>19</v>
      </c>
      <c r="R39" s="11"/>
      <c r="S39" s="16" t="s">
        <v>20</v>
      </c>
      <c r="T39" s="25" t="s">
        <v>21</v>
      </c>
    </row>
    <row r="40" customFormat="false" ht="12.75" hidden="false" customHeight="false" outlineLevel="0" collapsed="false">
      <c r="A40" s="26" t="s">
        <v>22</v>
      </c>
      <c r="B40" s="27" t="s">
        <v>23</v>
      </c>
      <c r="C40" s="27" t="s">
        <v>24</v>
      </c>
      <c r="D40" s="28" t="s">
        <v>25</v>
      </c>
      <c r="E40" s="22" t="s">
        <v>26</v>
      </c>
      <c r="F40" s="5" t="s">
        <v>27</v>
      </c>
      <c r="G40" s="25" t="s">
        <v>28</v>
      </c>
      <c r="H40" s="22" t="s">
        <v>29</v>
      </c>
      <c r="I40" s="25" t="s">
        <v>30</v>
      </c>
      <c r="J40" s="22" t="s">
        <v>10</v>
      </c>
      <c r="K40" s="5" t="s">
        <v>10</v>
      </c>
      <c r="L40" s="5" t="s">
        <v>30</v>
      </c>
      <c r="M40" s="25" t="s">
        <v>30</v>
      </c>
      <c r="N40" s="22" t="s">
        <v>20</v>
      </c>
      <c r="O40" s="25" t="s">
        <v>21</v>
      </c>
      <c r="P40" s="22" t="s">
        <v>20</v>
      </c>
      <c r="Q40" s="29" t="s">
        <v>21</v>
      </c>
      <c r="R40" s="5"/>
      <c r="S40" s="22" t="s">
        <v>31</v>
      </c>
      <c r="T40" s="25" t="s">
        <v>32</v>
      </c>
      <c r="U40" s="30"/>
      <c r="V40" s="30"/>
    </row>
    <row r="41" customFormat="false" ht="12.75" hidden="false" customHeight="false" outlineLevel="0" collapsed="false">
      <c r="A41" s="31" t="n">
        <f aca="false">$C$2</f>
        <v>37015</v>
      </c>
      <c r="B41" s="32" t="n">
        <v>1</v>
      </c>
      <c r="C41" s="33" t="n">
        <f aca="false">INDEX(RtMw,C68,0)</f>
        <v>10</v>
      </c>
      <c r="D41" s="34" t="n">
        <f aca="false">INDEX(RTPrice,C68,0)</f>
        <v>28</v>
      </c>
      <c r="E41" s="35" t="n">
        <f aca="false">VLOOKUP(A41,Gas,4,FALSE())</f>
        <v>4.78</v>
      </c>
      <c r="F41" s="35" t="n">
        <f aca="false">VLOOKUP(A41,Gas,5,FALSE())</f>
        <v>4.78</v>
      </c>
      <c r="G41" s="36" t="n">
        <f aca="false">VLOOKUP(A41,Bogey,2,FALSE())</f>
        <v>59.14</v>
      </c>
      <c r="H41" s="37" t="n">
        <f aca="false">IF(C41&gt;0,G41-D41,"")</f>
        <v>31.14</v>
      </c>
      <c r="I41" s="38" t="n">
        <f aca="false">IF(C41&gt;0,H41*ABS(C41),"")</f>
        <v>311.4</v>
      </c>
      <c r="J41" s="39" t="n">
        <f aca="false">IF(C41=0,"",1)</f>
        <v>1</v>
      </c>
      <c r="K41" s="40" t="n">
        <f aca="false">IF(C41=0,"",G41-(D41+1))</f>
        <v>30.14</v>
      </c>
      <c r="L41" s="40" t="n">
        <f aca="false">IF(C41=0,"",C41*J41)</f>
        <v>10</v>
      </c>
      <c r="M41" s="21" t="n">
        <f aca="false">IF(C41=0,"",C41*K41)</f>
        <v>301.4</v>
      </c>
      <c r="N41" s="41" t="n">
        <f aca="false">IF(C41=0,"",D41)</f>
        <v>28</v>
      </c>
      <c r="O41" s="42" t="n">
        <f aca="false">IF(C41=0,"",D41+1)</f>
        <v>29</v>
      </c>
      <c r="P41" s="40" t="n">
        <f aca="false">IF(C41=0,"",N41*C41)</f>
        <v>280</v>
      </c>
      <c r="Q41" s="43" t="n">
        <f aca="false">IF(C41=0,"",O41*C41)</f>
        <v>290</v>
      </c>
      <c r="R41" s="44"/>
      <c r="S41" s="45" t="n">
        <f aca="false">IF(C41=0,"",L41)</f>
        <v>10</v>
      </c>
      <c r="T41" s="46" t="n">
        <f aca="false">IF(C41=0,"",M41)</f>
        <v>301.4</v>
      </c>
    </row>
    <row r="42" customFormat="false" ht="12.75" hidden="false" customHeight="false" outlineLevel="0" collapsed="false">
      <c r="A42" s="47" t="n">
        <f aca="false">$C$2</f>
        <v>37015</v>
      </c>
      <c r="B42" s="12" t="n">
        <v>2</v>
      </c>
      <c r="C42" s="48" t="n">
        <f aca="false">INDEX(RtMw,C68+1,0)</f>
        <v>6</v>
      </c>
      <c r="D42" s="49" t="n">
        <f aca="false">INDEX(RTPrice,C68+1,0)</f>
        <v>22</v>
      </c>
      <c r="E42" s="50" t="n">
        <f aca="false">VLOOKUP(A42,Gas,4,FALSE())</f>
        <v>4.78</v>
      </c>
      <c r="F42" s="50" t="n">
        <f aca="false">VLOOKUP(A42,Gas,5,FALSE())</f>
        <v>4.78</v>
      </c>
      <c r="G42" s="51" t="n">
        <f aca="false">VLOOKUP(A42,Bogey,2,FALSE())</f>
        <v>59.14</v>
      </c>
      <c r="H42" s="52" t="n">
        <f aca="false">IF(C42&gt;0,G42-D42,"")</f>
        <v>37.14</v>
      </c>
      <c r="I42" s="53" t="n">
        <f aca="false">IF(C42&gt;0,H42*ABS(C42),"")</f>
        <v>222.84</v>
      </c>
      <c r="J42" s="54" t="n">
        <f aca="false">IF(C42=0,"",1)</f>
        <v>1</v>
      </c>
      <c r="K42" s="44" t="n">
        <f aca="false">IF(C42=0,"",G42-(D42+1))</f>
        <v>36.14</v>
      </c>
      <c r="L42" s="44" t="n">
        <f aca="false">IF(C42=0,"",C42*J42)</f>
        <v>6</v>
      </c>
      <c r="M42" s="55" t="n">
        <f aca="false">IF(C42=0,"",C42*K42)</f>
        <v>216.84</v>
      </c>
      <c r="N42" s="56" t="n">
        <f aca="false">IF(C42=0,"",D42)</f>
        <v>22</v>
      </c>
      <c r="O42" s="57" t="n">
        <f aca="false">IF(C42=0,"",D42+1)</f>
        <v>23</v>
      </c>
      <c r="P42" s="44" t="n">
        <f aca="false">IF(C42=0,"",N42*C42)</f>
        <v>132</v>
      </c>
      <c r="Q42" s="58" t="n">
        <f aca="false">IF(C42=0,"",O42*C42)</f>
        <v>138</v>
      </c>
      <c r="R42" s="44"/>
      <c r="S42" s="59" t="n">
        <f aca="false">IF(C42=0,"",L42)</f>
        <v>6</v>
      </c>
      <c r="T42" s="60" t="n">
        <f aca="false">IF(C42=0,"",M42)</f>
        <v>216.84</v>
      </c>
    </row>
    <row r="43" customFormat="false" ht="12.75" hidden="false" customHeight="false" outlineLevel="0" collapsed="false">
      <c r="A43" s="47" t="n">
        <f aca="false">$C$2</f>
        <v>37015</v>
      </c>
      <c r="B43" s="12" t="n">
        <v>3</v>
      </c>
      <c r="C43" s="48" t="n">
        <f aca="false">INDEX(RtMw,C68+2,0)</f>
        <v>3</v>
      </c>
      <c r="D43" s="49" t="n">
        <f aca="false">INDEX(RTPrice,C68+2,0)</f>
        <v>20</v>
      </c>
      <c r="E43" s="50" t="n">
        <f aca="false">VLOOKUP(A43,Gas,4,FALSE())</f>
        <v>4.78</v>
      </c>
      <c r="F43" s="50" t="n">
        <f aca="false">VLOOKUP(A43,Gas,5,FALSE())</f>
        <v>4.78</v>
      </c>
      <c r="G43" s="51" t="n">
        <f aca="false">VLOOKUP(A43,Bogey,2,FALSE())</f>
        <v>59.14</v>
      </c>
      <c r="H43" s="52" t="n">
        <f aca="false">IF(C43&gt;0,G43-D43,"")</f>
        <v>39.14</v>
      </c>
      <c r="I43" s="53" t="n">
        <f aca="false">IF(C43&gt;0,H43*ABS(C43),"")</f>
        <v>117.42</v>
      </c>
      <c r="J43" s="54" t="n">
        <f aca="false">IF(C43=0,"",1)</f>
        <v>1</v>
      </c>
      <c r="K43" s="44" t="n">
        <f aca="false">IF(C43=0,"",G43-(D43+1))</f>
        <v>38.14</v>
      </c>
      <c r="L43" s="44" t="n">
        <f aca="false">IF(C43=0,"",C43*J43)</f>
        <v>3</v>
      </c>
      <c r="M43" s="55" t="n">
        <f aca="false">IF(C43=0,"",C43*K43)</f>
        <v>114.42</v>
      </c>
      <c r="N43" s="56" t="n">
        <f aca="false">IF(C43=0,"",D43)</f>
        <v>20</v>
      </c>
      <c r="O43" s="57" t="n">
        <f aca="false">IF(C43=0,"",D43+1)</f>
        <v>21</v>
      </c>
      <c r="P43" s="44" t="n">
        <f aca="false">IF(C43=0,"",N43*C43)</f>
        <v>60</v>
      </c>
      <c r="Q43" s="58" t="n">
        <f aca="false">IF(C43=0,"",O43*C43)</f>
        <v>63</v>
      </c>
      <c r="R43" s="44"/>
      <c r="S43" s="59" t="n">
        <f aca="false">IF(C43=0,"",L43)</f>
        <v>3</v>
      </c>
      <c r="T43" s="60" t="n">
        <f aca="false">IF(C43=0,"",M43)</f>
        <v>114.42</v>
      </c>
    </row>
    <row r="44" customFormat="false" ht="12.75" hidden="false" customHeight="false" outlineLevel="0" collapsed="false">
      <c r="A44" s="47" t="n">
        <f aca="false">$C$2</f>
        <v>37015</v>
      </c>
      <c r="B44" s="12" t="n">
        <v>4</v>
      </c>
      <c r="C44" s="48" t="n">
        <f aca="false">INDEX(RtMw,C68+3,0)</f>
        <v>3</v>
      </c>
      <c r="D44" s="49" t="n">
        <f aca="false">INDEX(RTPrice,C68+3,0)</f>
        <v>20</v>
      </c>
      <c r="E44" s="50" t="n">
        <f aca="false">VLOOKUP(A44,Gas,4,FALSE())</f>
        <v>4.78</v>
      </c>
      <c r="F44" s="50" t="n">
        <f aca="false">VLOOKUP(A44,Gas,5,FALSE())</f>
        <v>4.78</v>
      </c>
      <c r="G44" s="51" t="n">
        <f aca="false">VLOOKUP(A44,Bogey,2,FALSE())</f>
        <v>59.14</v>
      </c>
      <c r="H44" s="52" t="n">
        <f aca="false">IF(C44&gt;0,G44-D44,"")</f>
        <v>39.14</v>
      </c>
      <c r="I44" s="53" t="n">
        <f aca="false">IF(C44&gt;0,H44*ABS(C44),"")</f>
        <v>117.42</v>
      </c>
      <c r="J44" s="54" t="n">
        <f aca="false">IF(C44=0,"",1)</f>
        <v>1</v>
      </c>
      <c r="K44" s="44" t="n">
        <f aca="false">IF(C44=0,"",G44-(D44+1))</f>
        <v>38.14</v>
      </c>
      <c r="L44" s="44" t="n">
        <f aca="false">IF(C44=0,"",C44*J44)</f>
        <v>3</v>
      </c>
      <c r="M44" s="55" t="n">
        <f aca="false">IF(C44=0,"",C44*K44)</f>
        <v>114.42</v>
      </c>
      <c r="N44" s="56" t="n">
        <f aca="false">IF(C44=0,"",D44)</f>
        <v>20</v>
      </c>
      <c r="O44" s="57" t="n">
        <f aca="false">IF(C44=0,"",D44+1)</f>
        <v>21</v>
      </c>
      <c r="P44" s="44" t="n">
        <f aca="false">IF(C44=0,"",N44*C44)</f>
        <v>60</v>
      </c>
      <c r="Q44" s="58" t="n">
        <f aca="false">IF(C44=0,"",O44*C44)</f>
        <v>63</v>
      </c>
      <c r="R44" s="44"/>
      <c r="S44" s="59" t="n">
        <f aca="false">IF(C44=0,"",L44)</f>
        <v>3</v>
      </c>
      <c r="T44" s="60" t="n">
        <f aca="false">IF(C44=0,"",M44)</f>
        <v>114.42</v>
      </c>
    </row>
    <row r="45" customFormat="false" ht="12.75" hidden="false" customHeight="false" outlineLevel="0" collapsed="false">
      <c r="A45" s="47" t="n">
        <f aca="false">$C$2</f>
        <v>37015</v>
      </c>
      <c r="B45" s="12" t="n">
        <v>5</v>
      </c>
      <c r="C45" s="48" t="n">
        <f aca="false">INDEX(RtMw,C68+4,0)</f>
        <v>4</v>
      </c>
      <c r="D45" s="49" t="n">
        <f aca="false">INDEX(RTPrice,C68+4,0)</f>
        <v>20</v>
      </c>
      <c r="E45" s="50" t="n">
        <f aca="false">VLOOKUP(A45,Gas,4,FALSE())</f>
        <v>4.78</v>
      </c>
      <c r="F45" s="50" t="n">
        <f aca="false">VLOOKUP(A45,Gas,5,FALSE())</f>
        <v>4.78</v>
      </c>
      <c r="G45" s="51" t="n">
        <f aca="false">VLOOKUP(A45,Bogey,2,FALSE())</f>
        <v>59.14</v>
      </c>
      <c r="H45" s="52" t="n">
        <f aca="false">IF(C45&gt;0,G45-D45,"")</f>
        <v>39.14</v>
      </c>
      <c r="I45" s="53" t="n">
        <f aca="false">IF(C45&gt;0,H45*ABS(C45),"")</f>
        <v>156.56</v>
      </c>
      <c r="J45" s="54" t="n">
        <f aca="false">IF(C45=0,"",1)</f>
        <v>1</v>
      </c>
      <c r="K45" s="44" t="n">
        <f aca="false">IF(C45=0,"",G45-(D45+1))</f>
        <v>38.14</v>
      </c>
      <c r="L45" s="44" t="n">
        <f aca="false">IF(C45=0,"",C45*J45)</f>
        <v>4</v>
      </c>
      <c r="M45" s="55" t="n">
        <f aca="false">IF(C45=0,"",C45*K45)</f>
        <v>152.56</v>
      </c>
      <c r="N45" s="56" t="n">
        <f aca="false">IF(C45=0,"",D45)</f>
        <v>20</v>
      </c>
      <c r="O45" s="57" t="n">
        <f aca="false">IF(C45=0,"",D45+1)</f>
        <v>21</v>
      </c>
      <c r="P45" s="44" t="n">
        <f aca="false">IF(C45=0,"",N45*C45)</f>
        <v>80</v>
      </c>
      <c r="Q45" s="58" t="n">
        <f aca="false">IF(C45=0,"",O45*C45)</f>
        <v>84</v>
      </c>
      <c r="R45" s="44"/>
      <c r="S45" s="59" t="n">
        <f aca="false">IF(C45=0,"",L45)</f>
        <v>4</v>
      </c>
      <c r="T45" s="60" t="n">
        <f aca="false">IF(C45=0,"",M45)</f>
        <v>152.56</v>
      </c>
    </row>
    <row r="46" customFormat="false" ht="12.75" hidden="false" customHeight="false" outlineLevel="0" collapsed="false">
      <c r="A46" s="47" t="n">
        <f aca="false">$C$2</f>
        <v>37015</v>
      </c>
      <c r="B46" s="12" t="n">
        <v>6</v>
      </c>
      <c r="C46" s="48" t="str">
        <f aca="false">INDEX(RtMw,C68+5,0)</f>
        <v/>
      </c>
      <c r="D46" s="49" t="str">
        <f aca="false">INDEX(RTPrice,C68+5,0)</f>
        <v/>
      </c>
      <c r="E46" s="50" t="n">
        <f aca="false">VLOOKUP(A46,Gas,4,FALSE())</f>
        <v>4.78</v>
      </c>
      <c r="F46" s="50" t="n">
        <f aca="false">VLOOKUP(A46,Gas,5,FALSE())</f>
        <v>4.78</v>
      </c>
      <c r="G46" s="51" t="n">
        <f aca="false">VLOOKUP(A46,Bogey,2,FALSE())</f>
        <v>59.14</v>
      </c>
      <c r="H46" s="52" t="e">
        <f aca="false">IF(C46&gt;0,G46-D46,"")</f>
        <v>#VALUE!</v>
      </c>
      <c r="I46" s="53" t="e">
        <f aca="false">IF(C46&gt;0,H46*ABS(C46),"")</f>
        <v>#VALUE!</v>
      </c>
      <c r="J46" s="54" t="n">
        <f aca="false">IF(C46=0,"",1)</f>
        <v>1</v>
      </c>
      <c r="K46" s="44" t="e">
        <f aca="false">IF(C46=0,"",G46-(D46+1))</f>
        <v>#VALUE!</v>
      </c>
      <c r="L46" s="44" t="e">
        <f aca="false">IF(C46=0,"",C46*J46)</f>
        <v>#VALUE!</v>
      </c>
      <c r="M46" s="55" t="e">
        <f aca="false">IF(C46=0,"",C46*K46)</f>
        <v>#VALUE!</v>
      </c>
      <c r="N46" s="56" t="str">
        <f aca="false">IF(C46=0,"",D46)</f>
        <v/>
      </c>
      <c r="O46" s="57" t="e">
        <f aca="false">IF(C46=0,"",D46+1)</f>
        <v>#VALUE!</v>
      </c>
      <c r="P46" s="44" t="e">
        <f aca="false">IF(C46=0,"",N46*C46)</f>
        <v>#VALUE!</v>
      </c>
      <c r="Q46" s="58" t="e">
        <f aca="false">IF(C46=0,"",O46*C46)</f>
        <v>#VALUE!</v>
      </c>
      <c r="R46" s="44"/>
      <c r="S46" s="59" t="e">
        <f aca="false">IF(C46=0,"",L46)</f>
        <v>#VALUE!</v>
      </c>
      <c r="T46" s="60" t="e">
        <f aca="false">IF(C46=0,"",M46)</f>
        <v>#VALUE!</v>
      </c>
    </row>
    <row r="47" customFormat="false" ht="12.75" hidden="false" customHeight="false" outlineLevel="0" collapsed="false">
      <c r="A47" s="47" t="n">
        <f aca="false">$C$2</f>
        <v>37015</v>
      </c>
      <c r="B47" s="12" t="n">
        <v>7</v>
      </c>
      <c r="C47" s="48" t="str">
        <f aca="false">INDEX(RtMw,C68+6,0)</f>
        <v/>
      </c>
      <c r="D47" s="49" t="str">
        <f aca="false">INDEX(RTPrice,C68+6,0)</f>
        <v/>
      </c>
      <c r="E47" s="50" t="n">
        <f aca="false">VLOOKUP(A47,Gas,4,FALSE())</f>
        <v>4.78</v>
      </c>
      <c r="F47" s="50" t="n">
        <f aca="false">VLOOKUP(A47,Gas,5,FALSE())</f>
        <v>4.78</v>
      </c>
      <c r="G47" s="51" t="n">
        <f aca="false">VLOOKUP(A47,Bogey,2,FALSE())</f>
        <v>59.14</v>
      </c>
      <c r="H47" s="52" t="e">
        <f aca="false">IF(C47&gt;0,G47-D47,"")</f>
        <v>#VALUE!</v>
      </c>
      <c r="I47" s="53" t="e">
        <f aca="false">IF(C47&gt;0,H47*ABS(C47),"")</f>
        <v>#VALUE!</v>
      </c>
      <c r="J47" s="54" t="e">
        <f aca="false">IF($C47=0,"",$H47*0.4)</f>
        <v>#VALUE!</v>
      </c>
      <c r="K47" s="49" t="e">
        <f aca="false">IF($C47=0,"",$H47*0.6)</f>
        <v>#VALUE!</v>
      </c>
      <c r="L47" s="49" t="e">
        <f aca="false">IF(C47=0,"",J47*$C47)</f>
        <v>#VALUE!</v>
      </c>
      <c r="M47" s="55" t="e">
        <f aca="false">IF(C47=0,"",C47*K47)</f>
        <v>#VALUE!</v>
      </c>
      <c r="N47" s="56" t="str">
        <f aca="false">IF(C47=0,"",D47)</f>
        <v/>
      </c>
      <c r="O47" s="57" t="e">
        <f aca="false">IF(C47=0,"",D47+J47)</f>
        <v>#VALUE!</v>
      </c>
      <c r="P47" s="44" t="e">
        <f aca="false">IF(C47=0,"",N47*C47)</f>
        <v>#VALUE!</v>
      </c>
      <c r="Q47" s="58" t="e">
        <f aca="false">IF(C47=0,"",O47*C47)</f>
        <v>#VALUE!</v>
      </c>
      <c r="R47" s="44"/>
      <c r="S47" s="59" t="e">
        <f aca="false">IF(C47=0,"",L47)</f>
        <v>#VALUE!</v>
      </c>
      <c r="T47" s="60" t="e">
        <f aca="false">IF(C47=0,"",M47)</f>
        <v>#VALUE!</v>
      </c>
    </row>
    <row r="48" customFormat="false" ht="12.75" hidden="false" customHeight="false" outlineLevel="0" collapsed="false">
      <c r="A48" s="47" t="n">
        <f aca="false">$C$2</f>
        <v>37015</v>
      </c>
      <c r="B48" s="12" t="n">
        <v>8</v>
      </c>
      <c r="C48" s="48" t="str">
        <f aca="false">INDEX(RtMw,C68+7,0)</f>
        <v/>
      </c>
      <c r="D48" s="49" t="str">
        <f aca="false">INDEX(RTPrice,C68+7,0)</f>
        <v/>
      </c>
      <c r="E48" s="50" t="n">
        <f aca="false">VLOOKUP(A48,Gas,4,FALSE())</f>
        <v>4.78</v>
      </c>
      <c r="F48" s="50" t="n">
        <f aca="false">VLOOKUP(A48,Gas,5,FALSE())</f>
        <v>4.78</v>
      </c>
      <c r="G48" s="51" t="n">
        <f aca="false">VLOOKUP(A48,Bogey,2,FALSE())</f>
        <v>59.14</v>
      </c>
      <c r="H48" s="52" t="e">
        <f aca="false">IF(C48&gt;0,G48-D48,"")</f>
        <v>#VALUE!</v>
      </c>
      <c r="I48" s="53" t="e">
        <f aca="false">IF(C48&gt;0,H48*ABS(C48),"")</f>
        <v>#VALUE!</v>
      </c>
      <c r="J48" s="54" t="e">
        <f aca="false">IF($C48=0,"",$H48*0.4)</f>
        <v>#VALUE!</v>
      </c>
      <c r="K48" s="49" t="e">
        <f aca="false">IF($C48=0,"",$H48*0.6)</f>
        <v>#VALUE!</v>
      </c>
      <c r="L48" s="49" t="e">
        <f aca="false">IF(C48=0,"",J48*$C48)</f>
        <v>#VALUE!</v>
      </c>
      <c r="M48" s="55" t="e">
        <f aca="false">IF(C48=0,"",C48*K48)</f>
        <v>#VALUE!</v>
      </c>
      <c r="N48" s="56" t="str">
        <f aca="false">IF(C48=0,"",D48)</f>
        <v/>
      </c>
      <c r="O48" s="57" t="e">
        <f aca="false">IF(C48=0,"",D48+J48)</f>
        <v>#VALUE!</v>
      </c>
      <c r="P48" s="44" t="e">
        <f aca="false">IF(C48=0,"",N48*C48)</f>
        <v>#VALUE!</v>
      </c>
      <c r="Q48" s="58" t="e">
        <f aca="false">IF(C48=0,"",O48*C48)</f>
        <v>#VALUE!</v>
      </c>
      <c r="R48" s="44"/>
      <c r="S48" s="59" t="e">
        <f aca="false">IF(C48=0,"",L48)</f>
        <v>#VALUE!</v>
      </c>
      <c r="T48" s="60" t="e">
        <f aca="false">IF(C48=0,"",M48)</f>
        <v>#VALUE!</v>
      </c>
    </row>
    <row r="49" customFormat="false" ht="12.75" hidden="false" customHeight="false" outlineLevel="0" collapsed="false">
      <c r="A49" s="47" t="n">
        <f aca="false">$C$2</f>
        <v>37015</v>
      </c>
      <c r="B49" s="12" t="n">
        <v>9</v>
      </c>
      <c r="C49" s="48" t="n">
        <f aca="false">INDEX(RtMw,C68+8,0)</f>
        <v>3</v>
      </c>
      <c r="D49" s="49" t="n">
        <f aca="false">INDEX(RTPrice,C68+8,0)</f>
        <v>30</v>
      </c>
      <c r="E49" s="50" t="n">
        <f aca="false">VLOOKUP(A49,Gas,4,FALSE())</f>
        <v>4.78</v>
      </c>
      <c r="F49" s="50" t="n">
        <f aca="false">VLOOKUP(A49,Gas,5,FALSE())</f>
        <v>4.78</v>
      </c>
      <c r="G49" s="51" t="n">
        <f aca="false">VLOOKUP(A49,Bogey,2,FALSE())</f>
        <v>59.14</v>
      </c>
      <c r="H49" s="52" t="n">
        <f aca="false">IF(C49&gt;0,G49-D49,"")</f>
        <v>29.14</v>
      </c>
      <c r="I49" s="53" t="n">
        <f aca="false">IF(C49&gt;0,H49*ABS(C49),"")</f>
        <v>87.42</v>
      </c>
      <c r="J49" s="54" t="n">
        <f aca="false">IF($C49=0,"",$H49*0.4)</f>
        <v>11.656</v>
      </c>
      <c r="K49" s="49" t="n">
        <f aca="false">IF($C49=0,"",$H49*0.6)</f>
        <v>17.484</v>
      </c>
      <c r="L49" s="49" t="n">
        <f aca="false">IF(C49=0,"",J49*$C49)</f>
        <v>34.968</v>
      </c>
      <c r="M49" s="55" t="n">
        <f aca="false">IF(C49=0,"",C49*K49)</f>
        <v>52.452</v>
      </c>
      <c r="N49" s="56" t="n">
        <f aca="false">IF(C49=0,"",D49)</f>
        <v>30</v>
      </c>
      <c r="O49" s="57" t="n">
        <f aca="false">IF(C49=0,"",D49+J49)</f>
        <v>41.656</v>
      </c>
      <c r="P49" s="44" t="n">
        <f aca="false">IF(C49=0,"",N49*C49)</f>
        <v>90</v>
      </c>
      <c r="Q49" s="58" t="n">
        <f aca="false">IF(C49=0,"",O49*C49)</f>
        <v>124.968</v>
      </c>
      <c r="R49" s="44"/>
      <c r="S49" s="59" t="n">
        <f aca="false">IF(C49=0,"",L49)</f>
        <v>34.968</v>
      </c>
      <c r="T49" s="60" t="n">
        <f aca="false">IF(C49=0,"",M49)</f>
        <v>52.452</v>
      </c>
    </row>
    <row r="50" customFormat="false" ht="12.75" hidden="false" customHeight="false" outlineLevel="0" collapsed="false">
      <c r="A50" s="47" t="n">
        <f aca="false">$C$2</f>
        <v>37015</v>
      </c>
      <c r="B50" s="12" t="n">
        <v>10</v>
      </c>
      <c r="C50" s="48" t="str">
        <f aca="false">INDEX(RtMw,C68+9,0)</f>
        <v/>
      </c>
      <c r="D50" s="49" t="str">
        <f aca="false">INDEX(RTPrice,C68+9,0)</f>
        <v/>
      </c>
      <c r="E50" s="50" t="n">
        <f aca="false">VLOOKUP(A50,Gas,4,FALSE())</f>
        <v>4.78</v>
      </c>
      <c r="F50" s="50" t="n">
        <f aca="false">VLOOKUP(A50,Gas,5,FALSE())</f>
        <v>4.78</v>
      </c>
      <c r="G50" s="51" t="n">
        <f aca="false">VLOOKUP(A50,Bogey,2,FALSE())</f>
        <v>59.14</v>
      </c>
      <c r="H50" s="52" t="e">
        <f aca="false">IF(C50&gt;0,G50-D50,"")</f>
        <v>#VALUE!</v>
      </c>
      <c r="I50" s="53" t="e">
        <f aca="false">IF(C50&gt;0,H50*ABS(C50),"")</f>
        <v>#VALUE!</v>
      </c>
      <c r="J50" s="54" t="e">
        <f aca="false">IF($C50=0,"",$H50*0.4)</f>
        <v>#VALUE!</v>
      </c>
      <c r="K50" s="49" t="e">
        <f aca="false">IF($C50=0,"",$H50*0.6)</f>
        <v>#VALUE!</v>
      </c>
      <c r="L50" s="49" t="e">
        <f aca="false">IF(C50=0,"",J50*$C50)</f>
        <v>#VALUE!</v>
      </c>
      <c r="M50" s="55" t="e">
        <f aca="false">IF(C50=0,"",C50*K50)</f>
        <v>#VALUE!</v>
      </c>
      <c r="N50" s="56" t="str">
        <f aca="false">IF(C50=0,"",D50)</f>
        <v/>
      </c>
      <c r="O50" s="57" t="e">
        <f aca="false">IF(C50=0,"",D50+J50)</f>
        <v>#VALUE!</v>
      </c>
      <c r="P50" s="44" t="e">
        <f aca="false">IF(C50=0,"",N50*C50)</f>
        <v>#VALUE!</v>
      </c>
      <c r="Q50" s="58" t="e">
        <f aca="false">IF(C50=0,"",O50*C50)</f>
        <v>#VALUE!</v>
      </c>
      <c r="R50" s="44"/>
      <c r="S50" s="59" t="e">
        <f aca="false">IF(C50=0,"",L50)</f>
        <v>#VALUE!</v>
      </c>
      <c r="T50" s="60" t="e">
        <f aca="false">IF(C50=0,"",M50)</f>
        <v>#VALUE!</v>
      </c>
    </row>
    <row r="51" customFormat="false" ht="12.75" hidden="false" customHeight="false" outlineLevel="0" collapsed="false">
      <c r="A51" s="47" t="n">
        <f aca="false">$C$2</f>
        <v>37015</v>
      </c>
      <c r="B51" s="12" t="n">
        <v>11</v>
      </c>
      <c r="C51" s="48" t="n">
        <f aca="false">INDEX(RtMw,C68+10,0)</f>
        <v>6</v>
      </c>
      <c r="D51" s="49" t="n">
        <f aca="false">INDEX(RTPrice,C68+10,0)</f>
        <v>45</v>
      </c>
      <c r="E51" s="50" t="n">
        <f aca="false">VLOOKUP(A51,Gas,4,FALSE())</f>
        <v>4.78</v>
      </c>
      <c r="F51" s="50" t="n">
        <f aca="false">VLOOKUP(A51,Gas,5,FALSE())</f>
        <v>4.78</v>
      </c>
      <c r="G51" s="51" t="n">
        <f aca="false">VLOOKUP(A51,Bogey,2,FALSE())</f>
        <v>59.14</v>
      </c>
      <c r="H51" s="52" t="n">
        <f aca="false">IF(C51&gt;0,G51-D51,"")</f>
        <v>14.14</v>
      </c>
      <c r="I51" s="53" t="n">
        <f aca="false">IF(C51&gt;0,H51*ABS(C51),"")</f>
        <v>84.84</v>
      </c>
      <c r="J51" s="54" t="n">
        <f aca="false">IF($C51=0,"",$H51*0.4)</f>
        <v>5.656</v>
      </c>
      <c r="K51" s="49" t="n">
        <f aca="false">IF($C51=0,"",$H51*0.6)</f>
        <v>8.484</v>
      </c>
      <c r="L51" s="49" t="n">
        <f aca="false">IF(C51=0,"",J51*$C51)</f>
        <v>33.936</v>
      </c>
      <c r="M51" s="55" t="n">
        <f aca="false">IF(C51=0,"",C51*K51)</f>
        <v>50.904</v>
      </c>
      <c r="N51" s="56" t="n">
        <f aca="false">IF(C51=0,"",D51)</f>
        <v>45</v>
      </c>
      <c r="O51" s="57" t="n">
        <f aca="false">IF(C51=0,"",D51+J51)</f>
        <v>50.656</v>
      </c>
      <c r="P51" s="44" t="n">
        <f aca="false">IF(C51=0,"",N51*C51)</f>
        <v>270</v>
      </c>
      <c r="Q51" s="58" t="n">
        <f aca="false">IF(C51=0,"",O51*C51)</f>
        <v>303.936</v>
      </c>
      <c r="R51" s="44"/>
      <c r="S51" s="59" t="n">
        <f aca="false">IF(C51=0,"",L51)</f>
        <v>33.936</v>
      </c>
      <c r="T51" s="60" t="n">
        <f aca="false">IF(C51=0,"",M51)</f>
        <v>50.904</v>
      </c>
    </row>
    <row r="52" customFormat="false" ht="12.75" hidden="false" customHeight="false" outlineLevel="0" collapsed="false">
      <c r="A52" s="47" t="n">
        <f aca="false">$C$2</f>
        <v>37015</v>
      </c>
      <c r="B52" s="12" t="n">
        <v>12</v>
      </c>
      <c r="C52" s="48" t="n">
        <f aca="false">INDEX(RtMw,C68+11,0)</f>
        <v>6</v>
      </c>
      <c r="D52" s="49" t="n">
        <f aca="false">INDEX(RTPrice,C68+11,0)</f>
        <v>51</v>
      </c>
      <c r="E52" s="50" t="n">
        <f aca="false">VLOOKUP(A52,Gas,4,FALSE())</f>
        <v>4.78</v>
      </c>
      <c r="F52" s="50" t="n">
        <f aca="false">VLOOKUP(A52,Gas,5,FALSE())</f>
        <v>4.78</v>
      </c>
      <c r="G52" s="51" t="n">
        <f aca="false">VLOOKUP(A52,Bogey,2,FALSE())</f>
        <v>59.14</v>
      </c>
      <c r="H52" s="52" t="n">
        <f aca="false">IF(C52&gt;0,G52-D52,"")</f>
        <v>8.14</v>
      </c>
      <c r="I52" s="53" t="n">
        <f aca="false">IF(C52&gt;0,H52*ABS(C52),"")</f>
        <v>48.84</v>
      </c>
      <c r="J52" s="54" t="n">
        <f aca="false">IF($C52=0,"",$H52*0.4)</f>
        <v>3.256</v>
      </c>
      <c r="K52" s="49" t="n">
        <f aca="false">IF($C52=0,"",$H52*0.6)</f>
        <v>4.884</v>
      </c>
      <c r="L52" s="49" t="n">
        <f aca="false">IF(C52=0,"",J52*$C52)</f>
        <v>19.536</v>
      </c>
      <c r="M52" s="55" t="n">
        <f aca="false">IF(C52=0,"",C52*K52)</f>
        <v>29.304</v>
      </c>
      <c r="N52" s="56" t="n">
        <f aca="false">IF(C52=0,"",D52)</f>
        <v>51</v>
      </c>
      <c r="O52" s="57" t="n">
        <f aca="false">IF(C52=0,"",D52+J52)</f>
        <v>54.256</v>
      </c>
      <c r="P52" s="44" t="n">
        <f aca="false">IF(C52=0,"",N52*C52)</f>
        <v>306</v>
      </c>
      <c r="Q52" s="58" t="n">
        <f aca="false">IF(C52=0,"",O52*C52)</f>
        <v>325.536</v>
      </c>
      <c r="R52" s="44"/>
      <c r="S52" s="59" t="n">
        <f aca="false">IF(C52=0,"",L52)</f>
        <v>19.536</v>
      </c>
      <c r="T52" s="60" t="n">
        <f aca="false">IF(C52=0,"",M52)</f>
        <v>29.304</v>
      </c>
    </row>
    <row r="53" customFormat="false" ht="12.75" hidden="false" customHeight="false" outlineLevel="0" collapsed="false">
      <c r="A53" s="47" t="n">
        <f aca="false">$C$2</f>
        <v>37015</v>
      </c>
      <c r="B53" s="12" t="n">
        <v>13</v>
      </c>
      <c r="C53" s="48" t="str">
        <f aca="false">INDEX(RtMw,C68+12,0)</f>
        <v/>
      </c>
      <c r="D53" s="49" t="str">
        <f aca="false">INDEX(RTPrice,C68+12,0)</f>
        <v/>
      </c>
      <c r="E53" s="50" t="n">
        <f aca="false">VLOOKUP(A53,Gas,4,FALSE())</f>
        <v>4.78</v>
      </c>
      <c r="F53" s="50" t="n">
        <f aca="false">VLOOKUP(A53,Gas,5,FALSE())</f>
        <v>4.78</v>
      </c>
      <c r="G53" s="51" t="n">
        <f aca="false">VLOOKUP(A53,Bogey,2,FALSE())</f>
        <v>59.14</v>
      </c>
      <c r="H53" s="52" t="e">
        <f aca="false">IF(C53&gt;0,G53-D53,"")</f>
        <v>#VALUE!</v>
      </c>
      <c r="I53" s="53" t="e">
        <f aca="false">IF(C53&gt;0,H53*ABS(C53),"")</f>
        <v>#VALUE!</v>
      </c>
      <c r="J53" s="54" t="e">
        <f aca="false">IF($C53=0,"",$H53*0.4)</f>
        <v>#VALUE!</v>
      </c>
      <c r="K53" s="49" t="e">
        <f aca="false">IF($C53=0,"",$H53*0.6)</f>
        <v>#VALUE!</v>
      </c>
      <c r="L53" s="49" t="e">
        <f aca="false">IF(C53=0,"",J53*$C53)</f>
        <v>#VALUE!</v>
      </c>
      <c r="M53" s="55" t="e">
        <f aca="false">IF(C53=0,"",C53*K53)</f>
        <v>#VALUE!</v>
      </c>
      <c r="N53" s="56" t="str">
        <f aca="false">IF(C53=0,"",D53)</f>
        <v/>
      </c>
      <c r="O53" s="57" t="e">
        <f aca="false">IF(C53=0,"",D53+J53)</f>
        <v>#VALUE!</v>
      </c>
      <c r="P53" s="44" t="e">
        <f aca="false">IF(C53=0,"",N53*C53)</f>
        <v>#VALUE!</v>
      </c>
      <c r="Q53" s="58" t="e">
        <f aca="false">IF(C53=0,"",O53*C53)</f>
        <v>#VALUE!</v>
      </c>
      <c r="R53" s="44"/>
      <c r="S53" s="59" t="e">
        <f aca="false">IF(C53=0,"",L53)</f>
        <v>#VALUE!</v>
      </c>
      <c r="T53" s="60" t="e">
        <f aca="false">IF(C53=0,"",M53)</f>
        <v>#VALUE!</v>
      </c>
    </row>
    <row r="54" customFormat="false" ht="12.75" hidden="false" customHeight="false" outlineLevel="0" collapsed="false">
      <c r="A54" s="47" t="n">
        <f aca="false">$C$2</f>
        <v>37015</v>
      </c>
      <c r="B54" s="12" t="n">
        <v>14</v>
      </c>
      <c r="C54" s="48" t="str">
        <f aca="false">INDEX(RtMw,C68+13,0)</f>
        <v/>
      </c>
      <c r="D54" s="49" t="str">
        <f aca="false">INDEX(RTPrice,C68+13,0)</f>
        <v/>
      </c>
      <c r="E54" s="50" t="n">
        <f aca="false">VLOOKUP(A54,Gas,4,FALSE())</f>
        <v>4.78</v>
      </c>
      <c r="F54" s="50" t="n">
        <f aca="false">VLOOKUP(A54,Gas,5,FALSE())</f>
        <v>4.78</v>
      </c>
      <c r="G54" s="51" t="n">
        <f aca="false">VLOOKUP(A54,Bogey,2,FALSE())</f>
        <v>59.14</v>
      </c>
      <c r="H54" s="52" t="e">
        <f aca="false">IF(C54&gt;0,G54-D54,"")</f>
        <v>#VALUE!</v>
      </c>
      <c r="I54" s="53" t="e">
        <f aca="false">IF(C54&gt;0,H54*ABS(C54),"")</f>
        <v>#VALUE!</v>
      </c>
      <c r="J54" s="54" t="e">
        <f aca="false">IF($C54=0,"",$H54*0.4)</f>
        <v>#VALUE!</v>
      </c>
      <c r="K54" s="49" t="e">
        <f aca="false">IF($C54=0,"",$H54*0.6)</f>
        <v>#VALUE!</v>
      </c>
      <c r="L54" s="49" t="e">
        <f aca="false">IF(C54=0,"",J54*$C54)</f>
        <v>#VALUE!</v>
      </c>
      <c r="M54" s="55" t="e">
        <f aca="false">IF(C54=0,"",C54*K54)</f>
        <v>#VALUE!</v>
      </c>
      <c r="N54" s="56" t="str">
        <f aca="false">IF(C54=0,"",D54)</f>
        <v/>
      </c>
      <c r="O54" s="57" t="e">
        <f aca="false">IF(C54=0,"",D54+J54)</f>
        <v>#VALUE!</v>
      </c>
      <c r="P54" s="44" t="e">
        <f aca="false">IF(C54=0,"",N54*C54)</f>
        <v>#VALUE!</v>
      </c>
      <c r="Q54" s="58" t="e">
        <f aca="false">IF(C54=0,"",O54*C54)</f>
        <v>#VALUE!</v>
      </c>
      <c r="R54" s="44"/>
      <c r="S54" s="59" t="e">
        <f aca="false">IF(C54=0,"",L54)</f>
        <v>#VALUE!</v>
      </c>
      <c r="T54" s="60" t="e">
        <f aca="false">IF(C54=0,"",M54)</f>
        <v>#VALUE!</v>
      </c>
    </row>
    <row r="55" customFormat="false" ht="12.75" hidden="false" customHeight="false" outlineLevel="0" collapsed="false">
      <c r="A55" s="47" t="n">
        <f aca="false">$C$2</f>
        <v>37015</v>
      </c>
      <c r="B55" s="12" t="n">
        <v>15</v>
      </c>
      <c r="C55" s="48" t="n">
        <f aca="false">INDEX(RtMw,C68+14,0)</f>
        <v>5</v>
      </c>
      <c r="D55" s="49" t="n">
        <f aca="false">INDEX(RTPrice,C68+14,0)</f>
        <v>60</v>
      </c>
      <c r="E55" s="50" t="n">
        <f aca="false">VLOOKUP(A55,Gas,4,FALSE())</f>
        <v>4.78</v>
      </c>
      <c r="F55" s="50" t="n">
        <f aca="false">VLOOKUP(A55,Gas,5,FALSE())</f>
        <v>4.78</v>
      </c>
      <c r="G55" s="51" t="n">
        <f aca="false">VLOOKUP(A55,Bogey,2,FALSE())</f>
        <v>59.14</v>
      </c>
      <c r="H55" s="52" t="n">
        <f aca="false">IF(C55&gt;0,G55-D55,"")</f>
        <v>-0.859999999999999</v>
      </c>
      <c r="I55" s="53" t="n">
        <f aca="false">IF(C55&gt;0,H55*ABS(C55),"")</f>
        <v>-4.3</v>
      </c>
      <c r="J55" s="54" t="n">
        <f aca="false">IF($C55=0,"",$H55*0.4)</f>
        <v>-0.344</v>
      </c>
      <c r="K55" s="49" t="n">
        <f aca="false">IF($C55=0,"",$H55*0.6)</f>
        <v>-0.516</v>
      </c>
      <c r="L55" s="49" t="n">
        <f aca="false">IF(C55=0,"",J55*$C55)</f>
        <v>-1.72</v>
      </c>
      <c r="M55" s="55" t="n">
        <f aca="false">IF(C55=0,"",C55*K55)</f>
        <v>-2.58</v>
      </c>
      <c r="N55" s="56" t="n">
        <f aca="false">IF(C55=0,"",D55)</f>
        <v>60</v>
      </c>
      <c r="O55" s="57"/>
      <c r="P55" s="44" t="n">
        <f aca="false">IF(C55=0,"",N55*C55)</f>
        <v>300</v>
      </c>
      <c r="Q55" s="58" t="n">
        <f aca="false">IF(C55=0,"",O55*C55)</f>
        <v>0</v>
      </c>
      <c r="R55" s="44"/>
      <c r="S55" s="59" t="n">
        <f aca="false">IF(C55=0,"",L55)</f>
        <v>-1.72</v>
      </c>
      <c r="T55" s="60" t="n">
        <f aca="false">IF(C55=0,"",M55)</f>
        <v>-2.58</v>
      </c>
    </row>
    <row r="56" customFormat="false" ht="12.75" hidden="false" customHeight="false" outlineLevel="0" collapsed="false">
      <c r="A56" s="47" t="n">
        <f aca="false">$C$2</f>
        <v>37015</v>
      </c>
      <c r="B56" s="12" t="n">
        <v>16</v>
      </c>
      <c r="C56" s="48" t="n">
        <f aca="false">INDEX(RtMw,C68+15,0)</f>
        <v>5</v>
      </c>
      <c r="D56" s="49" t="n">
        <f aca="false">INDEX(RTPrice,C68+15,0)</f>
        <v>65</v>
      </c>
      <c r="E56" s="50" t="n">
        <f aca="false">VLOOKUP(A56,Gas,4,FALSE())</f>
        <v>4.78</v>
      </c>
      <c r="F56" s="50" t="n">
        <f aca="false">VLOOKUP(A56,Gas,5,FALSE())</f>
        <v>4.78</v>
      </c>
      <c r="G56" s="51" t="n">
        <f aca="false">VLOOKUP(A56,Bogey,2,FALSE())</f>
        <v>59.14</v>
      </c>
      <c r="H56" s="52" t="n">
        <f aca="false">IF(C56&gt;0,G56-D56,"")</f>
        <v>-5.86</v>
      </c>
      <c r="I56" s="53" t="n">
        <f aca="false">IF(C56&gt;0,H56*ABS(C56),"")</f>
        <v>-29.3</v>
      </c>
      <c r="J56" s="54" t="n">
        <f aca="false">IF($C56=0,"",$H56*0.4)</f>
        <v>-2.344</v>
      </c>
      <c r="K56" s="49" t="n">
        <f aca="false">IF($C56=0,"",$H56*0.6)</f>
        <v>-3.516</v>
      </c>
      <c r="L56" s="49" t="n">
        <f aca="false">IF(C56=0,"",J56*$C56)</f>
        <v>-11.72</v>
      </c>
      <c r="M56" s="55" t="n">
        <f aca="false">IF(C56=0,"",C56*K56)</f>
        <v>-17.58</v>
      </c>
      <c r="N56" s="56" t="n">
        <f aca="false">IF(C56=0,"",D56)</f>
        <v>65</v>
      </c>
      <c r="O56" s="57"/>
      <c r="P56" s="44" t="n">
        <f aca="false">IF(C56=0,"",N56*C56)</f>
        <v>325</v>
      </c>
      <c r="Q56" s="58" t="n">
        <f aca="false">IF(C56=0,"",O56*C56)</f>
        <v>0</v>
      </c>
      <c r="R56" s="44"/>
      <c r="S56" s="59" t="n">
        <f aca="false">IF(C56=0,"",L56)</f>
        <v>-11.72</v>
      </c>
      <c r="T56" s="60" t="n">
        <f aca="false">IF(C56=0,"",M56)</f>
        <v>-17.58</v>
      </c>
    </row>
    <row r="57" customFormat="false" ht="12.75" hidden="false" customHeight="false" outlineLevel="0" collapsed="false">
      <c r="A57" s="47" t="n">
        <f aca="false">$C$2</f>
        <v>37015</v>
      </c>
      <c r="B57" s="12" t="n">
        <v>17</v>
      </c>
      <c r="C57" s="48" t="n">
        <f aca="false">INDEX(RtMw,C68+16,0)</f>
        <v>5</v>
      </c>
      <c r="D57" s="49" t="n">
        <f aca="false">INDEX(RTPrice,C68+16,0)</f>
        <v>65</v>
      </c>
      <c r="E57" s="50" t="n">
        <f aca="false">VLOOKUP(A57,Gas,4,FALSE())</f>
        <v>4.78</v>
      </c>
      <c r="F57" s="50" t="n">
        <f aca="false">VLOOKUP(A57,Gas,5,FALSE())</f>
        <v>4.78</v>
      </c>
      <c r="G57" s="51" t="n">
        <f aca="false">VLOOKUP(A57,Bogey,2,FALSE())</f>
        <v>59.14</v>
      </c>
      <c r="H57" s="52" t="n">
        <f aca="false">IF(C57&gt;0,G57-D57,"")</f>
        <v>-5.86</v>
      </c>
      <c r="I57" s="53" t="n">
        <f aca="false">IF(C57&gt;0,H57*ABS(C57),"")</f>
        <v>-29.3</v>
      </c>
      <c r="J57" s="54" t="n">
        <f aca="false">IF($C57=0,"",$H57*0.4)</f>
        <v>-2.344</v>
      </c>
      <c r="K57" s="49" t="n">
        <f aca="false">IF($C57=0,"",$H57*0.6)</f>
        <v>-3.516</v>
      </c>
      <c r="L57" s="49" t="n">
        <f aca="false">IF(C57=0,"",J57*$C57)</f>
        <v>-11.72</v>
      </c>
      <c r="M57" s="55" t="n">
        <f aca="false">IF(C57=0,"",C57*K57)</f>
        <v>-17.58</v>
      </c>
      <c r="N57" s="56" t="n">
        <f aca="false">IF(C57=0,"",D57)</f>
        <v>65</v>
      </c>
      <c r="O57" s="57"/>
      <c r="P57" s="44" t="n">
        <f aca="false">IF(C57=0,"",N57*C57)</f>
        <v>325</v>
      </c>
      <c r="Q57" s="58" t="n">
        <f aca="false">IF(C57=0,"",O57*C57)</f>
        <v>0</v>
      </c>
      <c r="R57" s="44"/>
      <c r="S57" s="59" t="n">
        <f aca="false">IF(C57=0,"",L57)</f>
        <v>-11.72</v>
      </c>
      <c r="T57" s="60" t="n">
        <f aca="false">IF(C57=0,"",M57)</f>
        <v>-17.58</v>
      </c>
    </row>
    <row r="58" customFormat="false" ht="12.75" hidden="false" customHeight="false" outlineLevel="0" collapsed="false">
      <c r="A58" s="47" t="n">
        <f aca="false">$C$2</f>
        <v>37015</v>
      </c>
      <c r="B58" s="12" t="n">
        <v>18</v>
      </c>
      <c r="C58" s="48" t="n">
        <f aca="false">INDEX(RtMw,C68+17,0)</f>
        <v>5</v>
      </c>
      <c r="D58" s="49" t="n">
        <f aca="false">INDEX(RTPrice,C68+17,0)</f>
        <v>65</v>
      </c>
      <c r="E58" s="50" t="n">
        <f aca="false">VLOOKUP(A58,Gas,4,FALSE())</f>
        <v>4.78</v>
      </c>
      <c r="F58" s="50" t="n">
        <f aca="false">VLOOKUP(A58,Gas,5,FALSE())</f>
        <v>4.78</v>
      </c>
      <c r="G58" s="51" t="n">
        <f aca="false">VLOOKUP(A58,Bogey,2,FALSE())</f>
        <v>59.14</v>
      </c>
      <c r="H58" s="52" t="n">
        <f aca="false">IF(C58&gt;0,G58-D58,"")</f>
        <v>-5.86</v>
      </c>
      <c r="I58" s="53" t="n">
        <f aca="false">IF(C58&gt;0,H58*ABS(C58),"")</f>
        <v>-29.3</v>
      </c>
      <c r="J58" s="54" t="n">
        <f aca="false">IF($C58=0,"",$H58*0.4)</f>
        <v>-2.344</v>
      </c>
      <c r="K58" s="49" t="n">
        <f aca="false">IF($C58=0,"",$H58*0.6)</f>
        <v>-3.516</v>
      </c>
      <c r="L58" s="49" t="n">
        <f aca="false">IF(C58=0,"",J58*$C58)</f>
        <v>-11.72</v>
      </c>
      <c r="M58" s="55" t="n">
        <f aca="false">IF(C58=0,"",C58*K58)</f>
        <v>-17.58</v>
      </c>
      <c r="N58" s="56" t="n">
        <f aca="false">IF(C58=0,"",D58)</f>
        <v>65</v>
      </c>
      <c r="O58" s="57"/>
      <c r="P58" s="44" t="n">
        <f aca="false">IF(C58=0,"",N58*C58)</f>
        <v>325</v>
      </c>
      <c r="Q58" s="58" t="n">
        <f aca="false">IF(C58=0,"",O58*C58)</f>
        <v>0</v>
      </c>
      <c r="R58" s="44"/>
      <c r="S58" s="59" t="n">
        <f aca="false">IF(C58=0,"",L58)</f>
        <v>-11.72</v>
      </c>
      <c r="T58" s="60" t="n">
        <f aca="false">IF(C58=0,"",M58)</f>
        <v>-17.58</v>
      </c>
    </row>
    <row r="59" customFormat="false" ht="12.75" hidden="false" customHeight="false" outlineLevel="0" collapsed="false">
      <c r="A59" s="47" t="n">
        <f aca="false">$C$2</f>
        <v>37015</v>
      </c>
      <c r="B59" s="12" t="n">
        <v>19</v>
      </c>
      <c r="C59" s="48" t="n">
        <f aca="false">INDEX(RtMw,C68+18,0)</f>
        <v>5</v>
      </c>
      <c r="D59" s="49" t="n">
        <f aca="false">INDEX(RTPrice,C68+18,0)</f>
        <v>65</v>
      </c>
      <c r="E59" s="50" t="n">
        <f aca="false">VLOOKUP(A59,Gas,4,FALSE())</f>
        <v>4.78</v>
      </c>
      <c r="F59" s="50" t="n">
        <f aca="false">VLOOKUP(A59,Gas,5,FALSE())</f>
        <v>4.78</v>
      </c>
      <c r="G59" s="51" t="n">
        <f aca="false">VLOOKUP(A59,Bogey,2,FALSE())</f>
        <v>59.14</v>
      </c>
      <c r="H59" s="52" t="n">
        <f aca="false">IF(C59&gt;0,G59-D59,"")</f>
        <v>-5.86</v>
      </c>
      <c r="I59" s="53" t="n">
        <f aca="false">IF(C59&gt;0,H59*ABS(C59),"")</f>
        <v>-29.3</v>
      </c>
      <c r="J59" s="54" t="n">
        <f aca="false">IF($C59=0,"",$H59*0.4)</f>
        <v>-2.344</v>
      </c>
      <c r="K59" s="49" t="n">
        <f aca="false">IF($C59=0,"",$H59*0.6)</f>
        <v>-3.516</v>
      </c>
      <c r="L59" s="49" t="n">
        <f aca="false">IF(C59=0,"",J59*$C59)</f>
        <v>-11.72</v>
      </c>
      <c r="M59" s="55" t="n">
        <f aca="false">IF(C59=0,"",C59*K59)</f>
        <v>-17.58</v>
      </c>
      <c r="N59" s="56" t="n">
        <f aca="false">IF(C59=0,"",D59)</f>
        <v>65</v>
      </c>
      <c r="O59" s="57"/>
      <c r="P59" s="44" t="n">
        <f aca="false">IF(C59=0,"",N59*C59)</f>
        <v>325</v>
      </c>
      <c r="Q59" s="58" t="n">
        <f aca="false">IF(C59=0,"",O59*C59)</f>
        <v>0</v>
      </c>
      <c r="R59" s="44"/>
      <c r="S59" s="59" t="n">
        <f aca="false">IF(C59=0,"",L59)</f>
        <v>-11.72</v>
      </c>
      <c r="T59" s="60" t="n">
        <f aca="false">IF(C59=0,"",M59)</f>
        <v>-17.58</v>
      </c>
    </row>
    <row r="60" customFormat="false" ht="12.75" hidden="false" customHeight="false" outlineLevel="0" collapsed="false">
      <c r="A60" s="47" t="n">
        <f aca="false">$C$2</f>
        <v>37015</v>
      </c>
      <c r="B60" s="12" t="n">
        <v>20</v>
      </c>
      <c r="C60" s="48" t="n">
        <f aca="false">INDEX(RtMw,C68+19,0)</f>
        <v>5</v>
      </c>
      <c r="D60" s="49" t="n">
        <f aca="false">INDEX(RTPrice,C68+19,0)</f>
        <v>65</v>
      </c>
      <c r="E60" s="50" t="n">
        <f aca="false">VLOOKUP(A60,Gas,4,FALSE())</f>
        <v>4.78</v>
      </c>
      <c r="F60" s="50" t="n">
        <f aca="false">VLOOKUP(A60,Gas,5,FALSE())</f>
        <v>4.78</v>
      </c>
      <c r="G60" s="51" t="n">
        <f aca="false">VLOOKUP(A60,Bogey,2,FALSE())</f>
        <v>59.14</v>
      </c>
      <c r="H60" s="52" t="n">
        <f aca="false">IF(C60&gt;0,G60-D60,"")</f>
        <v>-5.86</v>
      </c>
      <c r="I60" s="53" t="n">
        <f aca="false">IF(C60&gt;0,H60*ABS(C60),"")</f>
        <v>-29.3</v>
      </c>
      <c r="J60" s="54" t="n">
        <f aca="false">IF($C60=0,"",$H60*0.4)</f>
        <v>-2.344</v>
      </c>
      <c r="K60" s="49" t="n">
        <f aca="false">IF($C60=0,"",$H60*0.6)</f>
        <v>-3.516</v>
      </c>
      <c r="L60" s="49" t="n">
        <f aca="false">IF(C60=0,"",J60*$C60)</f>
        <v>-11.72</v>
      </c>
      <c r="M60" s="55" t="n">
        <f aca="false">IF(C60=0,"",C60*K60)</f>
        <v>-17.58</v>
      </c>
      <c r="N60" s="56" t="n">
        <f aca="false">IF(C60=0,"",D60)</f>
        <v>65</v>
      </c>
      <c r="O60" s="57"/>
      <c r="P60" s="44" t="n">
        <f aca="false">IF(C60=0,"",N60*C60)</f>
        <v>325</v>
      </c>
      <c r="Q60" s="58" t="n">
        <f aca="false">IF(C60=0,"",O60*C60)</f>
        <v>0</v>
      </c>
      <c r="R60" s="44"/>
      <c r="S60" s="59" t="n">
        <f aca="false">IF(C60=0,"",L60)</f>
        <v>-11.72</v>
      </c>
      <c r="T60" s="60" t="n">
        <f aca="false">IF(C60=0,"",M60)</f>
        <v>-17.58</v>
      </c>
    </row>
    <row r="61" customFormat="false" ht="12.75" hidden="false" customHeight="false" outlineLevel="0" collapsed="false">
      <c r="A61" s="47" t="n">
        <f aca="false">$C$2</f>
        <v>37015</v>
      </c>
      <c r="B61" s="12" t="n">
        <v>21</v>
      </c>
      <c r="C61" s="48" t="n">
        <f aca="false">INDEX(RtMw,C68+20,0)</f>
        <v>5</v>
      </c>
      <c r="D61" s="49" t="n">
        <f aca="false">INDEX(RTPrice,C68+20,0)</f>
        <v>65</v>
      </c>
      <c r="E61" s="50" t="n">
        <f aca="false">VLOOKUP(A61,Gas,4,FALSE())</f>
        <v>4.78</v>
      </c>
      <c r="F61" s="50" t="n">
        <f aca="false">VLOOKUP(A61,Gas,5,FALSE())</f>
        <v>4.78</v>
      </c>
      <c r="G61" s="51" t="n">
        <f aca="false">VLOOKUP(A61,Bogey,2,FALSE())</f>
        <v>59.14</v>
      </c>
      <c r="H61" s="52" t="n">
        <f aca="false">IF(C61&gt;0,G61-D61,"")</f>
        <v>-5.86</v>
      </c>
      <c r="I61" s="53" t="n">
        <f aca="false">IF(C61&gt;0,H61*ABS(C61),"")</f>
        <v>-29.3</v>
      </c>
      <c r="J61" s="54" t="n">
        <f aca="false">IF($C61=0,"",$H61*0.4)</f>
        <v>-2.344</v>
      </c>
      <c r="K61" s="49" t="n">
        <f aca="false">IF($C61=0,"",$H61*0.6)</f>
        <v>-3.516</v>
      </c>
      <c r="L61" s="49" t="n">
        <f aca="false">IF(C61=0,"",J61*$C61)</f>
        <v>-11.72</v>
      </c>
      <c r="M61" s="55" t="n">
        <f aca="false">IF(C61=0,"",C61*K61)</f>
        <v>-17.58</v>
      </c>
      <c r="N61" s="56" t="n">
        <f aca="false">IF(C61=0,"",D61)</f>
        <v>65</v>
      </c>
      <c r="O61" s="57"/>
      <c r="P61" s="44" t="n">
        <f aca="false">IF(C61=0,"",N61*C61)</f>
        <v>325</v>
      </c>
      <c r="Q61" s="58" t="n">
        <f aca="false">IF(C61=0,"",O61*C61)</f>
        <v>0</v>
      </c>
      <c r="R61" s="44"/>
      <c r="S61" s="59" t="n">
        <f aca="false">IF(C61=0,"",L61)</f>
        <v>-11.72</v>
      </c>
      <c r="T61" s="60" t="n">
        <f aca="false">IF(C61=0,"",M61)</f>
        <v>-17.58</v>
      </c>
    </row>
    <row r="62" customFormat="false" ht="12.75" hidden="false" customHeight="false" outlineLevel="0" collapsed="false">
      <c r="A62" s="47" t="n">
        <f aca="false">$C$2</f>
        <v>37015</v>
      </c>
      <c r="B62" s="12" t="n">
        <v>22</v>
      </c>
      <c r="C62" s="48" t="n">
        <f aca="false">INDEX(RtMw,C68+21,0)</f>
        <v>5</v>
      </c>
      <c r="D62" s="49" t="n">
        <f aca="false">INDEX(RTPrice,C68+21,0)</f>
        <v>65</v>
      </c>
      <c r="E62" s="50" t="n">
        <f aca="false">VLOOKUP(A62,Gas,4,FALSE())</f>
        <v>4.78</v>
      </c>
      <c r="F62" s="50" t="n">
        <f aca="false">VLOOKUP(A62,Gas,5,FALSE())</f>
        <v>4.78</v>
      </c>
      <c r="G62" s="51" t="n">
        <f aca="false">VLOOKUP(A62,Bogey,2,FALSE())</f>
        <v>59.14</v>
      </c>
      <c r="H62" s="52" t="n">
        <f aca="false">IF(C62&gt;0,G62-D62,"")</f>
        <v>-5.86</v>
      </c>
      <c r="I62" s="53" t="n">
        <f aca="false">IF(C62&gt;0,H62*ABS(C62),"")</f>
        <v>-29.3</v>
      </c>
      <c r="J62" s="54" t="n">
        <f aca="false">IF($C62=0,"",$H62*0.4)</f>
        <v>-2.344</v>
      </c>
      <c r="K62" s="49" t="n">
        <f aca="false">IF($C62=0,"",$H62*0.6)</f>
        <v>-3.516</v>
      </c>
      <c r="L62" s="49" t="n">
        <f aca="false">IF(C62=0,"",J62*$C62)</f>
        <v>-11.72</v>
      </c>
      <c r="M62" s="55" t="n">
        <f aca="false">IF(C62=0,"",C62*K62)</f>
        <v>-17.58</v>
      </c>
      <c r="N62" s="56" t="n">
        <f aca="false">IF(C62=0,"",D62)</f>
        <v>65</v>
      </c>
      <c r="O62" s="57"/>
      <c r="P62" s="44" t="n">
        <f aca="false">IF(C62=0,"",N62*C62)</f>
        <v>325</v>
      </c>
      <c r="Q62" s="58" t="n">
        <f aca="false">IF(C62=0,"",O62*C62)</f>
        <v>0</v>
      </c>
      <c r="R62" s="44"/>
      <c r="S62" s="59" t="n">
        <f aca="false">IF(C62=0,"",L62)</f>
        <v>-11.72</v>
      </c>
      <c r="T62" s="60" t="n">
        <f aca="false">IF(C62=0,"",M62)</f>
        <v>-17.58</v>
      </c>
    </row>
    <row r="63" customFormat="false" ht="12.75" hidden="false" customHeight="false" outlineLevel="0" collapsed="false">
      <c r="A63" s="47" t="n">
        <f aca="false">$C$2</f>
        <v>37015</v>
      </c>
      <c r="B63" s="12" t="n">
        <v>23</v>
      </c>
      <c r="C63" s="48" t="str">
        <f aca="false">INDEX(RtMw,C68+22,0)</f>
        <v/>
      </c>
      <c r="D63" s="49" t="str">
        <f aca="false">INDEX(RTPrice,C68+22,0)</f>
        <v/>
      </c>
      <c r="E63" s="50" t="n">
        <f aca="false">VLOOKUP(A63,Gas,4,FALSE())</f>
        <v>4.78</v>
      </c>
      <c r="F63" s="50" t="n">
        <f aca="false">VLOOKUP(A63,Gas,5,FALSE())</f>
        <v>4.78</v>
      </c>
      <c r="G63" s="51" t="n">
        <f aca="false">VLOOKUP(A63,Bogey,2,FALSE())</f>
        <v>59.14</v>
      </c>
      <c r="H63" s="52" t="e">
        <f aca="false">IF(C63&gt;0,G63-D63,"")</f>
        <v>#VALUE!</v>
      </c>
      <c r="I63" s="53" t="e">
        <f aca="false">IF(C63&gt;0,H63*ABS(C63),"")</f>
        <v>#VALUE!</v>
      </c>
      <c r="J63" s="54" t="n">
        <f aca="false">IF(C63=0,"",1)</f>
        <v>1</v>
      </c>
      <c r="K63" s="44" t="e">
        <f aca="false">IF(C63=0,"",G63-(D63+1))</f>
        <v>#VALUE!</v>
      </c>
      <c r="L63" s="44" t="e">
        <f aca="false">IF(C63=0,"",C63*J63)</f>
        <v>#VALUE!</v>
      </c>
      <c r="M63" s="55" t="e">
        <f aca="false">IF(C63=0,"",C63*K63)</f>
        <v>#VALUE!</v>
      </c>
      <c r="N63" s="56" t="str">
        <f aca="false">IF(C63=0,"",D63)</f>
        <v/>
      </c>
      <c r="O63" s="57" t="e">
        <f aca="false">IF(C63=0,"",D63+1)</f>
        <v>#VALUE!</v>
      </c>
      <c r="P63" s="44" t="e">
        <f aca="false">IF(C63=0,"",N63*C63)</f>
        <v>#VALUE!</v>
      </c>
      <c r="Q63" s="58" t="e">
        <f aca="false">IF(C63=0,"",O63*C63)</f>
        <v>#VALUE!</v>
      </c>
      <c r="R63" s="44"/>
      <c r="S63" s="59" t="e">
        <f aca="false">IF(C63=0,"",L63)</f>
        <v>#VALUE!</v>
      </c>
      <c r="T63" s="60" t="e">
        <f aca="false">IF(C63=0,"",M63)</f>
        <v>#VALUE!</v>
      </c>
    </row>
    <row r="64" customFormat="false" ht="12.75" hidden="false" customHeight="false" outlineLevel="0" collapsed="false">
      <c r="A64" s="61" t="n">
        <f aca="false">$C$2</f>
        <v>37015</v>
      </c>
      <c r="B64" s="62" t="n">
        <v>24</v>
      </c>
      <c r="C64" s="63" t="str">
        <f aca="false">INDEX(RtMw,C68+23,0)</f>
        <v/>
      </c>
      <c r="D64" s="64" t="str">
        <f aca="false">INDEX(RTPrice,C68+23,0)</f>
        <v/>
      </c>
      <c r="E64" s="65" t="n">
        <f aca="false">VLOOKUP(A64,Gas,4,FALSE())</f>
        <v>4.78</v>
      </c>
      <c r="F64" s="65" t="n">
        <f aca="false">VLOOKUP(A64,Gas,5,FALSE())</f>
        <v>4.78</v>
      </c>
      <c r="G64" s="66" t="n">
        <f aca="false">VLOOKUP(A64,Bogey,2,FALSE())</f>
        <v>59.14</v>
      </c>
      <c r="H64" s="67" t="e">
        <f aca="false">IF(C64&gt;0,G64-D64,"")</f>
        <v>#VALUE!</v>
      </c>
      <c r="I64" s="68" t="e">
        <f aca="false">IF(C64&gt;0,H64*ABS(C64),"")</f>
        <v>#VALUE!</v>
      </c>
      <c r="J64" s="69" t="n">
        <f aca="false">IF(C64=0,"",1)</f>
        <v>1</v>
      </c>
      <c r="K64" s="70" t="e">
        <f aca="false">IF(C64=0,"",G64-(D64+1))</f>
        <v>#VALUE!</v>
      </c>
      <c r="L64" s="70" t="e">
        <f aca="false">IF(C64=0,"",C64*J64)</f>
        <v>#VALUE!</v>
      </c>
      <c r="M64" s="71" t="e">
        <f aca="false">IF(C64=0,"",C64*K64)</f>
        <v>#VALUE!</v>
      </c>
      <c r="N64" s="72" t="str">
        <f aca="false">IF(C64=0,"",D64)</f>
        <v/>
      </c>
      <c r="O64" s="73" t="e">
        <f aca="false">IF(C64=0,"",D64+1)</f>
        <v>#VALUE!</v>
      </c>
      <c r="P64" s="70" t="e">
        <f aca="false">IF(C64=0,"",N64*C64)</f>
        <v>#VALUE!</v>
      </c>
      <c r="Q64" s="74" t="e">
        <f aca="false">IF(C64=0,"",O64*C64)</f>
        <v>#VALUE!</v>
      </c>
      <c r="R64" s="44"/>
      <c r="S64" s="75" t="e">
        <f aca="false">IF(C64=0,"",L64)</f>
        <v>#VALUE!</v>
      </c>
      <c r="T64" s="76" t="e">
        <f aca="false">IF(C64=0,"",M64)</f>
        <v>#VALUE!</v>
      </c>
    </row>
    <row r="66" customFormat="false" ht="12.75" hidden="false" customHeight="false" outlineLevel="0" collapsed="false">
      <c r="Q66" s="78" t="e">
        <f aca="false">SUM(Q41:Q65)</f>
        <v>#VALUE!</v>
      </c>
    </row>
    <row r="68" customFormat="false" ht="12.75" hidden="true" customHeight="false" outlineLevel="0" collapsed="false">
      <c r="B68" s="0" t="s">
        <v>33</v>
      </c>
      <c r="C68" s="0" t="n">
        <f aca="false">MATCH(C2,RTDate,0)</f>
        <v>73</v>
      </c>
    </row>
  </sheetData>
  <mergeCells count="18">
    <mergeCell ref="A1:C1"/>
    <mergeCell ref="A2:B2"/>
    <mergeCell ref="E3:G3"/>
    <mergeCell ref="H3:I3"/>
    <mergeCell ref="J3:M3"/>
    <mergeCell ref="N3:Q3"/>
    <mergeCell ref="S3:T3"/>
    <mergeCell ref="B4:D4"/>
    <mergeCell ref="N4:O4"/>
    <mergeCell ref="P4:Q4"/>
    <mergeCell ref="E37:G37"/>
    <mergeCell ref="H37:I37"/>
    <mergeCell ref="J37:M37"/>
    <mergeCell ref="N37:Q37"/>
    <mergeCell ref="S37:T37"/>
    <mergeCell ref="B38:D38"/>
    <mergeCell ref="N38:O38"/>
    <mergeCell ref="P38:Q38"/>
  </mergeCells>
  <conditionalFormatting sqref="K5:K12 H3:H5 E3:G6 I3:I30 J3:J12 L5:M30 J29:K30 K4:N4 A1:C2 D31:G36 I31:M36 N5:N36 P65:IV65536 P4:T36 U1:IV64 K39:K46 H8:H39 A39:D64 E37:G40 I37:I64 J37:J46 J63:K64 K38:N38 D5:D30 L39:N64 A5:C36 P38:T64 A65:N65536 D1:D3 D37 H42:H64">
    <cfRule type="cellIs" priority="2" operator="equal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9921875" defaultRowHeight="12.75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3" min="3" style="0" width="11.85"/>
    <col collapsed="false" customWidth="true" hidden="false" outlineLevel="0" max="4" min="4" style="1" width="23.99"/>
    <col collapsed="false" customWidth="true" hidden="false" outlineLevel="0" max="7" min="5" style="0" width="14.41"/>
    <col collapsed="false" customWidth="true" hidden="false" outlineLevel="0" max="8" min="8" style="0" width="28.99"/>
    <col collapsed="false" customWidth="true" hidden="false" outlineLevel="0" max="9" min="9" style="0" width="26.56"/>
    <col collapsed="false" customWidth="true" hidden="false" outlineLevel="0" max="10" min="10" style="0" width="17.14"/>
    <col collapsed="false" customWidth="true" hidden="false" outlineLevel="0" max="11" min="11" style="0" width="14.28"/>
    <col collapsed="false" customWidth="true" hidden="false" outlineLevel="0" max="13" min="12" style="0" width="26.56"/>
    <col collapsed="false" customWidth="true" hidden="false" outlineLevel="0" max="14" min="14" style="2" width="15.28"/>
    <col collapsed="false" customWidth="true" hidden="false" outlineLevel="0" max="15" min="15" style="0" width="15.28"/>
    <col collapsed="false" customWidth="true" hidden="false" outlineLevel="0" max="16" min="16" style="2" width="15.28"/>
    <col collapsed="false" customWidth="true" hidden="false" outlineLevel="0" max="17" min="17" style="0" width="17.56"/>
    <col collapsed="false" customWidth="true" hidden="false" outlineLevel="0" max="18" min="18" style="2" width="2.56"/>
    <col collapsed="false" customWidth="true" hidden="false" outlineLevel="0" max="19" min="19" style="0" width="12.42"/>
    <col collapsed="false" customWidth="true" hidden="false" outlineLevel="0" max="20" min="20" style="1" width="14.56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3" t="s">
        <v>1</v>
      </c>
      <c r="B2" s="3"/>
      <c r="C2" s="83" t="n">
        <v>37016</v>
      </c>
      <c r="D2" s="5"/>
    </row>
    <row r="3" customFormat="false" ht="12.75" hidden="false" customHeight="false" outlineLevel="0" collapsed="false">
      <c r="A3" s="6"/>
      <c r="B3" s="6"/>
      <c r="C3" s="84" t="n">
        <v>37020</v>
      </c>
      <c r="D3" s="7"/>
      <c r="E3" s="8" t="s">
        <v>2</v>
      </c>
      <c r="F3" s="8"/>
      <c r="G3" s="8"/>
      <c r="H3" s="9" t="s">
        <v>3</v>
      </c>
      <c r="I3" s="9"/>
      <c r="J3" s="9" t="s">
        <v>4</v>
      </c>
      <c r="K3" s="9"/>
      <c r="L3" s="9"/>
      <c r="M3" s="9"/>
      <c r="N3" s="10" t="s">
        <v>5</v>
      </c>
      <c r="O3" s="10"/>
      <c r="P3" s="10"/>
      <c r="Q3" s="10"/>
      <c r="R3" s="11"/>
      <c r="S3" s="10" t="s">
        <v>6</v>
      </c>
      <c r="T3" s="10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B4" s="85" t="s">
        <v>34</v>
      </c>
      <c r="C4" s="85"/>
      <c r="D4" s="85"/>
      <c r="E4" s="13"/>
      <c r="F4" s="14"/>
      <c r="G4" s="15"/>
      <c r="H4" s="16" t="s">
        <v>7</v>
      </c>
      <c r="I4" s="17" t="s">
        <v>7</v>
      </c>
      <c r="J4" s="16" t="s">
        <v>8</v>
      </c>
      <c r="K4" s="18" t="s">
        <v>9</v>
      </c>
      <c r="L4" s="18" t="s">
        <v>8</v>
      </c>
      <c r="M4" s="17" t="s">
        <v>9</v>
      </c>
      <c r="N4" s="19" t="s">
        <v>10</v>
      </c>
      <c r="O4" s="19"/>
      <c r="P4" s="19" t="s">
        <v>11</v>
      </c>
      <c r="Q4" s="19"/>
      <c r="R4" s="11"/>
      <c r="S4" s="20"/>
      <c r="T4" s="21"/>
    </row>
    <row r="5" customFormat="false" ht="12.75" hidden="false" customHeight="false" outlineLevel="0" collapsed="false">
      <c r="E5" s="16" t="s">
        <v>12</v>
      </c>
      <c r="F5" s="18" t="s">
        <v>12</v>
      </c>
      <c r="G5" s="17" t="s">
        <v>13</v>
      </c>
      <c r="H5" s="16" t="s">
        <v>14</v>
      </c>
      <c r="I5" s="17" t="s">
        <v>14</v>
      </c>
      <c r="J5" s="22" t="s">
        <v>15</v>
      </c>
      <c r="K5" s="18" t="s">
        <v>16</v>
      </c>
      <c r="L5" s="18" t="s">
        <v>17</v>
      </c>
      <c r="M5" s="17" t="s">
        <v>18</v>
      </c>
      <c r="N5" s="23"/>
      <c r="O5" s="15"/>
      <c r="P5" s="22"/>
      <c r="Q5" s="24" t="s">
        <v>19</v>
      </c>
      <c r="R5" s="11"/>
      <c r="S5" s="16" t="s">
        <v>20</v>
      </c>
      <c r="T5" s="25" t="s">
        <v>21</v>
      </c>
    </row>
    <row r="6" customFormat="false" ht="12.75" hidden="false" customHeight="false" outlineLevel="0" collapsed="false">
      <c r="A6" s="26" t="s">
        <v>22</v>
      </c>
      <c r="B6" s="27" t="s">
        <v>23</v>
      </c>
      <c r="C6" s="27" t="s">
        <v>24</v>
      </c>
      <c r="D6" s="28" t="s">
        <v>25</v>
      </c>
      <c r="E6" s="22" t="s">
        <v>26</v>
      </c>
      <c r="F6" s="5" t="s">
        <v>27</v>
      </c>
      <c r="G6" s="25" t="s">
        <v>28</v>
      </c>
      <c r="H6" s="22" t="s">
        <v>29</v>
      </c>
      <c r="I6" s="25" t="s">
        <v>30</v>
      </c>
      <c r="J6" s="22" t="s">
        <v>10</v>
      </c>
      <c r="K6" s="5" t="s">
        <v>10</v>
      </c>
      <c r="L6" s="5" t="s">
        <v>30</v>
      </c>
      <c r="M6" s="25" t="s">
        <v>30</v>
      </c>
      <c r="N6" s="22" t="s">
        <v>20</v>
      </c>
      <c r="O6" s="25" t="s">
        <v>21</v>
      </c>
      <c r="P6" s="22" t="s">
        <v>20</v>
      </c>
      <c r="Q6" s="29" t="s">
        <v>21</v>
      </c>
      <c r="R6" s="5"/>
      <c r="S6" s="22" t="s">
        <v>31</v>
      </c>
      <c r="T6" s="25" t="s">
        <v>32</v>
      </c>
      <c r="U6" s="30"/>
      <c r="V6" s="30"/>
    </row>
    <row r="7" customFormat="false" ht="12.75" hidden="false" customHeight="false" outlineLevel="0" collapsed="false">
      <c r="A7" s="31" t="n">
        <f aca="false">$C$2</f>
        <v>37016</v>
      </c>
      <c r="B7" s="32" t="n">
        <v>1</v>
      </c>
      <c r="C7" s="33" t="n">
        <f aca="false">INDEX(DaMw,C34,0)</f>
        <v>25</v>
      </c>
      <c r="D7" s="46" t="n">
        <f aca="false">INDEX(DaPrice,C34,0)</f>
        <v>18</v>
      </c>
      <c r="E7" s="35" t="n">
        <f aca="false">VLOOKUP(A7,Gas,4,FALSE())</f>
        <v>4.64</v>
      </c>
      <c r="F7" s="35" t="n">
        <f aca="false">VLOOKUP(A7,Gas,5,FALSE())</f>
        <v>4.64</v>
      </c>
      <c r="G7" s="36" t="n">
        <f aca="false">VLOOKUP(A7,Bogey,2,FALSE())</f>
        <v>59.38</v>
      </c>
      <c r="H7" s="37" t="n">
        <f aca="false">IF(C7&gt;0,G7-D7,"")</f>
        <v>41.38</v>
      </c>
      <c r="I7" s="38" t="n">
        <f aca="false">IF(C7&gt;0,H7*ABS(C7),"")</f>
        <v>1034.5</v>
      </c>
      <c r="J7" s="39" t="n">
        <f aca="false">IF(C7=0,"",1)</f>
        <v>1</v>
      </c>
      <c r="K7" s="40" t="n">
        <f aca="false">IF(C7=0,"",G7-(D7+1))</f>
        <v>40.38</v>
      </c>
      <c r="L7" s="40" t="n">
        <f aca="false">IF(C7=0,"",C7*J7)</f>
        <v>25</v>
      </c>
      <c r="M7" s="21" t="n">
        <f aca="false">IF(C7=0,"",C7*K7)</f>
        <v>1009.5</v>
      </c>
      <c r="N7" s="41" t="n">
        <f aca="false">IF(C7=0,"",D7)</f>
        <v>18</v>
      </c>
      <c r="O7" s="42" t="n">
        <f aca="false">IF(C7=0,"",D7+1)</f>
        <v>19</v>
      </c>
      <c r="P7" s="40" t="n">
        <f aca="false">IF(C7=0,"",N7*C7)</f>
        <v>450</v>
      </c>
      <c r="Q7" s="43" t="n">
        <f aca="false">IF(C7=0,"",O7*C7)</f>
        <v>475</v>
      </c>
      <c r="R7" s="44"/>
      <c r="S7" s="45" t="n">
        <f aca="false">IF(C7=0,"",L7)</f>
        <v>25</v>
      </c>
      <c r="T7" s="46" t="n">
        <f aca="false">IF(C7=0,"",M7)</f>
        <v>1009.5</v>
      </c>
    </row>
    <row r="8" customFormat="false" ht="12.75" hidden="false" customHeight="false" outlineLevel="0" collapsed="false">
      <c r="A8" s="47" t="n">
        <f aca="false">$C$2</f>
        <v>37016</v>
      </c>
      <c r="B8" s="12" t="n">
        <v>2</v>
      </c>
      <c r="C8" s="48" t="n">
        <f aca="false">INDEX(DaMw,C34+1,0)</f>
        <v>25</v>
      </c>
      <c r="D8" s="60" t="n">
        <f aca="false">INDEX(DaPrice,C34+1,0)</f>
        <v>18</v>
      </c>
      <c r="E8" s="50" t="n">
        <f aca="false">VLOOKUP(A8,Gas,4,FALSE())</f>
        <v>4.64</v>
      </c>
      <c r="F8" s="50" t="n">
        <f aca="false">VLOOKUP(A8,Gas,5,FALSE())</f>
        <v>4.64</v>
      </c>
      <c r="G8" s="51" t="n">
        <f aca="false">VLOOKUP(A8,Bogey,2,FALSE())</f>
        <v>59.38</v>
      </c>
      <c r="H8" s="52" t="n">
        <f aca="false">IF(C8&gt;0,G8-D8,"")</f>
        <v>41.38</v>
      </c>
      <c r="I8" s="53" t="n">
        <f aca="false">IF(C8&gt;0,H8*ABS(C8),"")</f>
        <v>1034.5</v>
      </c>
      <c r="J8" s="54" t="n">
        <f aca="false">IF(C8=0,"",1)</f>
        <v>1</v>
      </c>
      <c r="K8" s="44" t="n">
        <f aca="false">IF(C8=0,"",G8-(D8+1))</f>
        <v>40.38</v>
      </c>
      <c r="L8" s="44" t="n">
        <f aca="false">IF(C8=0,"",C8*J8)</f>
        <v>25</v>
      </c>
      <c r="M8" s="55" t="n">
        <f aca="false">IF(C8=0,"",C8*K8)</f>
        <v>1009.5</v>
      </c>
      <c r="N8" s="56" t="n">
        <f aca="false">IF(C8=0,"",D8)</f>
        <v>18</v>
      </c>
      <c r="O8" s="57" t="n">
        <f aca="false">IF(C8=0,"",D8+1)</f>
        <v>19</v>
      </c>
      <c r="P8" s="44" t="n">
        <f aca="false">IF(C8=0,"",N8*C8)</f>
        <v>450</v>
      </c>
      <c r="Q8" s="58" t="n">
        <f aca="false">IF(C8=0,"",O8*C8)</f>
        <v>475</v>
      </c>
      <c r="R8" s="44"/>
      <c r="S8" s="59" t="n">
        <f aca="false">IF(C8=0,"",L8)</f>
        <v>25</v>
      </c>
      <c r="T8" s="60" t="n">
        <f aca="false">IF(C8=0,"",M8)</f>
        <v>1009.5</v>
      </c>
    </row>
    <row r="9" customFormat="false" ht="12.75" hidden="false" customHeight="false" outlineLevel="0" collapsed="false">
      <c r="A9" s="47" t="n">
        <f aca="false">$C$2</f>
        <v>37016</v>
      </c>
      <c r="B9" s="12" t="n">
        <v>3</v>
      </c>
      <c r="C9" s="48" t="n">
        <f aca="false">INDEX(DaMw,C34+2,0)</f>
        <v>25</v>
      </c>
      <c r="D9" s="60" t="n">
        <f aca="false">INDEX(DaPrice,C34+2,0)</f>
        <v>18</v>
      </c>
      <c r="E9" s="50" t="n">
        <f aca="false">VLOOKUP(A9,Gas,4,FALSE())</f>
        <v>4.64</v>
      </c>
      <c r="F9" s="50" t="n">
        <f aca="false">VLOOKUP(A9,Gas,5,FALSE())</f>
        <v>4.64</v>
      </c>
      <c r="G9" s="51" t="n">
        <f aca="false">VLOOKUP(A9,Bogey,2,FALSE())</f>
        <v>59.38</v>
      </c>
      <c r="H9" s="52" t="n">
        <f aca="false">IF(C9&gt;0,G9-D9,"")</f>
        <v>41.38</v>
      </c>
      <c r="I9" s="53" t="n">
        <f aca="false">IF(C9&gt;0,H9*ABS(C9),"")</f>
        <v>1034.5</v>
      </c>
      <c r="J9" s="54" t="n">
        <f aca="false">IF(C9=0,"",1)</f>
        <v>1</v>
      </c>
      <c r="K9" s="44" t="n">
        <f aca="false">IF(C9=0,"",G9-(D9+1))</f>
        <v>40.38</v>
      </c>
      <c r="L9" s="44" t="n">
        <f aca="false">IF(C9=0,"",C9*J9)</f>
        <v>25</v>
      </c>
      <c r="M9" s="55" t="n">
        <f aca="false">IF(C9=0,"",C9*K9)</f>
        <v>1009.5</v>
      </c>
      <c r="N9" s="56" t="n">
        <f aca="false">IF(C9=0,"",D9)</f>
        <v>18</v>
      </c>
      <c r="O9" s="57" t="n">
        <f aca="false">IF(C9=0,"",D9+1)</f>
        <v>19</v>
      </c>
      <c r="P9" s="44" t="n">
        <f aca="false">IF(C9=0,"",N9*C9)</f>
        <v>450</v>
      </c>
      <c r="Q9" s="58" t="n">
        <f aca="false">IF(C9=0,"",O9*C9)</f>
        <v>475</v>
      </c>
      <c r="R9" s="44"/>
      <c r="S9" s="59" t="n">
        <f aca="false">IF(C9=0,"",L9)</f>
        <v>25</v>
      </c>
      <c r="T9" s="60" t="n">
        <f aca="false">IF(C9=0,"",M9)</f>
        <v>1009.5</v>
      </c>
    </row>
    <row r="10" customFormat="false" ht="12.75" hidden="false" customHeight="false" outlineLevel="0" collapsed="false">
      <c r="A10" s="47" t="n">
        <f aca="false">$C$2</f>
        <v>37016</v>
      </c>
      <c r="B10" s="12" t="n">
        <v>4</v>
      </c>
      <c r="C10" s="48" t="n">
        <f aca="false">INDEX(DaMw,C34+3,0)</f>
        <v>25</v>
      </c>
      <c r="D10" s="60" t="n">
        <f aca="false">INDEX(DaPrice,C34+3,0)</f>
        <v>18</v>
      </c>
      <c r="E10" s="50" t="n">
        <f aca="false">VLOOKUP(A10,Gas,4,FALSE())</f>
        <v>4.64</v>
      </c>
      <c r="F10" s="50" t="n">
        <f aca="false">VLOOKUP(A10,Gas,5,FALSE())</f>
        <v>4.64</v>
      </c>
      <c r="G10" s="51" t="n">
        <f aca="false">VLOOKUP(A10,Bogey,2,FALSE())</f>
        <v>59.38</v>
      </c>
      <c r="H10" s="52" t="n">
        <f aca="false">IF(C10&gt;0,G10-D10,"")</f>
        <v>41.38</v>
      </c>
      <c r="I10" s="53" t="n">
        <f aca="false">IF(C10&gt;0,H10*ABS(C10),"")</f>
        <v>1034.5</v>
      </c>
      <c r="J10" s="54" t="n">
        <f aca="false">IF(C10=0,"",1)</f>
        <v>1</v>
      </c>
      <c r="K10" s="44" t="n">
        <f aca="false">IF(C10=0,"",G10-(D10+1))</f>
        <v>40.38</v>
      </c>
      <c r="L10" s="44" t="n">
        <f aca="false">IF(C10=0,"",C10*J10)</f>
        <v>25</v>
      </c>
      <c r="M10" s="55" t="n">
        <f aca="false">IF(C10=0,"",C10*K10)</f>
        <v>1009.5</v>
      </c>
      <c r="N10" s="56" t="n">
        <f aca="false">IF(C10=0,"",D10)</f>
        <v>18</v>
      </c>
      <c r="O10" s="57" t="n">
        <f aca="false">IF(C10=0,"",D10+1)</f>
        <v>19</v>
      </c>
      <c r="P10" s="44" t="n">
        <f aca="false">IF(C10=0,"",N10*C10)</f>
        <v>450</v>
      </c>
      <c r="Q10" s="58" t="n">
        <f aca="false">IF(C10=0,"",O10*C10)</f>
        <v>475</v>
      </c>
      <c r="R10" s="44"/>
      <c r="S10" s="59" t="n">
        <f aca="false">IF(C10=0,"",L10)</f>
        <v>25</v>
      </c>
      <c r="T10" s="60" t="n">
        <f aca="false">IF(C10=0,"",M10)</f>
        <v>1009.5</v>
      </c>
    </row>
    <row r="11" customFormat="false" ht="12.75" hidden="false" customHeight="false" outlineLevel="0" collapsed="false">
      <c r="A11" s="47" t="n">
        <f aca="false">$C$2</f>
        <v>37016</v>
      </c>
      <c r="B11" s="12" t="n">
        <v>5</v>
      </c>
      <c r="C11" s="48" t="n">
        <f aca="false">INDEX(DaMw,C34+4,0)</f>
        <v>25</v>
      </c>
      <c r="D11" s="60" t="n">
        <f aca="false">INDEX(DaPrice,C34+4,0)</f>
        <v>18</v>
      </c>
      <c r="E11" s="50" t="n">
        <f aca="false">VLOOKUP(A11,Gas,4,FALSE())</f>
        <v>4.64</v>
      </c>
      <c r="F11" s="50" t="n">
        <f aca="false">VLOOKUP(A11,Gas,5,FALSE())</f>
        <v>4.64</v>
      </c>
      <c r="G11" s="51" t="n">
        <f aca="false">VLOOKUP(A11,Bogey,2,FALSE())</f>
        <v>59.38</v>
      </c>
      <c r="H11" s="52" t="n">
        <f aca="false">IF(C11&gt;0,G11-D11,"")</f>
        <v>41.38</v>
      </c>
      <c r="I11" s="53" t="n">
        <f aca="false">IF(C11&gt;0,H11*ABS(C11),"")</f>
        <v>1034.5</v>
      </c>
      <c r="J11" s="54" t="n">
        <f aca="false">IF(C11=0,"",1)</f>
        <v>1</v>
      </c>
      <c r="K11" s="44" t="n">
        <f aca="false">IF(C11=0,"",G11-(D11+1))</f>
        <v>40.38</v>
      </c>
      <c r="L11" s="44" t="n">
        <f aca="false">IF(C11=0,"",C11*J11)</f>
        <v>25</v>
      </c>
      <c r="M11" s="55" t="n">
        <f aca="false">IF(C11=0,"",C11*K11)</f>
        <v>1009.5</v>
      </c>
      <c r="N11" s="56" t="n">
        <f aca="false">IF(C11=0,"",D11)</f>
        <v>18</v>
      </c>
      <c r="O11" s="57" t="n">
        <f aca="false">IF(C11=0,"",D11+1)</f>
        <v>19</v>
      </c>
      <c r="P11" s="44" t="n">
        <f aca="false">IF(C11=0,"",N11*C11)</f>
        <v>450</v>
      </c>
      <c r="Q11" s="58" t="n">
        <f aca="false">IF(C11=0,"",O11*C11)</f>
        <v>475</v>
      </c>
      <c r="R11" s="44"/>
      <c r="S11" s="59" t="n">
        <f aca="false">IF(C11=0,"",L11)</f>
        <v>25</v>
      </c>
      <c r="T11" s="60" t="n">
        <f aca="false">IF(C11=0,"",M11)</f>
        <v>1009.5</v>
      </c>
    </row>
    <row r="12" customFormat="false" ht="12.75" hidden="false" customHeight="false" outlineLevel="0" collapsed="false">
      <c r="A12" s="47" t="n">
        <f aca="false">$C$2</f>
        <v>37016</v>
      </c>
      <c r="B12" s="12" t="n">
        <v>6</v>
      </c>
      <c r="C12" s="48" t="n">
        <f aca="false">INDEX(DaMw,C34+5,0)</f>
        <v>25</v>
      </c>
      <c r="D12" s="60" t="n">
        <f aca="false">INDEX(DaPrice,C34+5,0)</f>
        <v>18</v>
      </c>
      <c r="E12" s="50" t="n">
        <f aca="false">VLOOKUP(A12,Gas,4,FALSE())</f>
        <v>4.64</v>
      </c>
      <c r="F12" s="50" t="n">
        <f aca="false">VLOOKUP(A12,Gas,5,FALSE())</f>
        <v>4.64</v>
      </c>
      <c r="G12" s="51" t="n">
        <f aca="false">VLOOKUP(A12,Bogey,2,FALSE())</f>
        <v>59.38</v>
      </c>
      <c r="H12" s="52" t="n">
        <f aca="false">IF(C12&gt;0,G12-D12,"")</f>
        <v>41.38</v>
      </c>
      <c r="I12" s="53" t="n">
        <f aca="false">IF(C12&gt;0,H12*ABS(C12),"")</f>
        <v>1034.5</v>
      </c>
      <c r="J12" s="54" t="n">
        <f aca="false">IF(C12=0,"",1)</f>
        <v>1</v>
      </c>
      <c r="K12" s="44" t="n">
        <f aca="false">IF(C12=0,"",G12-(D12+1))</f>
        <v>40.38</v>
      </c>
      <c r="L12" s="44" t="n">
        <f aca="false">IF(C12=0,"",C12*J12)</f>
        <v>25</v>
      </c>
      <c r="M12" s="55" t="n">
        <f aca="false">IF(C12=0,"",C12*K12)</f>
        <v>1009.5</v>
      </c>
      <c r="N12" s="56" t="n">
        <f aca="false">IF(C12=0,"",D12)</f>
        <v>18</v>
      </c>
      <c r="O12" s="57" t="n">
        <f aca="false">IF(C12=0,"",D12+1)</f>
        <v>19</v>
      </c>
      <c r="P12" s="44" t="n">
        <f aca="false">IF(C12=0,"",N12*C12)</f>
        <v>450</v>
      </c>
      <c r="Q12" s="58" t="n">
        <f aca="false">IF(C12=0,"",O12*C12)</f>
        <v>475</v>
      </c>
      <c r="R12" s="44"/>
      <c r="S12" s="59" t="n">
        <f aca="false">IF(C12=0,"",L12)</f>
        <v>25</v>
      </c>
      <c r="T12" s="60" t="n">
        <f aca="false">IF(C12=0,"",M12)</f>
        <v>1009.5</v>
      </c>
    </row>
    <row r="13" customFormat="false" ht="12.75" hidden="false" customHeight="false" outlineLevel="0" collapsed="false">
      <c r="A13" s="47" t="n">
        <f aca="false">$C$2</f>
        <v>37016</v>
      </c>
      <c r="B13" s="12" t="n">
        <v>7</v>
      </c>
      <c r="C13" s="48" t="n">
        <f aca="false">INDEX(DaMw,C34+6,0)</f>
        <v>18.1037882843861</v>
      </c>
      <c r="D13" s="60" t="n">
        <f aca="false">INDEX(DaPrice,C34+6,0)</f>
        <v>34.5</v>
      </c>
      <c r="E13" s="50" t="n">
        <f aca="false">VLOOKUP(A13,Gas,4,FALSE())</f>
        <v>4.64</v>
      </c>
      <c r="F13" s="50" t="n">
        <f aca="false">VLOOKUP(A13,Gas,5,FALSE())</f>
        <v>4.64</v>
      </c>
      <c r="G13" s="51" t="n">
        <f aca="false">VLOOKUP(A13,Bogey,2,FALSE())</f>
        <v>59.38</v>
      </c>
      <c r="H13" s="52" t="n">
        <f aca="false">IF(C13&gt;0,G13-D13,"")</f>
        <v>24.88</v>
      </c>
      <c r="I13" s="53" t="n">
        <f aca="false">IF(C13&gt;0,H13*ABS(C13),"")</f>
        <v>450.422252515526</v>
      </c>
      <c r="J13" s="54" t="n">
        <f aca="false">IF($C13=0,"",$H13*0.4)</f>
        <v>9.952</v>
      </c>
      <c r="K13" s="49" t="n">
        <f aca="false">IF($C13=0,"",$H13*0.6)</f>
        <v>14.928</v>
      </c>
      <c r="L13" s="49" t="n">
        <f aca="false">IF(C13=0,"",J13*$C13)</f>
        <v>180.16890100621</v>
      </c>
      <c r="M13" s="55" t="n">
        <f aca="false">IF(C13=0,"",C13*K13)</f>
        <v>270.253351509315</v>
      </c>
      <c r="N13" s="56" t="n">
        <f aca="false">IF(C13=0,"",D13)</f>
        <v>34.5</v>
      </c>
      <c r="O13" s="57" t="n">
        <f aca="false">IF(C13=0,"",D13+J13)</f>
        <v>44.452</v>
      </c>
      <c r="P13" s="44" t="n">
        <f aca="false">IF(C13=0,"",N13*C13)</f>
        <v>624.580695811319</v>
      </c>
      <c r="Q13" s="58" t="n">
        <f aca="false">IF(C13=0,"",O13*C13)</f>
        <v>804.74959681753</v>
      </c>
      <c r="R13" s="44"/>
      <c r="S13" s="59" t="n">
        <f aca="false">IF(C13=0,"",L13)</f>
        <v>180.16890100621</v>
      </c>
      <c r="T13" s="60" t="n">
        <f aca="false">IF(C13=0,"",M13)</f>
        <v>270.253351509315</v>
      </c>
    </row>
    <row r="14" customFormat="false" ht="12.75" hidden="false" customHeight="false" outlineLevel="0" collapsed="false">
      <c r="A14" s="47" t="n">
        <f aca="false">$C$2</f>
        <v>37016</v>
      </c>
      <c r="B14" s="12" t="n">
        <v>8</v>
      </c>
      <c r="C14" s="48" t="n">
        <f aca="false">INDEX(DaMw,C34+7,0)</f>
        <v>19.565131057283</v>
      </c>
      <c r="D14" s="60" t="n">
        <f aca="false">INDEX(DaPrice,C34+7,0)</f>
        <v>34.5</v>
      </c>
      <c r="E14" s="50" t="n">
        <f aca="false">VLOOKUP(A14,Gas,4,FALSE())</f>
        <v>4.64</v>
      </c>
      <c r="F14" s="50" t="n">
        <f aca="false">VLOOKUP(A14,Gas,5,FALSE())</f>
        <v>4.64</v>
      </c>
      <c r="G14" s="51" t="n">
        <f aca="false">VLOOKUP(A14,Bogey,2,FALSE())</f>
        <v>59.38</v>
      </c>
      <c r="H14" s="52" t="n">
        <f aca="false">IF(C14&gt;0,G14-D14,"")</f>
        <v>24.88</v>
      </c>
      <c r="I14" s="53" t="n">
        <f aca="false">IF(C14&gt;0,H14*ABS(C14),"")</f>
        <v>486.780460705201</v>
      </c>
      <c r="J14" s="54" t="n">
        <f aca="false">IF($C14=0,"",$H14*0.4)</f>
        <v>9.952</v>
      </c>
      <c r="K14" s="49" t="n">
        <f aca="false">IF($C14=0,"",$H14*0.6)</f>
        <v>14.928</v>
      </c>
      <c r="L14" s="49" t="n">
        <f aca="false">IF(C14=0,"",J14*$C14)</f>
        <v>194.71218428208</v>
      </c>
      <c r="M14" s="55" t="n">
        <f aca="false">IF(C14=0,"",C14*K14)</f>
        <v>292.068276423121</v>
      </c>
      <c r="N14" s="56" t="n">
        <f aca="false">IF(C14=0,"",D14)</f>
        <v>34.5</v>
      </c>
      <c r="O14" s="57" t="n">
        <f aca="false">IF(C14=0,"",D14+J14)</f>
        <v>44.452</v>
      </c>
      <c r="P14" s="44" t="n">
        <f aca="false">IF(C14=0,"",N14*C14)</f>
        <v>674.997021476264</v>
      </c>
      <c r="Q14" s="58" t="n">
        <f aca="false">IF(C14=0,"",O14*C14)</f>
        <v>869.709205758344</v>
      </c>
      <c r="R14" s="44"/>
      <c r="S14" s="59" t="n">
        <f aca="false">IF(C14=0,"",L14)</f>
        <v>194.71218428208</v>
      </c>
      <c r="T14" s="60" t="n">
        <f aca="false">IF(C14=0,"",M14)</f>
        <v>292.068276423121</v>
      </c>
    </row>
    <row r="15" customFormat="false" ht="12.75" hidden="false" customHeight="false" outlineLevel="0" collapsed="false">
      <c r="A15" s="47" t="n">
        <f aca="false">$C$2</f>
        <v>37016</v>
      </c>
      <c r="B15" s="12" t="n">
        <v>9</v>
      </c>
      <c r="C15" s="48" t="n">
        <f aca="false">INDEX(DaMw,C34+8,0)</f>
        <v>22.1724732613998</v>
      </c>
      <c r="D15" s="60" t="n">
        <f aca="false">INDEX(DaPrice,C34+8,0)</f>
        <v>34.5</v>
      </c>
      <c r="E15" s="50" t="n">
        <f aca="false">VLOOKUP(A15,Gas,4,FALSE())</f>
        <v>4.64</v>
      </c>
      <c r="F15" s="50" t="n">
        <f aca="false">VLOOKUP(A15,Gas,5,FALSE())</f>
        <v>4.64</v>
      </c>
      <c r="G15" s="51" t="n">
        <f aca="false">VLOOKUP(A15,Bogey,2,FALSE())</f>
        <v>59.38</v>
      </c>
      <c r="H15" s="52" t="n">
        <f aca="false">IF(C15&gt;0,G15-D15,"")</f>
        <v>24.88</v>
      </c>
      <c r="I15" s="53" t="n">
        <f aca="false">IF(C15&gt;0,H15*ABS(C15),"")</f>
        <v>551.651134743627</v>
      </c>
      <c r="J15" s="54" t="n">
        <f aca="false">IF($C15=0,"",$H15*0.4)</f>
        <v>9.952</v>
      </c>
      <c r="K15" s="49" t="n">
        <f aca="false">IF($C15=0,"",$H15*0.6)</f>
        <v>14.928</v>
      </c>
      <c r="L15" s="49" t="n">
        <f aca="false">IF(C15=0,"",J15*$C15)</f>
        <v>220.660453897451</v>
      </c>
      <c r="M15" s="55" t="n">
        <f aca="false">IF(C15=0,"",C15*K15)</f>
        <v>330.990680846176</v>
      </c>
      <c r="N15" s="56" t="n">
        <f aca="false">IF(C15=0,"",D15)</f>
        <v>34.5</v>
      </c>
      <c r="O15" s="57" t="n">
        <f aca="false">IF(C15=0,"",D15+J15)</f>
        <v>44.452</v>
      </c>
      <c r="P15" s="44" t="n">
        <f aca="false">IF(C15=0,"",N15*C15)</f>
        <v>764.950327518293</v>
      </c>
      <c r="Q15" s="58" t="n">
        <f aca="false">IF(C15=0,"",O15*C15)</f>
        <v>985.610781415744</v>
      </c>
      <c r="R15" s="44"/>
      <c r="S15" s="59" t="n">
        <f aca="false">IF(C15=0,"",L15)</f>
        <v>220.660453897451</v>
      </c>
      <c r="T15" s="60" t="n">
        <f aca="false">IF(C15=0,"",M15)</f>
        <v>330.990680846176</v>
      </c>
    </row>
    <row r="16" customFormat="false" ht="12.75" hidden="false" customHeight="false" outlineLevel="0" collapsed="false">
      <c r="A16" s="47" t="n">
        <f aca="false">$C$2</f>
        <v>37016</v>
      </c>
      <c r="B16" s="12" t="n">
        <v>10</v>
      </c>
      <c r="C16" s="48" t="n">
        <f aca="false">INDEX(DaMw,C34+9,0)</f>
        <v>25.3974372093779</v>
      </c>
      <c r="D16" s="60" t="n">
        <f aca="false">INDEX(DaPrice,C34+9,0)</f>
        <v>34.5</v>
      </c>
      <c r="E16" s="50" t="n">
        <f aca="false">VLOOKUP(A16,Gas,4,FALSE())</f>
        <v>4.64</v>
      </c>
      <c r="F16" s="50" t="n">
        <f aca="false">VLOOKUP(A16,Gas,5,FALSE())</f>
        <v>4.64</v>
      </c>
      <c r="G16" s="51" t="n">
        <f aca="false">VLOOKUP(A16,Bogey,2,FALSE())</f>
        <v>59.38</v>
      </c>
      <c r="H16" s="52" t="n">
        <f aca="false">IF(C16&gt;0,G16-D16,"")</f>
        <v>24.88</v>
      </c>
      <c r="I16" s="53" t="n">
        <f aca="false">IF(C16&gt;0,H16*ABS(C16),"")</f>
        <v>631.888237769322</v>
      </c>
      <c r="J16" s="54" t="n">
        <f aca="false">IF($C16=0,"",$H16*0.4)</f>
        <v>9.952</v>
      </c>
      <c r="K16" s="49" t="n">
        <f aca="false">IF($C16=0,"",$H16*0.6)</f>
        <v>14.928</v>
      </c>
      <c r="L16" s="49" t="n">
        <f aca="false">IF(C16=0,"",J16*$C16)</f>
        <v>252.755295107729</v>
      </c>
      <c r="M16" s="55" t="n">
        <f aca="false">IF(C16=0,"",C16*K16)</f>
        <v>379.132942661593</v>
      </c>
      <c r="N16" s="56" t="n">
        <f aca="false">IF(C16=0,"",D16)</f>
        <v>34.5</v>
      </c>
      <c r="O16" s="57" t="n">
        <f aca="false">IF(C16=0,"",D16+J16)</f>
        <v>44.452</v>
      </c>
      <c r="P16" s="44" t="n">
        <f aca="false">IF(C16=0,"",N16*C16)</f>
        <v>876.211583723538</v>
      </c>
      <c r="Q16" s="58" t="n">
        <f aca="false">IF(C16=0,"",O16*C16)</f>
        <v>1128.96687883127</v>
      </c>
      <c r="R16" s="44"/>
      <c r="S16" s="59" t="n">
        <f aca="false">IF(C16=0,"",L16)</f>
        <v>252.755295107729</v>
      </c>
      <c r="T16" s="60" t="n">
        <f aca="false">IF(C16=0,"",M16)</f>
        <v>379.132942661593</v>
      </c>
    </row>
    <row r="17" customFormat="false" ht="12.75" hidden="false" customHeight="false" outlineLevel="0" collapsed="false">
      <c r="A17" s="47" t="n">
        <f aca="false">$C$2</f>
        <v>37016</v>
      </c>
      <c r="B17" s="12" t="n">
        <v>11</v>
      </c>
      <c r="C17" s="48" t="n">
        <f aca="false">INDEX(DaMw,C34+10,0)</f>
        <v>27.6339170851557</v>
      </c>
      <c r="D17" s="60" t="n">
        <f aca="false">INDEX(DaPrice,C34+10,0)</f>
        <v>34.5</v>
      </c>
      <c r="E17" s="50" t="n">
        <f aca="false">VLOOKUP(A17,Gas,4,FALSE())</f>
        <v>4.64</v>
      </c>
      <c r="F17" s="50" t="n">
        <f aca="false">VLOOKUP(A17,Gas,5,FALSE())</f>
        <v>4.64</v>
      </c>
      <c r="G17" s="51" t="n">
        <f aca="false">VLOOKUP(A17,Bogey,2,FALSE())</f>
        <v>59.38</v>
      </c>
      <c r="H17" s="52" t="n">
        <f aca="false">IF(C17&gt;0,G17-D17,"")</f>
        <v>24.88</v>
      </c>
      <c r="I17" s="53" t="n">
        <f aca="false">IF(C17&gt;0,H17*ABS(C17),"")</f>
        <v>687.531857078674</v>
      </c>
      <c r="J17" s="54" t="n">
        <f aca="false">IF($C17=0,"",$H17*0.4)</f>
        <v>9.952</v>
      </c>
      <c r="K17" s="49" t="n">
        <f aca="false">IF($C17=0,"",$H17*0.6)</f>
        <v>14.928</v>
      </c>
      <c r="L17" s="49" t="n">
        <f aca="false">IF(C17=0,"",J17*$C17)</f>
        <v>275.01274283147</v>
      </c>
      <c r="M17" s="55" t="n">
        <f aca="false">IF(C17=0,"",C17*K17)</f>
        <v>412.519114247204</v>
      </c>
      <c r="N17" s="56" t="n">
        <f aca="false">IF(C17=0,"",D17)</f>
        <v>34.5</v>
      </c>
      <c r="O17" s="57" t="n">
        <f aca="false">IF(C17=0,"",D17+J17)</f>
        <v>44.452</v>
      </c>
      <c r="P17" s="44" t="n">
        <f aca="false">IF(C17=0,"",N17*C17)</f>
        <v>953.370139437872</v>
      </c>
      <c r="Q17" s="58" t="n">
        <f aca="false">IF(C17=0,"",O17*C17)</f>
        <v>1228.38288226934</v>
      </c>
      <c r="R17" s="44"/>
      <c r="S17" s="59" t="n">
        <f aca="false">IF(C17=0,"",L17)</f>
        <v>275.01274283147</v>
      </c>
      <c r="T17" s="60" t="n">
        <f aca="false">IF(C17=0,"",M17)</f>
        <v>412.519114247204</v>
      </c>
    </row>
    <row r="18" customFormat="false" ht="12.75" hidden="false" customHeight="false" outlineLevel="0" collapsed="false">
      <c r="A18" s="47" t="n">
        <f aca="false">$C$2</f>
        <v>37016</v>
      </c>
      <c r="B18" s="12" t="n">
        <v>12</v>
      </c>
      <c r="C18" s="48" t="n">
        <f aca="false">INDEX(DaMw,C34+11,0)</f>
        <v>29.5605542729459</v>
      </c>
      <c r="D18" s="60" t="n">
        <f aca="false">INDEX(DaPrice,C34+11,0)</f>
        <v>34.5</v>
      </c>
      <c r="E18" s="50" t="n">
        <f aca="false">VLOOKUP(A18,Gas,4,FALSE())</f>
        <v>4.64</v>
      </c>
      <c r="F18" s="50" t="n">
        <f aca="false">VLOOKUP(A18,Gas,5,FALSE())</f>
        <v>4.64</v>
      </c>
      <c r="G18" s="51" t="n">
        <f aca="false">VLOOKUP(A18,Bogey,2,FALSE())</f>
        <v>59.38</v>
      </c>
      <c r="H18" s="52" t="n">
        <f aca="false">IF(C18&gt;0,G18-D18,"")</f>
        <v>24.88</v>
      </c>
      <c r="I18" s="53" t="n">
        <f aca="false">IF(C18&gt;0,H18*ABS(C18),"")</f>
        <v>735.466590310894</v>
      </c>
      <c r="J18" s="54" t="n">
        <f aca="false">IF($C18=0,"",$H18*0.4)</f>
        <v>9.952</v>
      </c>
      <c r="K18" s="49" t="n">
        <f aca="false">IF($C18=0,"",$H18*0.6)</f>
        <v>14.928</v>
      </c>
      <c r="L18" s="49" t="n">
        <f aca="false">IF(C18=0,"",J18*$C18)</f>
        <v>294.186636124358</v>
      </c>
      <c r="M18" s="55" t="n">
        <f aca="false">IF(C18=0,"",C18*K18)</f>
        <v>441.279954186536</v>
      </c>
      <c r="N18" s="56" t="n">
        <f aca="false">IF(C18=0,"",D18)</f>
        <v>34.5</v>
      </c>
      <c r="O18" s="57" t="n">
        <f aca="false">IF(C18=0,"",D18+J18)</f>
        <v>44.452</v>
      </c>
      <c r="P18" s="44" t="n">
        <f aca="false">IF(C18=0,"",N18*C18)</f>
        <v>1019.83912241663</v>
      </c>
      <c r="Q18" s="58" t="n">
        <f aca="false">IF(C18=0,"",O18*C18)</f>
        <v>1314.02575854099</v>
      </c>
      <c r="R18" s="44"/>
      <c r="S18" s="59" t="n">
        <f aca="false">IF(C18=0,"",L18)</f>
        <v>294.186636124358</v>
      </c>
      <c r="T18" s="60" t="n">
        <f aca="false">IF(C18=0,"",M18)</f>
        <v>441.279954186536</v>
      </c>
    </row>
    <row r="19" customFormat="false" ht="12.75" hidden="false" customHeight="false" outlineLevel="0" collapsed="false">
      <c r="A19" s="47" t="n">
        <f aca="false">$C$2</f>
        <v>37016</v>
      </c>
      <c r="B19" s="12" t="n">
        <v>13</v>
      </c>
      <c r="C19" s="48" t="n">
        <f aca="false">INDEX(DaMw,C34+12,0)</f>
        <v>30.7445492318701</v>
      </c>
      <c r="D19" s="60" t="n">
        <f aca="false">INDEX(DaPrice,C34+12,0)</f>
        <v>34.5</v>
      </c>
      <c r="E19" s="50" t="n">
        <f aca="false">VLOOKUP(A19,Gas,4,FALSE())</f>
        <v>4.64</v>
      </c>
      <c r="F19" s="50" t="n">
        <f aca="false">VLOOKUP(A19,Gas,5,FALSE())</f>
        <v>4.64</v>
      </c>
      <c r="G19" s="51" t="n">
        <f aca="false">VLOOKUP(A19,Bogey,2,FALSE())</f>
        <v>59.38</v>
      </c>
      <c r="H19" s="52" t="n">
        <f aca="false">IF(C19&gt;0,G19-D19,"")</f>
        <v>24.88</v>
      </c>
      <c r="I19" s="53" t="n">
        <f aca="false">IF(C19&gt;0,H19*ABS(C19),"")</f>
        <v>764.924384888928</v>
      </c>
      <c r="J19" s="54" t="n">
        <f aca="false">IF($C19=0,"",$H19*0.4)</f>
        <v>9.952</v>
      </c>
      <c r="K19" s="49" t="n">
        <f aca="false">IF($C19=0,"",$H19*0.6)</f>
        <v>14.928</v>
      </c>
      <c r="L19" s="49" t="n">
        <f aca="false">IF(C19=0,"",J19*$C19)</f>
        <v>305.969753955571</v>
      </c>
      <c r="M19" s="55" t="n">
        <f aca="false">IF(C19=0,"",C19*K19)</f>
        <v>458.954630933357</v>
      </c>
      <c r="N19" s="56" t="n">
        <f aca="false">IF(C19=0,"",D19)</f>
        <v>34.5</v>
      </c>
      <c r="O19" s="57" t="n">
        <f aca="false">IF(C19=0,"",D19+J19)</f>
        <v>44.452</v>
      </c>
      <c r="P19" s="44" t="n">
        <f aca="false">IF(C19=0,"",N19*C19)</f>
        <v>1060.68694849952</v>
      </c>
      <c r="Q19" s="58" t="n">
        <f aca="false">IF(C19=0,"",O19*C19)</f>
        <v>1366.65670245509</v>
      </c>
      <c r="R19" s="44"/>
      <c r="S19" s="59" t="n">
        <f aca="false">IF(C19=0,"",L19)</f>
        <v>305.969753955571</v>
      </c>
      <c r="T19" s="60" t="n">
        <f aca="false">IF(C19=0,"",M19)</f>
        <v>458.954630933357</v>
      </c>
    </row>
    <row r="20" customFormat="false" ht="12.75" hidden="false" customHeight="false" outlineLevel="0" collapsed="false">
      <c r="A20" s="47" t="n">
        <f aca="false">$C$2</f>
        <v>37016</v>
      </c>
      <c r="B20" s="12" t="n">
        <v>14</v>
      </c>
      <c r="C20" s="48" t="n">
        <f aca="false">INDEX(DaMw,C34+13,0)</f>
        <v>31.9444507445587</v>
      </c>
      <c r="D20" s="60" t="n">
        <f aca="false">INDEX(DaPrice,C34+13,0)</f>
        <v>34.5</v>
      </c>
      <c r="E20" s="50" t="n">
        <f aca="false">VLOOKUP(A20,Gas,4,FALSE())</f>
        <v>4.64</v>
      </c>
      <c r="F20" s="50" t="n">
        <f aca="false">VLOOKUP(A20,Gas,5,FALSE())</f>
        <v>4.64</v>
      </c>
      <c r="G20" s="51" t="n">
        <f aca="false">VLOOKUP(A20,Bogey,2,FALSE())</f>
        <v>59.38</v>
      </c>
      <c r="H20" s="52" t="n">
        <f aca="false">IF(C20&gt;0,G20-D20,"")</f>
        <v>24.88</v>
      </c>
      <c r="I20" s="53" t="n">
        <f aca="false">IF(C20&gt;0,H20*ABS(C20),"")</f>
        <v>794.777934524621</v>
      </c>
      <c r="J20" s="54" t="n">
        <f aca="false">IF($C20=0,"",$H20*0.4)</f>
        <v>9.952</v>
      </c>
      <c r="K20" s="49" t="n">
        <f aca="false">IF($C20=0,"",$H20*0.6)</f>
        <v>14.928</v>
      </c>
      <c r="L20" s="49" t="n">
        <f aca="false">IF(C20=0,"",J20*$C20)</f>
        <v>317.911173809848</v>
      </c>
      <c r="M20" s="55" t="n">
        <f aca="false">IF(C20=0,"",C20*K20)</f>
        <v>476.866760714772</v>
      </c>
      <c r="N20" s="56" t="n">
        <f aca="false">IF(C20=0,"",D20)</f>
        <v>34.5</v>
      </c>
      <c r="O20" s="57" t="n">
        <f aca="false">IF(C20=0,"",D20+J20)</f>
        <v>44.452</v>
      </c>
      <c r="P20" s="44" t="n">
        <f aca="false">IF(C20=0,"",N20*C20)</f>
        <v>1102.08355068728</v>
      </c>
      <c r="Q20" s="58" t="n">
        <f aca="false">IF(C20=0,"",O20*C20)</f>
        <v>1419.99472449712</v>
      </c>
      <c r="R20" s="44"/>
      <c r="S20" s="59" t="n">
        <f aca="false">IF(C20=0,"",L20)</f>
        <v>317.911173809848</v>
      </c>
      <c r="T20" s="60" t="n">
        <f aca="false">IF(C20=0,"",M20)</f>
        <v>476.866760714772</v>
      </c>
    </row>
    <row r="21" customFormat="false" ht="12.75" hidden="false" customHeight="false" outlineLevel="0" collapsed="false">
      <c r="A21" s="47" t="n">
        <f aca="false">$C$2</f>
        <v>37016</v>
      </c>
      <c r="B21" s="12" t="n">
        <v>15</v>
      </c>
      <c r="C21" s="48" t="n">
        <f aca="false">INDEX(DaMw,C34+14,0)</f>
        <v>32.7063808528645</v>
      </c>
      <c r="D21" s="60" t="n">
        <f aca="false">INDEX(DaPrice,C34+14,0)</f>
        <v>34.5</v>
      </c>
      <c r="E21" s="50" t="n">
        <f aca="false">VLOOKUP(A21,Gas,4,FALSE())</f>
        <v>4.64</v>
      </c>
      <c r="F21" s="50" t="n">
        <f aca="false">VLOOKUP(A21,Gas,5,FALSE())</f>
        <v>4.64</v>
      </c>
      <c r="G21" s="51" t="n">
        <f aca="false">VLOOKUP(A21,Bogey,2,FALSE())</f>
        <v>59.38</v>
      </c>
      <c r="H21" s="52" t="n">
        <f aca="false">IF(C21&gt;0,G21-D21,"")</f>
        <v>24.88</v>
      </c>
      <c r="I21" s="53" t="n">
        <f aca="false">IF(C21&gt;0,H21*ABS(C21),"")</f>
        <v>813.734755619269</v>
      </c>
      <c r="J21" s="54" t="n">
        <f aca="false">IF($C21=0,"",$H21*0.4)</f>
        <v>9.952</v>
      </c>
      <c r="K21" s="49" t="n">
        <f aca="false">IF($C21=0,"",$H21*0.6)</f>
        <v>14.928</v>
      </c>
      <c r="L21" s="49" t="n">
        <f aca="false">IF(C21=0,"",J21*$C21)</f>
        <v>325.493902247708</v>
      </c>
      <c r="M21" s="55" t="n">
        <f aca="false">IF(C21=0,"",C21*K21)</f>
        <v>488.240853371561</v>
      </c>
      <c r="N21" s="56" t="n">
        <f aca="false">IF(C21=0,"",D21)</f>
        <v>34.5</v>
      </c>
      <c r="O21" s="57" t="n">
        <f aca="false">IF(C21=0,"",D21+J21)</f>
        <v>44.452</v>
      </c>
      <c r="P21" s="44" t="n">
        <f aca="false">IF(C21=0,"",N21*C21)</f>
        <v>1128.37013942383</v>
      </c>
      <c r="Q21" s="58" t="n">
        <f aca="false">IF(C21=0,"",O21*C21)</f>
        <v>1453.86404167153</v>
      </c>
      <c r="R21" s="44"/>
      <c r="S21" s="59" t="n">
        <f aca="false">IF(C21=0,"",L21)</f>
        <v>325.493902247708</v>
      </c>
      <c r="T21" s="60" t="n">
        <f aca="false">IF(C21=0,"",M21)</f>
        <v>488.240853371561</v>
      </c>
    </row>
    <row r="22" customFormat="false" ht="12.75" hidden="false" customHeight="false" outlineLevel="0" collapsed="false">
      <c r="A22" s="47" t="n">
        <f aca="false">$C$2</f>
        <v>37016</v>
      </c>
      <c r="B22" s="12" t="n">
        <v>16</v>
      </c>
      <c r="C22" s="48" t="n">
        <f aca="false">INDEX(DaMw,C34+15,0)</f>
        <v>33.3887061663213</v>
      </c>
      <c r="D22" s="60" t="n">
        <f aca="false">INDEX(DaPrice,C34+15,0)</f>
        <v>34.5</v>
      </c>
      <c r="E22" s="50" t="n">
        <f aca="false">VLOOKUP(A22,Gas,4,FALSE())</f>
        <v>4.64</v>
      </c>
      <c r="F22" s="50" t="n">
        <f aca="false">VLOOKUP(A22,Gas,5,FALSE())</f>
        <v>4.64</v>
      </c>
      <c r="G22" s="51" t="n">
        <f aca="false">VLOOKUP(A22,Bogey,2,FALSE())</f>
        <v>59.38</v>
      </c>
      <c r="H22" s="52" t="n">
        <f aca="false">IF(C22&gt;0,G22-D22,"")</f>
        <v>24.88</v>
      </c>
      <c r="I22" s="53" t="n">
        <f aca="false">IF(C22&gt;0,H22*ABS(C22),"")</f>
        <v>830.711009418074</v>
      </c>
      <c r="J22" s="54" t="n">
        <f aca="false">IF($C22=0,"",$H22*0.4)</f>
        <v>9.952</v>
      </c>
      <c r="K22" s="49" t="n">
        <f aca="false">IF($C22=0,"",$H22*0.6)</f>
        <v>14.928</v>
      </c>
      <c r="L22" s="49" t="n">
        <f aca="false">IF(C22=0,"",J22*$C22)</f>
        <v>332.28440376723</v>
      </c>
      <c r="M22" s="55" t="n">
        <f aca="false">IF(C22=0,"",C22*K22)</f>
        <v>498.426605650844</v>
      </c>
      <c r="N22" s="56" t="n">
        <f aca="false">IF(C22=0,"",D22)</f>
        <v>34.5</v>
      </c>
      <c r="O22" s="57" t="n">
        <f aca="false">IF(C22=0,"",D22+J22)</f>
        <v>44.452</v>
      </c>
      <c r="P22" s="44" t="n">
        <f aca="false">IF(C22=0,"",N22*C22)</f>
        <v>1151.91036273808</v>
      </c>
      <c r="Q22" s="58" t="n">
        <f aca="false">IF(C22=0,"",O22*C22)</f>
        <v>1484.19476650531</v>
      </c>
      <c r="R22" s="44"/>
      <c r="S22" s="59" t="n">
        <f aca="false">IF(C22=0,"",L22)</f>
        <v>332.28440376723</v>
      </c>
      <c r="T22" s="60" t="n">
        <f aca="false">IF(C22=0,"",M22)</f>
        <v>498.426605650844</v>
      </c>
    </row>
    <row r="23" customFormat="false" ht="12.75" hidden="false" customHeight="false" outlineLevel="0" collapsed="false">
      <c r="A23" s="47" t="n">
        <f aca="false">$C$2</f>
        <v>37016</v>
      </c>
      <c r="B23" s="12" t="n">
        <v>17</v>
      </c>
      <c r="C23" s="48" t="n">
        <f aca="false">INDEX(DaMw,C34+16,0)</f>
        <v>33.4202613029124</v>
      </c>
      <c r="D23" s="60" t="n">
        <f aca="false">INDEX(DaPrice,C34+16,0)</f>
        <v>34.5</v>
      </c>
      <c r="E23" s="50" t="n">
        <f aca="false">VLOOKUP(A23,Gas,4,FALSE())</f>
        <v>4.64</v>
      </c>
      <c r="F23" s="50" t="n">
        <f aca="false">VLOOKUP(A23,Gas,5,FALSE())</f>
        <v>4.64</v>
      </c>
      <c r="G23" s="51" t="n">
        <f aca="false">VLOOKUP(A23,Bogey,2,FALSE())</f>
        <v>59.38</v>
      </c>
      <c r="H23" s="52" t="n">
        <f aca="false">IF(C23&gt;0,G23-D23,"")</f>
        <v>24.88</v>
      </c>
      <c r="I23" s="53" t="n">
        <f aca="false">IF(C23&gt;0,H23*ABS(C23),"")</f>
        <v>831.496101216461</v>
      </c>
      <c r="J23" s="54" t="n">
        <f aca="false">IF($C23=0,"",$H23*0.4)</f>
        <v>9.952</v>
      </c>
      <c r="K23" s="49" t="n">
        <f aca="false">IF($C23=0,"",$H23*0.6)</f>
        <v>14.928</v>
      </c>
      <c r="L23" s="49" t="n">
        <f aca="false">IF(C23=0,"",J23*$C23)</f>
        <v>332.598440486584</v>
      </c>
      <c r="M23" s="55" t="n">
        <f aca="false">IF(C23=0,"",C23*K23)</f>
        <v>498.897660729876</v>
      </c>
      <c r="N23" s="56" t="n">
        <f aca="false">IF(C23=0,"",D23)</f>
        <v>34.5</v>
      </c>
      <c r="O23" s="57" t="n">
        <f aca="false">IF(C23=0,"",D23+J23)</f>
        <v>44.452</v>
      </c>
      <c r="P23" s="44" t="n">
        <f aca="false">IF(C23=0,"",N23*C23)</f>
        <v>1152.99901495048</v>
      </c>
      <c r="Q23" s="58" t="n">
        <f aca="false">IF(C23=0,"",O23*C23)</f>
        <v>1485.59745543706</v>
      </c>
      <c r="R23" s="44"/>
      <c r="S23" s="59" t="n">
        <f aca="false">IF(C23=0,"",L23)</f>
        <v>332.598440486584</v>
      </c>
      <c r="T23" s="60" t="n">
        <f aca="false">IF(C23=0,"",M23)</f>
        <v>498.897660729876</v>
      </c>
    </row>
    <row r="24" customFormat="false" ht="12.75" hidden="false" customHeight="false" outlineLevel="0" collapsed="false">
      <c r="A24" s="47" t="n">
        <f aca="false">$C$2</f>
        <v>37016</v>
      </c>
      <c r="B24" s="12" t="n">
        <v>18</v>
      </c>
      <c r="C24" s="48" t="n">
        <f aca="false">INDEX(DaMw,C34+17,0)</f>
        <v>32.9745996569219</v>
      </c>
      <c r="D24" s="60" t="n">
        <f aca="false">INDEX(DaPrice,C34+17,0)</f>
        <v>34.5</v>
      </c>
      <c r="E24" s="50" t="n">
        <f aca="false">VLOOKUP(A24,Gas,4,FALSE())</f>
        <v>4.64</v>
      </c>
      <c r="F24" s="50" t="n">
        <f aca="false">VLOOKUP(A24,Gas,5,FALSE())</f>
        <v>4.64</v>
      </c>
      <c r="G24" s="51" t="n">
        <f aca="false">VLOOKUP(A24,Bogey,2,FALSE())</f>
        <v>59.38</v>
      </c>
      <c r="H24" s="52" t="n">
        <f aca="false">IF(C24&gt;0,G24-D24,"")</f>
        <v>24.88</v>
      </c>
      <c r="I24" s="53" t="n">
        <f aca="false">IF(C24&gt;0,H24*ABS(C24),"")</f>
        <v>820.408039464217</v>
      </c>
      <c r="J24" s="54" t="n">
        <f aca="false">IF($C24=0,"",$H24*0.4)</f>
        <v>9.952</v>
      </c>
      <c r="K24" s="49" t="n">
        <f aca="false">IF($C24=0,"",$H24*0.6)</f>
        <v>14.928</v>
      </c>
      <c r="L24" s="49" t="n">
        <f aca="false">IF(C24=0,"",J24*$C24)</f>
        <v>328.163215785687</v>
      </c>
      <c r="M24" s="55" t="n">
        <f aca="false">IF(C24=0,"",C24*K24)</f>
        <v>492.24482367853</v>
      </c>
      <c r="N24" s="56" t="n">
        <f aca="false">IF(C24=0,"",D24)</f>
        <v>34.5</v>
      </c>
      <c r="O24" s="57" t="n">
        <f aca="false">IF(C24=0,"",D24+J24)</f>
        <v>44.452</v>
      </c>
      <c r="P24" s="44" t="n">
        <f aca="false">IF(C24=0,"",N24*C24)</f>
        <v>1137.62368816381</v>
      </c>
      <c r="Q24" s="58" t="n">
        <f aca="false">IF(C24=0,"",O24*C24)</f>
        <v>1465.78690394949</v>
      </c>
      <c r="R24" s="44"/>
      <c r="S24" s="59" t="n">
        <f aca="false">IF(C24=0,"",L24)</f>
        <v>328.163215785687</v>
      </c>
      <c r="T24" s="60" t="n">
        <f aca="false">IF(C24=0,"",M24)</f>
        <v>492.24482367853</v>
      </c>
    </row>
    <row r="25" customFormat="false" ht="12.75" hidden="false" customHeight="false" outlineLevel="0" collapsed="false">
      <c r="A25" s="47" t="n">
        <f aca="false">$C$2</f>
        <v>37016</v>
      </c>
      <c r="B25" s="12" t="n">
        <v>19</v>
      </c>
      <c r="C25" s="48" t="n">
        <f aca="false">INDEX(DaMw,C34+18,0)</f>
        <v>33</v>
      </c>
      <c r="D25" s="60" t="n">
        <f aca="false">INDEX(DaPrice,C34+18,0)</f>
        <v>34.5</v>
      </c>
      <c r="E25" s="50" t="n">
        <f aca="false">VLOOKUP(A25,Gas,4,FALSE())</f>
        <v>4.64</v>
      </c>
      <c r="F25" s="50" t="n">
        <f aca="false">VLOOKUP(A25,Gas,5,FALSE())</f>
        <v>4.64</v>
      </c>
      <c r="G25" s="51" t="n">
        <f aca="false">VLOOKUP(A25,Bogey,2,FALSE())</f>
        <v>59.38</v>
      </c>
      <c r="H25" s="52" t="n">
        <f aca="false">IF(C25&gt;0,G25-D25,"")</f>
        <v>24.88</v>
      </c>
      <c r="I25" s="53" t="n">
        <f aca="false">IF(C25&gt;0,H25*ABS(C25),"")</f>
        <v>821.04</v>
      </c>
      <c r="J25" s="54" t="n">
        <f aca="false">IF($C25=0,"",$H25*0.4)</f>
        <v>9.952</v>
      </c>
      <c r="K25" s="49" t="n">
        <f aca="false">IF($C25=0,"",$H25*0.6)</f>
        <v>14.928</v>
      </c>
      <c r="L25" s="49" t="n">
        <f aca="false">IF(C25=0,"",J25*$C25)</f>
        <v>328.416</v>
      </c>
      <c r="M25" s="55" t="n">
        <f aca="false">IF(C25=0,"",C25*K25)</f>
        <v>492.624</v>
      </c>
      <c r="N25" s="56" t="n">
        <f aca="false">IF(C25=0,"",D25)</f>
        <v>34.5</v>
      </c>
      <c r="O25" s="57" t="n">
        <f aca="false">IF(C25=0,"",D25+J25)</f>
        <v>44.452</v>
      </c>
      <c r="P25" s="44" t="n">
        <f aca="false">IF(C25=0,"",N25*C25)</f>
        <v>1138.5</v>
      </c>
      <c r="Q25" s="58" t="n">
        <f aca="false">IF(C25=0,"",O25*C25)</f>
        <v>1466.916</v>
      </c>
      <c r="R25" s="44"/>
      <c r="S25" s="59" t="n">
        <f aca="false">IF(C25=0,"",L25)</f>
        <v>328.416</v>
      </c>
      <c r="T25" s="60" t="n">
        <f aca="false">IF(C25=0,"",M25)</f>
        <v>492.624</v>
      </c>
    </row>
    <row r="26" customFormat="false" ht="12.75" hidden="false" customHeight="false" outlineLevel="0" collapsed="false">
      <c r="A26" s="47" t="n">
        <f aca="false">$C$2</f>
        <v>37016</v>
      </c>
      <c r="B26" s="12" t="n">
        <v>20</v>
      </c>
      <c r="C26" s="48" t="n">
        <f aca="false">INDEX(DaMw,C34+19,0)</f>
        <v>33</v>
      </c>
      <c r="D26" s="60" t="n">
        <f aca="false">INDEX(DaPrice,C34+19,0)</f>
        <v>34.5</v>
      </c>
      <c r="E26" s="50" t="n">
        <f aca="false">VLOOKUP(A26,Gas,4,FALSE())</f>
        <v>4.64</v>
      </c>
      <c r="F26" s="50" t="n">
        <f aca="false">VLOOKUP(A26,Gas,5,FALSE())</f>
        <v>4.64</v>
      </c>
      <c r="G26" s="51" t="n">
        <f aca="false">VLOOKUP(A26,Bogey,2,FALSE())</f>
        <v>59.38</v>
      </c>
      <c r="H26" s="52" t="n">
        <f aca="false">IF(C26&gt;0,G26-D26,"")</f>
        <v>24.88</v>
      </c>
      <c r="I26" s="53" t="n">
        <f aca="false">IF(C26&gt;0,H26*ABS(C26),"")</f>
        <v>821.04</v>
      </c>
      <c r="J26" s="54" t="n">
        <f aca="false">IF($C26=0,"",$H26*0.4)</f>
        <v>9.952</v>
      </c>
      <c r="K26" s="49" t="n">
        <f aca="false">IF($C26=0,"",$H26*0.6)</f>
        <v>14.928</v>
      </c>
      <c r="L26" s="49" t="n">
        <f aca="false">IF(C26=0,"",J26*$C26)</f>
        <v>328.416</v>
      </c>
      <c r="M26" s="55" t="n">
        <f aca="false">IF(C26=0,"",C26*K26)</f>
        <v>492.624</v>
      </c>
      <c r="N26" s="56" t="n">
        <f aca="false">IF(C26=0,"",D26)</f>
        <v>34.5</v>
      </c>
      <c r="O26" s="57" t="n">
        <f aca="false">IF(C26=0,"",D26+J26)</f>
        <v>44.452</v>
      </c>
      <c r="P26" s="44" t="n">
        <f aca="false">IF(C26=0,"",N26*C26)</f>
        <v>1138.5</v>
      </c>
      <c r="Q26" s="58" t="n">
        <f aca="false">IF(C26=0,"",O26*C26)</f>
        <v>1466.916</v>
      </c>
      <c r="R26" s="44"/>
      <c r="S26" s="59" t="n">
        <f aca="false">IF(C26=0,"",L26)</f>
        <v>328.416</v>
      </c>
      <c r="T26" s="60" t="n">
        <f aca="false">IF(C26=0,"",M26)</f>
        <v>492.624</v>
      </c>
    </row>
    <row r="27" customFormat="false" ht="12.75" hidden="false" customHeight="false" outlineLevel="0" collapsed="false">
      <c r="A27" s="47" t="n">
        <f aca="false">$C$2</f>
        <v>37016</v>
      </c>
      <c r="B27" s="12" t="n">
        <v>21</v>
      </c>
      <c r="C27" s="48" t="n">
        <f aca="false">INDEX(DaMw,C34+20,0)</f>
        <v>32</v>
      </c>
      <c r="D27" s="60" t="n">
        <f aca="false">INDEX(DaPrice,C34+20,0)</f>
        <v>34.5</v>
      </c>
      <c r="E27" s="50" t="n">
        <f aca="false">VLOOKUP(A27,Gas,4,FALSE())</f>
        <v>4.64</v>
      </c>
      <c r="F27" s="50" t="n">
        <f aca="false">VLOOKUP(A27,Gas,5,FALSE())</f>
        <v>4.64</v>
      </c>
      <c r="G27" s="51" t="n">
        <f aca="false">VLOOKUP(A27,Bogey,2,FALSE())</f>
        <v>59.38</v>
      </c>
      <c r="H27" s="52" t="n">
        <f aca="false">IF(C27&gt;0,G27-D27,"")</f>
        <v>24.88</v>
      </c>
      <c r="I27" s="53" t="n">
        <f aca="false">IF(C27&gt;0,H27*ABS(C27),"")</f>
        <v>796.16</v>
      </c>
      <c r="J27" s="54" t="n">
        <f aca="false">IF($C27=0,"",$H27*0.4)</f>
        <v>9.952</v>
      </c>
      <c r="K27" s="49" t="n">
        <f aca="false">IF($C27=0,"",$H27*0.6)</f>
        <v>14.928</v>
      </c>
      <c r="L27" s="49" t="n">
        <f aca="false">IF(C27=0,"",J27*$C27)</f>
        <v>318.464</v>
      </c>
      <c r="M27" s="55" t="n">
        <f aca="false">IF(C27=0,"",C27*K27)</f>
        <v>477.696</v>
      </c>
      <c r="N27" s="56" t="n">
        <f aca="false">IF(C27=0,"",D27)</f>
        <v>34.5</v>
      </c>
      <c r="O27" s="57" t="n">
        <f aca="false">IF(C27=0,"",D27+J27)</f>
        <v>44.452</v>
      </c>
      <c r="P27" s="44" t="n">
        <f aca="false">IF(C27=0,"",N27*C27)</f>
        <v>1104</v>
      </c>
      <c r="Q27" s="58" t="n">
        <f aca="false">IF(C27=0,"",O27*C27)</f>
        <v>1422.464</v>
      </c>
      <c r="R27" s="44"/>
      <c r="S27" s="59" t="n">
        <f aca="false">IF(C27=0,"",L27)</f>
        <v>318.464</v>
      </c>
      <c r="T27" s="60" t="n">
        <f aca="false">IF(C27=0,"",M27)</f>
        <v>477.696</v>
      </c>
    </row>
    <row r="28" customFormat="false" ht="12.75" hidden="false" customHeight="false" outlineLevel="0" collapsed="false">
      <c r="A28" s="47" t="n">
        <f aca="false">$C$2</f>
        <v>37016</v>
      </c>
      <c r="B28" s="12" t="n">
        <v>22</v>
      </c>
      <c r="C28" s="48" t="n">
        <f aca="false">INDEX(DaMw,C34+21,0)</f>
        <v>32</v>
      </c>
      <c r="D28" s="60" t="n">
        <f aca="false">INDEX(DaPrice,C34+21,0)</f>
        <v>34.5</v>
      </c>
      <c r="E28" s="50" t="n">
        <f aca="false">VLOOKUP(A28,Gas,4,FALSE())</f>
        <v>4.64</v>
      </c>
      <c r="F28" s="50" t="n">
        <f aca="false">VLOOKUP(A28,Gas,5,FALSE())</f>
        <v>4.64</v>
      </c>
      <c r="G28" s="51" t="n">
        <f aca="false">VLOOKUP(A28,Bogey,2,FALSE())</f>
        <v>59.38</v>
      </c>
      <c r="H28" s="52" t="n">
        <f aca="false">IF(C28&gt;0,G28-D28,"")</f>
        <v>24.88</v>
      </c>
      <c r="I28" s="53" t="n">
        <f aca="false">IF(C28&gt;0,H28*ABS(C28),"")</f>
        <v>796.16</v>
      </c>
      <c r="J28" s="54" t="n">
        <f aca="false">IF($C28=0,"",$H28*0.4)</f>
        <v>9.952</v>
      </c>
      <c r="K28" s="49" t="n">
        <f aca="false">IF($C28=0,"",$H28*0.6)</f>
        <v>14.928</v>
      </c>
      <c r="L28" s="49" t="n">
        <f aca="false">IF(C28=0,"",J28*$C28)</f>
        <v>318.464</v>
      </c>
      <c r="M28" s="55" t="n">
        <f aca="false">IF(C28=0,"",C28*K28)</f>
        <v>477.696</v>
      </c>
      <c r="N28" s="56" t="n">
        <f aca="false">IF(C28=0,"",D28)</f>
        <v>34.5</v>
      </c>
      <c r="O28" s="57" t="n">
        <f aca="false">IF(C28=0,"",D28+J28)</f>
        <v>44.452</v>
      </c>
      <c r="P28" s="44" t="n">
        <f aca="false">IF(C28=0,"",N28*C28)</f>
        <v>1104</v>
      </c>
      <c r="Q28" s="58" t="n">
        <f aca="false">IF(C28=0,"",O28*C28)</f>
        <v>1422.464</v>
      </c>
      <c r="R28" s="44"/>
      <c r="S28" s="59" t="n">
        <f aca="false">IF(C28=0,"",L28)</f>
        <v>318.464</v>
      </c>
      <c r="T28" s="60" t="n">
        <f aca="false">IF(C28=0,"",M28)</f>
        <v>477.696</v>
      </c>
    </row>
    <row r="29" customFormat="false" ht="12.75" hidden="false" customHeight="false" outlineLevel="0" collapsed="false">
      <c r="A29" s="47" t="n">
        <f aca="false">$C$2</f>
        <v>37016</v>
      </c>
      <c r="B29" s="12" t="n">
        <v>23</v>
      </c>
      <c r="C29" s="48" t="n">
        <f aca="false">INDEX(DaMw,C34+22,0)</f>
        <v>25</v>
      </c>
      <c r="D29" s="60" t="n">
        <f aca="false">INDEX(DaPrice,C34+22,0)</f>
        <v>18</v>
      </c>
      <c r="E29" s="50" t="n">
        <f aca="false">VLOOKUP(A29,Gas,4,FALSE())</f>
        <v>4.64</v>
      </c>
      <c r="F29" s="50" t="n">
        <f aca="false">VLOOKUP(A29,Gas,5,FALSE())</f>
        <v>4.64</v>
      </c>
      <c r="G29" s="51" t="n">
        <f aca="false">VLOOKUP(A29,Bogey,2,FALSE())</f>
        <v>59.38</v>
      </c>
      <c r="H29" s="52" t="n">
        <f aca="false">IF(C29&gt;0,G29-D29,"")</f>
        <v>41.38</v>
      </c>
      <c r="I29" s="53" t="n">
        <f aca="false">IF(C29&gt;0,H29*ABS(C29),"")</f>
        <v>1034.5</v>
      </c>
      <c r="J29" s="54" t="n">
        <f aca="false">IF(C29=0,"",1)</f>
        <v>1</v>
      </c>
      <c r="K29" s="44" t="n">
        <f aca="false">IF(C29=0,"",G29-(D29+1))</f>
        <v>40.38</v>
      </c>
      <c r="L29" s="44" t="n">
        <f aca="false">IF(C29=0,"",C29*J29)</f>
        <v>25</v>
      </c>
      <c r="M29" s="55" t="n">
        <f aca="false">IF(C29=0,"",C29*K29)</f>
        <v>1009.5</v>
      </c>
      <c r="N29" s="56" t="n">
        <f aca="false">IF(C29=0,"",D29)</f>
        <v>18</v>
      </c>
      <c r="O29" s="57" t="n">
        <f aca="false">IF(C29=0,"",D29+1)</f>
        <v>19</v>
      </c>
      <c r="P29" s="44" t="n">
        <f aca="false">IF(C29=0,"",N29*C29)</f>
        <v>450</v>
      </c>
      <c r="Q29" s="58" t="n">
        <f aca="false">IF(C29=0,"",O29*C29)</f>
        <v>475</v>
      </c>
      <c r="R29" s="44"/>
      <c r="S29" s="59" t="n">
        <f aca="false">IF(C29=0,"",L29)</f>
        <v>25</v>
      </c>
      <c r="T29" s="60" t="n">
        <f aca="false">IF(C29=0,"",M29)</f>
        <v>1009.5</v>
      </c>
    </row>
    <row r="30" customFormat="false" ht="12.75" hidden="false" customHeight="false" outlineLevel="0" collapsed="false">
      <c r="A30" s="61" t="n">
        <f aca="false">$C$2</f>
        <v>37016</v>
      </c>
      <c r="B30" s="62" t="n">
        <v>24</v>
      </c>
      <c r="C30" s="63" t="n">
        <f aca="false">INDEX(DaMw,C34+23,0)</f>
        <v>25</v>
      </c>
      <c r="D30" s="76" t="n">
        <f aca="false">INDEX(DaPrice,C34+23,0)</f>
        <v>18</v>
      </c>
      <c r="E30" s="65" t="n">
        <f aca="false">VLOOKUP(A30,Gas,4,FALSE())</f>
        <v>4.64</v>
      </c>
      <c r="F30" s="65" t="n">
        <f aca="false">VLOOKUP(A30,Gas,5,FALSE())</f>
        <v>4.64</v>
      </c>
      <c r="G30" s="66" t="n">
        <f aca="false">VLOOKUP(A30,Bogey,2,FALSE())</f>
        <v>59.38</v>
      </c>
      <c r="H30" s="67" t="n">
        <f aca="false">IF(C30&gt;0,G30-D30,"")</f>
        <v>41.38</v>
      </c>
      <c r="I30" s="68" t="n">
        <f aca="false">IF(C30&gt;0,H30*ABS(C30),"")</f>
        <v>1034.5</v>
      </c>
      <c r="J30" s="69" t="n">
        <f aca="false">IF(C30=0,"",1)</f>
        <v>1</v>
      </c>
      <c r="K30" s="70" t="n">
        <f aca="false">IF(C30=0,"",G30-(D30+1))</f>
        <v>40.38</v>
      </c>
      <c r="L30" s="70" t="n">
        <f aca="false">IF(C30=0,"",C30*J30)</f>
        <v>25</v>
      </c>
      <c r="M30" s="71" t="n">
        <f aca="false">IF(C30=0,"",C30*K30)</f>
        <v>1009.5</v>
      </c>
      <c r="N30" s="72" t="n">
        <f aca="false">IF(C30=0,"",D30)</f>
        <v>18</v>
      </c>
      <c r="O30" s="73" t="n">
        <f aca="false">IF(C30=0,"",D30+1)</f>
        <v>19</v>
      </c>
      <c r="P30" s="70" t="n">
        <f aca="false">IF(C30=0,"",N30*C30)</f>
        <v>450</v>
      </c>
      <c r="Q30" s="74" t="n">
        <f aca="false">IF(C30=0,"",O30*C30)</f>
        <v>475</v>
      </c>
      <c r="R30" s="44"/>
      <c r="S30" s="75" t="n">
        <f aca="false">IF(C30=0,"",L30)</f>
        <v>25</v>
      </c>
      <c r="T30" s="76" t="n">
        <f aca="false">IF(C30=0,"",M30)</f>
        <v>1009.5</v>
      </c>
    </row>
    <row r="31" customFormat="false" ht="4.5" hidden="false" customHeight="true" outlineLevel="0" collapsed="false">
      <c r="E31" s="77"/>
      <c r="F31" s="77"/>
      <c r="G31" s="77"/>
      <c r="I31" s="78"/>
      <c r="Q31" s="2"/>
      <c r="S31" s="2"/>
    </row>
    <row r="32" customFormat="false" ht="12.75" hidden="false" customHeight="false" outlineLevel="0" collapsed="false">
      <c r="K32" s="79"/>
      <c r="L32" s="79"/>
      <c r="M32" s="79"/>
      <c r="N32" s="80"/>
      <c r="O32" s="79"/>
      <c r="P32" s="80"/>
      <c r="Q32" s="81" t="n">
        <f aca="false">SUM(Q7:Q30)</f>
        <v>24586.2996981488</v>
      </c>
      <c r="R32" s="82"/>
      <c r="S32" s="81" t="n">
        <f aca="false">SUM(S7:S30)</f>
        <v>4853.67710330193</v>
      </c>
      <c r="T32" s="81" t="n">
        <f aca="false">SUM(T7:T30)</f>
        <v>15056.5156549529</v>
      </c>
    </row>
    <row r="34" customFormat="false" ht="12.75" hidden="true" customHeight="false" outlineLevel="0" collapsed="false">
      <c r="B34" s="0" t="s">
        <v>33</v>
      </c>
      <c r="C34" s="0" t="n">
        <f aca="false">MATCH(C2,DaDate,0)</f>
        <v>97</v>
      </c>
    </row>
    <row r="37" customFormat="false" ht="12.75" hidden="false" customHeight="false" outlineLevel="0" collapsed="false">
      <c r="A37" s="6"/>
      <c r="B37" s="6"/>
      <c r="C37" s="6"/>
      <c r="D37" s="7"/>
      <c r="E37" s="8" t="s">
        <v>2</v>
      </c>
      <c r="F37" s="8"/>
      <c r="G37" s="8"/>
      <c r="H37" s="9" t="s">
        <v>3</v>
      </c>
      <c r="I37" s="9"/>
      <c r="J37" s="9" t="s">
        <v>4</v>
      </c>
      <c r="K37" s="9"/>
      <c r="L37" s="9"/>
      <c r="M37" s="9"/>
      <c r="N37" s="10" t="s">
        <v>5</v>
      </c>
      <c r="O37" s="10"/>
      <c r="P37" s="10"/>
      <c r="Q37" s="10"/>
      <c r="R37" s="11"/>
      <c r="S37" s="10" t="s">
        <v>6</v>
      </c>
      <c r="T37" s="10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2.75" hidden="false" customHeight="false" outlineLevel="0" collapsed="false">
      <c r="B38" s="85" t="s">
        <v>35</v>
      </c>
      <c r="C38" s="85"/>
      <c r="D38" s="85"/>
      <c r="E38" s="13"/>
      <c r="F38" s="14"/>
      <c r="G38" s="15"/>
      <c r="H38" s="16" t="s">
        <v>7</v>
      </c>
      <c r="I38" s="17" t="s">
        <v>7</v>
      </c>
      <c r="J38" s="16" t="s">
        <v>8</v>
      </c>
      <c r="K38" s="18" t="s">
        <v>9</v>
      </c>
      <c r="L38" s="18" t="s">
        <v>8</v>
      </c>
      <c r="M38" s="17" t="s">
        <v>9</v>
      </c>
      <c r="N38" s="19" t="s">
        <v>10</v>
      </c>
      <c r="O38" s="19"/>
      <c r="P38" s="19" t="s">
        <v>11</v>
      </c>
      <c r="Q38" s="19"/>
      <c r="R38" s="11"/>
      <c r="S38" s="20"/>
      <c r="T38" s="21"/>
    </row>
    <row r="39" customFormat="false" ht="12.75" hidden="false" customHeight="false" outlineLevel="0" collapsed="false">
      <c r="E39" s="16" t="s">
        <v>12</v>
      </c>
      <c r="F39" s="18" t="s">
        <v>12</v>
      </c>
      <c r="G39" s="17" t="s">
        <v>13</v>
      </c>
      <c r="H39" s="16" t="s">
        <v>14</v>
      </c>
      <c r="I39" s="17" t="s">
        <v>14</v>
      </c>
      <c r="J39" s="22" t="s">
        <v>15</v>
      </c>
      <c r="K39" s="18" t="s">
        <v>16</v>
      </c>
      <c r="L39" s="18" t="s">
        <v>17</v>
      </c>
      <c r="M39" s="17" t="s">
        <v>18</v>
      </c>
      <c r="N39" s="23"/>
      <c r="O39" s="15"/>
      <c r="P39" s="22"/>
      <c r="Q39" s="24" t="s">
        <v>19</v>
      </c>
      <c r="R39" s="11"/>
      <c r="S39" s="16" t="s">
        <v>20</v>
      </c>
      <c r="T39" s="25" t="s">
        <v>21</v>
      </c>
    </row>
    <row r="40" customFormat="false" ht="12.75" hidden="false" customHeight="false" outlineLevel="0" collapsed="false">
      <c r="A40" s="26" t="s">
        <v>22</v>
      </c>
      <c r="B40" s="27" t="s">
        <v>23</v>
      </c>
      <c r="C40" s="27" t="s">
        <v>24</v>
      </c>
      <c r="D40" s="28" t="s">
        <v>25</v>
      </c>
      <c r="E40" s="22" t="s">
        <v>26</v>
      </c>
      <c r="F40" s="5" t="s">
        <v>27</v>
      </c>
      <c r="G40" s="25" t="s">
        <v>28</v>
      </c>
      <c r="H40" s="22" t="s">
        <v>29</v>
      </c>
      <c r="I40" s="25" t="s">
        <v>30</v>
      </c>
      <c r="J40" s="22" t="s">
        <v>10</v>
      </c>
      <c r="K40" s="5" t="s">
        <v>10</v>
      </c>
      <c r="L40" s="5" t="s">
        <v>30</v>
      </c>
      <c r="M40" s="25" t="s">
        <v>30</v>
      </c>
      <c r="N40" s="22" t="s">
        <v>20</v>
      </c>
      <c r="O40" s="25" t="s">
        <v>21</v>
      </c>
      <c r="P40" s="22" t="s">
        <v>20</v>
      </c>
      <c r="Q40" s="29" t="s">
        <v>21</v>
      </c>
      <c r="R40" s="5"/>
      <c r="S40" s="22" t="s">
        <v>31</v>
      </c>
      <c r="T40" s="25" t="s">
        <v>32</v>
      </c>
      <c r="U40" s="30"/>
      <c r="V40" s="30"/>
    </row>
    <row r="41" customFormat="false" ht="12.75" hidden="false" customHeight="false" outlineLevel="0" collapsed="false">
      <c r="A41" s="31" t="n">
        <f aca="false">$C$2</f>
        <v>37016</v>
      </c>
      <c r="B41" s="32" t="n">
        <v>1</v>
      </c>
      <c r="C41" s="33" t="str">
        <f aca="false">INDEX(RtMw,C68,0)</f>
        <v/>
      </c>
      <c r="D41" s="34" t="str">
        <f aca="false">INDEX(RTPrice,C68,0)</f>
        <v/>
      </c>
      <c r="E41" s="35" t="n">
        <f aca="false">VLOOKUP(A41,Gas,4,FALSE())</f>
        <v>4.64</v>
      </c>
      <c r="F41" s="35" t="n">
        <f aca="false">VLOOKUP(A41,Gas,5,FALSE())</f>
        <v>4.64</v>
      </c>
      <c r="G41" s="36" t="n">
        <f aca="false">VLOOKUP(A41,Bogey,2,FALSE())</f>
        <v>59.38</v>
      </c>
      <c r="H41" s="37" t="e">
        <f aca="false">IF(C41&gt;0,G41-D41,"")</f>
        <v>#VALUE!</v>
      </c>
      <c r="I41" s="38" t="e">
        <f aca="false">IF(C41&gt;0,H41*ABS(C41),"")</f>
        <v>#VALUE!</v>
      </c>
      <c r="J41" s="39" t="n">
        <f aca="false">IF(C41=0,"",1)</f>
        <v>1</v>
      </c>
      <c r="K41" s="40" t="e">
        <f aca="false">IF(C41=0,"",G41-(D41+1))</f>
        <v>#VALUE!</v>
      </c>
      <c r="L41" s="40" t="e">
        <f aca="false">IF(C41=0,"",C41*J41)</f>
        <v>#VALUE!</v>
      </c>
      <c r="M41" s="21" t="e">
        <f aca="false">IF(C41=0,"",C41*K41)</f>
        <v>#VALUE!</v>
      </c>
      <c r="N41" s="41" t="str">
        <f aca="false">IF(C41=0,"",D41)</f>
        <v/>
      </c>
      <c r="O41" s="42" t="e">
        <f aca="false">IF(C41=0,"",D41+1)</f>
        <v>#VALUE!</v>
      </c>
      <c r="P41" s="40" t="e">
        <f aca="false">IF(C41=0,"",N41*C41)</f>
        <v>#VALUE!</v>
      </c>
      <c r="Q41" s="43" t="e">
        <f aca="false">IF(C41=0,"",O41*C41)</f>
        <v>#VALUE!</v>
      </c>
      <c r="R41" s="44"/>
      <c r="S41" s="45" t="e">
        <f aca="false">IF(C41=0,"",L41)</f>
        <v>#VALUE!</v>
      </c>
      <c r="T41" s="46" t="e">
        <f aca="false">IF(C41=0,"",M41)</f>
        <v>#VALUE!</v>
      </c>
    </row>
    <row r="42" customFormat="false" ht="12.75" hidden="false" customHeight="false" outlineLevel="0" collapsed="false">
      <c r="A42" s="47" t="n">
        <f aca="false">$C$2</f>
        <v>37016</v>
      </c>
      <c r="B42" s="12" t="n">
        <v>2</v>
      </c>
      <c r="C42" s="48" t="str">
        <f aca="false">INDEX(RtMw,C68+1,0)</f>
        <v/>
      </c>
      <c r="D42" s="49" t="str">
        <f aca="false">INDEX(RTPrice,C68+1,0)</f>
        <v/>
      </c>
      <c r="E42" s="50" t="n">
        <f aca="false">VLOOKUP(A42,Gas,4,FALSE())</f>
        <v>4.64</v>
      </c>
      <c r="F42" s="50" t="n">
        <f aca="false">VLOOKUP(A42,Gas,5,FALSE())</f>
        <v>4.64</v>
      </c>
      <c r="G42" s="51" t="n">
        <f aca="false">VLOOKUP(A42,Bogey,2,FALSE())</f>
        <v>59.38</v>
      </c>
      <c r="H42" s="52" t="e">
        <f aca="false">IF(C42&gt;0,G42-D42,"")</f>
        <v>#VALUE!</v>
      </c>
      <c r="I42" s="53" t="e">
        <f aca="false">IF(C42&gt;0,H42*ABS(C42),"")</f>
        <v>#VALUE!</v>
      </c>
      <c r="J42" s="54" t="n">
        <f aca="false">IF(C42=0,"",1)</f>
        <v>1</v>
      </c>
      <c r="K42" s="44" t="e">
        <f aca="false">IF(C42=0,"",G42-(D42+1))</f>
        <v>#VALUE!</v>
      </c>
      <c r="L42" s="44" t="e">
        <f aca="false">IF(C42=0,"",C42*J42)</f>
        <v>#VALUE!</v>
      </c>
      <c r="M42" s="55" t="e">
        <f aca="false">IF(C42=0,"",C42*K42)</f>
        <v>#VALUE!</v>
      </c>
      <c r="N42" s="56" t="str">
        <f aca="false">IF(C42=0,"",D42)</f>
        <v/>
      </c>
      <c r="O42" s="57" t="e">
        <f aca="false">IF(C42=0,"",D42+1)</f>
        <v>#VALUE!</v>
      </c>
      <c r="P42" s="44" t="e">
        <f aca="false">IF(C42=0,"",N42*C42)</f>
        <v>#VALUE!</v>
      </c>
      <c r="Q42" s="58" t="e">
        <f aca="false">IF(C42=0,"",O42*C42)</f>
        <v>#VALUE!</v>
      </c>
      <c r="R42" s="44"/>
      <c r="S42" s="59" t="e">
        <f aca="false">IF(C42=0,"",L42)</f>
        <v>#VALUE!</v>
      </c>
      <c r="T42" s="60" t="e">
        <f aca="false">IF(C42=0,"",M42)</f>
        <v>#VALUE!</v>
      </c>
    </row>
    <row r="43" customFormat="false" ht="12.75" hidden="false" customHeight="false" outlineLevel="0" collapsed="false">
      <c r="A43" s="47" t="n">
        <f aca="false">$C$2</f>
        <v>37016</v>
      </c>
      <c r="B43" s="12" t="n">
        <v>3</v>
      </c>
      <c r="C43" s="48" t="str">
        <f aca="false">INDEX(RtMw,C68+2,0)</f>
        <v/>
      </c>
      <c r="D43" s="49" t="str">
        <f aca="false">INDEX(RTPrice,C68+2,0)</f>
        <v/>
      </c>
      <c r="E43" s="50" t="n">
        <f aca="false">VLOOKUP(A43,Gas,4,FALSE())</f>
        <v>4.64</v>
      </c>
      <c r="F43" s="50" t="n">
        <f aca="false">VLOOKUP(A43,Gas,5,FALSE())</f>
        <v>4.64</v>
      </c>
      <c r="G43" s="51" t="n">
        <f aca="false">VLOOKUP(A43,Bogey,2,FALSE())</f>
        <v>59.38</v>
      </c>
      <c r="H43" s="52" t="e">
        <f aca="false">IF(C43&gt;0,G43-D43,"")</f>
        <v>#VALUE!</v>
      </c>
      <c r="I43" s="53" t="e">
        <f aca="false">IF(C43&gt;0,H43*ABS(C43),"")</f>
        <v>#VALUE!</v>
      </c>
      <c r="J43" s="54" t="n">
        <f aca="false">IF(C43=0,"",1)</f>
        <v>1</v>
      </c>
      <c r="K43" s="44" t="e">
        <f aca="false">IF(C43=0,"",G43-(D43+1))</f>
        <v>#VALUE!</v>
      </c>
      <c r="L43" s="44" t="e">
        <f aca="false">IF(C43=0,"",C43*J43)</f>
        <v>#VALUE!</v>
      </c>
      <c r="M43" s="55" t="e">
        <f aca="false">IF(C43=0,"",C43*K43)</f>
        <v>#VALUE!</v>
      </c>
      <c r="N43" s="56" t="str">
        <f aca="false">IF(C43=0,"",D43)</f>
        <v/>
      </c>
      <c r="O43" s="57" t="e">
        <f aca="false">IF(C43=0,"",D43+1)</f>
        <v>#VALUE!</v>
      </c>
      <c r="P43" s="44" t="e">
        <f aca="false">IF(C43=0,"",N43*C43)</f>
        <v>#VALUE!</v>
      </c>
      <c r="Q43" s="58" t="e">
        <f aca="false">IF(C43=0,"",O43*C43)</f>
        <v>#VALUE!</v>
      </c>
      <c r="R43" s="44"/>
      <c r="S43" s="59" t="e">
        <f aca="false">IF(C43=0,"",L43)</f>
        <v>#VALUE!</v>
      </c>
      <c r="T43" s="60" t="e">
        <f aca="false">IF(C43=0,"",M43)</f>
        <v>#VALUE!</v>
      </c>
    </row>
    <row r="44" customFormat="false" ht="12.75" hidden="false" customHeight="false" outlineLevel="0" collapsed="false">
      <c r="A44" s="47" t="n">
        <f aca="false">$C$2</f>
        <v>37016</v>
      </c>
      <c r="B44" s="12" t="n">
        <v>4</v>
      </c>
      <c r="C44" s="48" t="str">
        <f aca="false">INDEX(RtMw,C68+3,0)</f>
        <v/>
      </c>
      <c r="D44" s="49" t="str">
        <f aca="false">INDEX(RTPrice,C68+3,0)</f>
        <v/>
      </c>
      <c r="E44" s="50" t="n">
        <f aca="false">VLOOKUP(A44,Gas,4,FALSE())</f>
        <v>4.64</v>
      </c>
      <c r="F44" s="50" t="n">
        <f aca="false">VLOOKUP(A44,Gas,5,FALSE())</f>
        <v>4.64</v>
      </c>
      <c r="G44" s="51" t="n">
        <f aca="false">VLOOKUP(A44,Bogey,2,FALSE())</f>
        <v>59.38</v>
      </c>
      <c r="H44" s="52" t="e">
        <f aca="false">IF(C44&gt;0,G44-D44,"")</f>
        <v>#VALUE!</v>
      </c>
      <c r="I44" s="53" t="e">
        <f aca="false">IF(C44&gt;0,H44*ABS(C44),"")</f>
        <v>#VALUE!</v>
      </c>
      <c r="J44" s="54" t="n">
        <f aca="false">IF(C44=0,"",1)</f>
        <v>1</v>
      </c>
      <c r="K44" s="44" t="e">
        <f aca="false">IF(C44=0,"",G44-(D44+1))</f>
        <v>#VALUE!</v>
      </c>
      <c r="L44" s="44" t="e">
        <f aca="false">IF(C44=0,"",C44*J44)</f>
        <v>#VALUE!</v>
      </c>
      <c r="M44" s="55" t="e">
        <f aca="false">IF(C44=0,"",C44*K44)</f>
        <v>#VALUE!</v>
      </c>
      <c r="N44" s="56" t="str">
        <f aca="false">IF(C44=0,"",D44)</f>
        <v/>
      </c>
      <c r="O44" s="57" t="e">
        <f aca="false">IF(C44=0,"",D44+1)</f>
        <v>#VALUE!</v>
      </c>
      <c r="P44" s="44" t="e">
        <f aca="false">IF(C44=0,"",N44*C44)</f>
        <v>#VALUE!</v>
      </c>
      <c r="Q44" s="58" t="e">
        <f aca="false">IF(C44=0,"",O44*C44)</f>
        <v>#VALUE!</v>
      </c>
      <c r="R44" s="44"/>
      <c r="S44" s="59" t="e">
        <f aca="false">IF(C44=0,"",L44)</f>
        <v>#VALUE!</v>
      </c>
      <c r="T44" s="60" t="e">
        <f aca="false">IF(C44=0,"",M44)</f>
        <v>#VALUE!</v>
      </c>
    </row>
    <row r="45" customFormat="false" ht="12.75" hidden="false" customHeight="false" outlineLevel="0" collapsed="false">
      <c r="A45" s="47" t="n">
        <f aca="false">$C$2</f>
        <v>37016</v>
      </c>
      <c r="B45" s="12" t="n">
        <v>5</v>
      </c>
      <c r="C45" s="48" t="str">
        <f aca="false">INDEX(RtMw,C68+4,0)</f>
        <v/>
      </c>
      <c r="D45" s="49" t="str">
        <f aca="false">INDEX(RTPrice,C68+4,0)</f>
        <v/>
      </c>
      <c r="E45" s="50" t="n">
        <f aca="false">VLOOKUP(A45,Gas,4,FALSE())</f>
        <v>4.64</v>
      </c>
      <c r="F45" s="50" t="n">
        <f aca="false">VLOOKUP(A45,Gas,5,FALSE())</f>
        <v>4.64</v>
      </c>
      <c r="G45" s="51" t="n">
        <f aca="false">VLOOKUP(A45,Bogey,2,FALSE())</f>
        <v>59.38</v>
      </c>
      <c r="H45" s="52" t="e">
        <f aca="false">IF(C45&gt;0,G45-D45,"")</f>
        <v>#VALUE!</v>
      </c>
      <c r="I45" s="53" t="e">
        <f aca="false">IF(C45&gt;0,H45*ABS(C45),"")</f>
        <v>#VALUE!</v>
      </c>
      <c r="J45" s="54" t="n">
        <f aca="false">IF(C45=0,"",1)</f>
        <v>1</v>
      </c>
      <c r="K45" s="44" t="e">
        <f aca="false">IF(C45=0,"",G45-(D45+1))</f>
        <v>#VALUE!</v>
      </c>
      <c r="L45" s="44" t="e">
        <f aca="false">IF(C45=0,"",C45*J45)</f>
        <v>#VALUE!</v>
      </c>
      <c r="M45" s="55" t="e">
        <f aca="false">IF(C45=0,"",C45*K45)</f>
        <v>#VALUE!</v>
      </c>
      <c r="N45" s="56" t="str">
        <f aca="false">IF(C45=0,"",D45)</f>
        <v/>
      </c>
      <c r="O45" s="57" t="e">
        <f aca="false">IF(C45=0,"",D45+1)</f>
        <v>#VALUE!</v>
      </c>
      <c r="P45" s="44" t="e">
        <f aca="false">IF(C45=0,"",N45*C45)</f>
        <v>#VALUE!</v>
      </c>
      <c r="Q45" s="58" t="e">
        <f aca="false">IF(C45=0,"",O45*C45)</f>
        <v>#VALUE!</v>
      </c>
      <c r="R45" s="44"/>
      <c r="S45" s="59" t="e">
        <f aca="false">IF(C45=0,"",L45)</f>
        <v>#VALUE!</v>
      </c>
      <c r="T45" s="60" t="e">
        <f aca="false">IF(C45=0,"",M45)</f>
        <v>#VALUE!</v>
      </c>
    </row>
    <row r="46" customFormat="false" ht="12.75" hidden="false" customHeight="false" outlineLevel="0" collapsed="false">
      <c r="A46" s="47" t="n">
        <f aca="false">$C$2</f>
        <v>37016</v>
      </c>
      <c r="B46" s="12" t="n">
        <v>6</v>
      </c>
      <c r="C46" s="48" t="str">
        <f aca="false">INDEX(RtMw,C68+5,0)</f>
        <v/>
      </c>
      <c r="D46" s="49" t="str">
        <f aca="false">INDEX(RTPrice,C68+5,0)</f>
        <v/>
      </c>
      <c r="E46" s="50" t="n">
        <f aca="false">VLOOKUP(A46,Gas,4,FALSE())</f>
        <v>4.64</v>
      </c>
      <c r="F46" s="50" t="n">
        <f aca="false">VLOOKUP(A46,Gas,5,FALSE())</f>
        <v>4.64</v>
      </c>
      <c r="G46" s="51" t="n">
        <f aca="false">VLOOKUP(A46,Bogey,2,FALSE())</f>
        <v>59.38</v>
      </c>
      <c r="H46" s="52" t="e">
        <f aca="false">IF(C46&gt;0,G46-D46,"")</f>
        <v>#VALUE!</v>
      </c>
      <c r="I46" s="53" t="e">
        <f aca="false">IF(C46&gt;0,H46*ABS(C46),"")</f>
        <v>#VALUE!</v>
      </c>
      <c r="J46" s="54" t="n">
        <f aca="false">IF(C46=0,"",1)</f>
        <v>1</v>
      </c>
      <c r="K46" s="44" t="e">
        <f aca="false">IF(C46=0,"",G46-(D46+1))</f>
        <v>#VALUE!</v>
      </c>
      <c r="L46" s="44" t="e">
        <f aca="false">IF(C46=0,"",C46*J46)</f>
        <v>#VALUE!</v>
      </c>
      <c r="M46" s="55" t="e">
        <f aca="false">IF(C46=0,"",C46*K46)</f>
        <v>#VALUE!</v>
      </c>
      <c r="N46" s="56" t="str">
        <f aca="false">IF(C46=0,"",D46)</f>
        <v/>
      </c>
      <c r="O46" s="57" t="e">
        <f aca="false">IF(C46=0,"",D46+1)</f>
        <v>#VALUE!</v>
      </c>
      <c r="P46" s="44" t="e">
        <f aca="false">IF(C46=0,"",N46*C46)</f>
        <v>#VALUE!</v>
      </c>
      <c r="Q46" s="58" t="e">
        <f aca="false">IF(C46=0,"",O46*C46)</f>
        <v>#VALUE!</v>
      </c>
      <c r="R46" s="44"/>
      <c r="S46" s="59" t="e">
        <f aca="false">IF(C46=0,"",L46)</f>
        <v>#VALUE!</v>
      </c>
      <c r="T46" s="60" t="e">
        <f aca="false">IF(C46=0,"",M46)</f>
        <v>#VALUE!</v>
      </c>
    </row>
    <row r="47" customFormat="false" ht="12.75" hidden="false" customHeight="false" outlineLevel="0" collapsed="false">
      <c r="A47" s="47" t="n">
        <f aca="false">$C$2</f>
        <v>37016</v>
      </c>
      <c r="B47" s="12" t="n">
        <v>7</v>
      </c>
      <c r="C47" s="48" t="str">
        <f aca="false">INDEX(RtMw,C68+6,0)</f>
        <v/>
      </c>
      <c r="D47" s="49" t="str">
        <f aca="false">INDEX(RTPrice,C68+6,0)</f>
        <v/>
      </c>
      <c r="E47" s="50" t="n">
        <f aca="false">VLOOKUP(A47,Gas,4,FALSE())</f>
        <v>4.64</v>
      </c>
      <c r="F47" s="50" t="n">
        <f aca="false">VLOOKUP(A47,Gas,5,FALSE())</f>
        <v>4.64</v>
      </c>
      <c r="G47" s="51" t="n">
        <f aca="false">VLOOKUP(A47,Bogey,2,FALSE())</f>
        <v>59.38</v>
      </c>
      <c r="H47" s="52" t="e">
        <f aca="false">IF(C47&gt;0,G47-D47,"")</f>
        <v>#VALUE!</v>
      </c>
      <c r="I47" s="53" t="e">
        <f aca="false">IF(C47&gt;0,H47*ABS(C47),"")</f>
        <v>#VALUE!</v>
      </c>
      <c r="J47" s="54" t="e">
        <f aca="false">IF($C47=0,"",$H47*0.4)</f>
        <v>#VALUE!</v>
      </c>
      <c r="K47" s="49" t="e">
        <f aca="false">IF($C47=0,"",$H47*0.6)</f>
        <v>#VALUE!</v>
      </c>
      <c r="L47" s="49" t="e">
        <f aca="false">IF(C47=0,"",J47*$C47)</f>
        <v>#VALUE!</v>
      </c>
      <c r="M47" s="55" t="e">
        <f aca="false">IF(C47=0,"",C47*K47)</f>
        <v>#VALUE!</v>
      </c>
      <c r="N47" s="56" t="str">
        <f aca="false">IF(C47=0,"",D47)</f>
        <v/>
      </c>
      <c r="O47" s="57" t="e">
        <f aca="false">IF(C47=0,"",D47+J47)</f>
        <v>#VALUE!</v>
      </c>
      <c r="P47" s="44" t="e">
        <f aca="false">IF(C47=0,"",N47*C47)</f>
        <v>#VALUE!</v>
      </c>
      <c r="Q47" s="58" t="e">
        <f aca="false">IF(C47=0,"",O47*C47)</f>
        <v>#VALUE!</v>
      </c>
      <c r="R47" s="44"/>
      <c r="S47" s="59" t="e">
        <f aca="false">IF(C47=0,"",L47)</f>
        <v>#VALUE!</v>
      </c>
      <c r="T47" s="60" t="e">
        <f aca="false">IF(C47=0,"",M47)</f>
        <v>#VALUE!</v>
      </c>
    </row>
    <row r="48" customFormat="false" ht="12.75" hidden="false" customHeight="false" outlineLevel="0" collapsed="false">
      <c r="A48" s="47" t="n">
        <f aca="false">$C$2</f>
        <v>37016</v>
      </c>
      <c r="B48" s="12" t="n">
        <v>8</v>
      </c>
      <c r="C48" s="48" t="str">
        <f aca="false">INDEX(RtMw,C68+7,0)</f>
        <v/>
      </c>
      <c r="D48" s="49" t="str">
        <f aca="false">INDEX(RTPrice,C68+7,0)</f>
        <v/>
      </c>
      <c r="E48" s="50" t="n">
        <f aca="false">VLOOKUP(A48,Gas,4,FALSE())</f>
        <v>4.64</v>
      </c>
      <c r="F48" s="50" t="n">
        <f aca="false">VLOOKUP(A48,Gas,5,FALSE())</f>
        <v>4.64</v>
      </c>
      <c r="G48" s="51" t="n">
        <f aca="false">VLOOKUP(A48,Bogey,2,FALSE())</f>
        <v>59.38</v>
      </c>
      <c r="H48" s="52" t="e">
        <f aca="false">IF(C48&gt;0,G48-D48,"")</f>
        <v>#VALUE!</v>
      </c>
      <c r="I48" s="53" t="e">
        <f aca="false">IF(C48&gt;0,H48*ABS(C48),"")</f>
        <v>#VALUE!</v>
      </c>
      <c r="J48" s="54" t="e">
        <f aca="false">IF($C48=0,"",$H48*0.4)</f>
        <v>#VALUE!</v>
      </c>
      <c r="K48" s="49" t="e">
        <f aca="false">IF($C48=0,"",$H48*0.6)</f>
        <v>#VALUE!</v>
      </c>
      <c r="L48" s="49" t="e">
        <f aca="false">IF(C48=0,"",J48*$C48)</f>
        <v>#VALUE!</v>
      </c>
      <c r="M48" s="55" t="e">
        <f aca="false">IF(C48=0,"",C48*K48)</f>
        <v>#VALUE!</v>
      </c>
      <c r="N48" s="56" t="str">
        <f aca="false">IF(C48=0,"",D48)</f>
        <v/>
      </c>
      <c r="O48" s="57" t="e">
        <f aca="false">IF(C48=0,"",D48+J48)</f>
        <v>#VALUE!</v>
      </c>
      <c r="P48" s="44" t="e">
        <f aca="false">IF(C48=0,"",N48*C48)</f>
        <v>#VALUE!</v>
      </c>
      <c r="Q48" s="58" t="e">
        <f aca="false">IF(C48=0,"",O48*C48)</f>
        <v>#VALUE!</v>
      </c>
      <c r="R48" s="44"/>
      <c r="S48" s="59" t="e">
        <f aca="false">IF(C48=0,"",L48)</f>
        <v>#VALUE!</v>
      </c>
      <c r="T48" s="60" t="e">
        <f aca="false">IF(C48=0,"",M48)</f>
        <v>#VALUE!</v>
      </c>
    </row>
    <row r="49" customFormat="false" ht="12.75" hidden="false" customHeight="false" outlineLevel="0" collapsed="false">
      <c r="A49" s="47" t="n">
        <f aca="false">$C$2</f>
        <v>37016</v>
      </c>
      <c r="B49" s="12" t="n">
        <v>9</v>
      </c>
      <c r="C49" s="48" t="str">
        <f aca="false">INDEX(RtMw,C68+8,0)</f>
        <v/>
      </c>
      <c r="D49" s="49" t="str">
        <f aca="false">INDEX(RTPrice,C68+8,0)</f>
        <v/>
      </c>
      <c r="E49" s="50" t="n">
        <f aca="false">VLOOKUP(A49,Gas,4,FALSE())</f>
        <v>4.64</v>
      </c>
      <c r="F49" s="50" t="n">
        <f aca="false">VLOOKUP(A49,Gas,5,FALSE())</f>
        <v>4.64</v>
      </c>
      <c r="G49" s="51" t="n">
        <f aca="false">VLOOKUP(A49,Bogey,2,FALSE())</f>
        <v>59.38</v>
      </c>
      <c r="H49" s="52" t="e">
        <f aca="false">IF(C49&gt;0,G49-D49,"")</f>
        <v>#VALUE!</v>
      </c>
      <c r="I49" s="53" t="e">
        <f aca="false">IF(C49&gt;0,H49*ABS(C49),"")</f>
        <v>#VALUE!</v>
      </c>
      <c r="J49" s="54" t="e">
        <f aca="false">IF($C49=0,"",$H49*0.4)</f>
        <v>#VALUE!</v>
      </c>
      <c r="K49" s="49" t="e">
        <f aca="false">IF($C49=0,"",$H49*0.6)</f>
        <v>#VALUE!</v>
      </c>
      <c r="L49" s="49" t="e">
        <f aca="false">IF(C49=0,"",J49*$C49)</f>
        <v>#VALUE!</v>
      </c>
      <c r="M49" s="55" t="e">
        <f aca="false">IF(C49=0,"",C49*K49)</f>
        <v>#VALUE!</v>
      </c>
      <c r="N49" s="56" t="str">
        <f aca="false">IF(C49=0,"",D49)</f>
        <v/>
      </c>
      <c r="O49" s="57" t="e">
        <f aca="false">IF(C49=0,"",D49+J49)</f>
        <v>#VALUE!</v>
      </c>
      <c r="P49" s="44" t="e">
        <f aca="false">IF(C49=0,"",N49*C49)</f>
        <v>#VALUE!</v>
      </c>
      <c r="Q49" s="58" t="e">
        <f aca="false">IF(C49=0,"",O49*C49)</f>
        <v>#VALUE!</v>
      </c>
      <c r="R49" s="44"/>
      <c r="S49" s="59" t="e">
        <f aca="false">IF(C49=0,"",L49)</f>
        <v>#VALUE!</v>
      </c>
      <c r="T49" s="60" t="e">
        <f aca="false">IF(C49=0,"",M49)</f>
        <v>#VALUE!</v>
      </c>
    </row>
    <row r="50" customFormat="false" ht="12.75" hidden="false" customHeight="false" outlineLevel="0" collapsed="false">
      <c r="A50" s="47" t="n">
        <f aca="false">$C$2</f>
        <v>37016</v>
      </c>
      <c r="B50" s="12" t="n">
        <v>10</v>
      </c>
      <c r="C50" s="48" t="str">
        <f aca="false">INDEX(RtMw,C68+9,0)</f>
        <v/>
      </c>
      <c r="D50" s="49" t="str">
        <f aca="false">INDEX(RTPrice,C68+9,0)</f>
        <v/>
      </c>
      <c r="E50" s="50" t="n">
        <f aca="false">VLOOKUP(A50,Gas,4,FALSE())</f>
        <v>4.64</v>
      </c>
      <c r="F50" s="50" t="n">
        <f aca="false">VLOOKUP(A50,Gas,5,FALSE())</f>
        <v>4.64</v>
      </c>
      <c r="G50" s="51" t="n">
        <f aca="false">VLOOKUP(A50,Bogey,2,FALSE())</f>
        <v>59.38</v>
      </c>
      <c r="H50" s="52" t="e">
        <f aca="false">IF(C50&gt;0,G50-D50,"")</f>
        <v>#VALUE!</v>
      </c>
      <c r="I50" s="53" t="e">
        <f aca="false">IF(C50&gt;0,H50*ABS(C50),"")</f>
        <v>#VALUE!</v>
      </c>
      <c r="J50" s="54" t="e">
        <f aca="false">IF($C50=0,"",$H50*0.4)</f>
        <v>#VALUE!</v>
      </c>
      <c r="K50" s="49" t="e">
        <f aca="false">IF($C50=0,"",$H50*0.6)</f>
        <v>#VALUE!</v>
      </c>
      <c r="L50" s="49" t="e">
        <f aca="false">IF(C50=0,"",J50*$C50)</f>
        <v>#VALUE!</v>
      </c>
      <c r="M50" s="55" t="e">
        <f aca="false">IF(C50=0,"",C50*K50)</f>
        <v>#VALUE!</v>
      </c>
      <c r="N50" s="56" t="str">
        <f aca="false">IF(C50=0,"",D50)</f>
        <v/>
      </c>
      <c r="O50" s="57" t="e">
        <f aca="false">IF(C50=0,"",D50+J50)</f>
        <v>#VALUE!</v>
      </c>
      <c r="P50" s="44" t="e">
        <f aca="false">IF(C50=0,"",N50*C50)</f>
        <v>#VALUE!</v>
      </c>
      <c r="Q50" s="58" t="e">
        <f aca="false">IF(C50=0,"",O50*C50)</f>
        <v>#VALUE!</v>
      </c>
      <c r="R50" s="44"/>
      <c r="S50" s="59" t="e">
        <f aca="false">IF(C50=0,"",L50)</f>
        <v>#VALUE!</v>
      </c>
      <c r="T50" s="60" t="e">
        <f aca="false">IF(C50=0,"",M50)</f>
        <v>#VALUE!</v>
      </c>
    </row>
    <row r="51" customFormat="false" ht="12.75" hidden="false" customHeight="false" outlineLevel="0" collapsed="false">
      <c r="A51" s="47" t="n">
        <f aca="false">$C$2</f>
        <v>37016</v>
      </c>
      <c r="B51" s="12" t="n">
        <v>11</v>
      </c>
      <c r="C51" s="48" t="str">
        <f aca="false">INDEX(RtMw,C68+10,0)</f>
        <v/>
      </c>
      <c r="D51" s="49" t="str">
        <f aca="false">INDEX(RTPrice,C68+10,0)</f>
        <v/>
      </c>
      <c r="E51" s="50" t="n">
        <f aca="false">VLOOKUP(A51,Gas,4,FALSE())</f>
        <v>4.64</v>
      </c>
      <c r="F51" s="50" t="n">
        <f aca="false">VLOOKUP(A51,Gas,5,FALSE())</f>
        <v>4.64</v>
      </c>
      <c r="G51" s="51" t="n">
        <f aca="false">VLOOKUP(A51,Bogey,2,FALSE())</f>
        <v>59.38</v>
      </c>
      <c r="H51" s="52" t="e">
        <f aca="false">IF(C51&gt;0,G51-D51,"")</f>
        <v>#VALUE!</v>
      </c>
      <c r="I51" s="53" t="e">
        <f aca="false">IF(C51&gt;0,H51*ABS(C51),"")</f>
        <v>#VALUE!</v>
      </c>
      <c r="J51" s="54" t="e">
        <f aca="false">IF($C51=0,"",$H51*0.4)</f>
        <v>#VALUE!</v>
      </c>
      <c r="K51" s="49" t="e">
        <f aca="false">IF($C51=0,"",$H51*0.6)</f>
        <v>#VALUE!</v>
      </c>
      <c r="L51" s="49" t="e">
        <f aca="false">IF(C51=0,"",J51*$C51)</f>
        <v>#VALUE!</v>
      </c>
      <c r="M51" s="55" t="e">
        <f aca="false">IF(C51=0,"",C51*K51)</f>
        <v>#VALUE!</v>
      </c>
      <c r="N51" s="56" t="str">
        <f aca="false">IF(C51=0,"",D51)</f>
        <v/>
      </c>
      <c r="O51" s="57" t="e">
        <f aca="false">IF(C51=0,"",D51+J51)</f>
        <v>#VALUE!</v>
      </c>
      <c r="P51" s="44" t="e">
        <f aca="false">IF(C51=0,"",N51*C51)</f>
        <v>#VALUE!</v>
      </c>
      <c r="Q51" s="58" t="e">
        <f aca="false">IF(C51=0,"",O51*C51)</f>
        <v>#VALUE!</v>
      </c>
      <c r="R51" s="44"/>
      <c r="S51" s="59" t="e">
        <f aca="false">IF(C51=0,"",L51)</f>
        <v>#VALUE!</v>
      </c>
      <c r="T51" s="60" t="e">
        <f aca="false">IF(C51=0,"",M51)</f>
        <v>#VALUE!</v>
      </c>
    </row>
    <row r="52" customFormat="false" ht="12.75" hidden="false" customHeight="false" outlineLevel="0" collapsed="false">
      <c r="A52" s="47" t="n">
        <f aca="false">$C$2</f>
        <v>37016</v>
      </c>
      <c r="B52" s="12" t="n">
        <v>12</v>
      </c>
      <c r="C52" s="48" t="str">
        <f aca="false">INDEX(RtMw,C68+11,0)</f>
        <v/>
      </c>
      <c r="D52" s="49" t="str">
        <f aca="false">INDEX(RTPrice,C68+11,0)</f>
        <v/>
      </c>
      <c r="E52" s="50" t="n">
        <f aca="false">VLOOKUP(A52,Gas,4,FALSE())</f>
        <v>4.64</v>
      </c>
      <c r="F52" s="50" t="n">
        <f aca="false">VLOOKUP(A52,Gas,5,FALSE())</f>
        <v>4.64</v>
      </c>
      <c r="G52" s="51" t="n">
        <f aca="false">VLOOKUP(A52,Bogey,2,FALSE())</f>
        <v>59.38</v>
      </c>
      <c r="H52" s="52" t="e">
        <f aca="false">IF(C52&gt;0,G52-D52,"")</f>
        <v>#VALUE!</v>
      </c>
      <c r="I52" s="53" t="e">
        <f aca="false">IF(C52&gt;0,H52*ABS(C52),"")</f>
        <v>#VALUE!</v>
      </c>
      <c r="J52" s="54" t="e">
        <f aca="false">IF($C52=0,"",$H52*0.4)</f>
        <v>#VALUE!</v>
      </c>
      <c r="K52" s="49" t="e">
        <f aca="false">IF($C52=0,"",$H52*0.6)</f>
        <v>#VALUE!</v>
      </c>
      <c r="L52" s="49" t="e">
        <f aca="false">IF(C52=0,"",J52*$C52)</f>
        <v>#VALUE!</v>
      </c>
      <c r="M52" s="55" t="e">
        <f aca="false">IF(C52=0,"",C52*K52)</f>
        <v>#VALUE!</v>
      </c>
      <c r="N52" s="56" t="str">
        <f aca="false">IF(C52=0,"",D52)</f>
        <v/>
      </c>
      <c r="O52" s="57" t="e">
        <f aca="false">IF(C52=0,"",D52+J52)</f>
        <v>#VALUE!</v>
      </c>
      <c r="P52" s="44" t="e">
        <f aca="false">IF(C52=0,"",N52*C52)</f>
        <v>#VALUE!</v>
      </c>
      <c r="Q52" s="58" t="e">
        <f aca="false">IF(C52=0,"",O52*C52)</f>
        <v>#VALUE!</v>
      </c>
      <c r="R52" s="44"/>
      <c r="S52" s="59" t="e">
        <f aca="false">IF(C52=0,"",L52)</f>
        <v>#VALUE!</v>
      </c>
      <c r="T52" s="60" t="e">
        <f aca="false">IF(C52=0,"",M52)</f>
        <v>#VALUE!</v>
      </c>
    </row>
    <row r="53" customFormat="false" ht="12.75" hidden="false" customHeight="false" outlineLevel="0" collapsed="false">
      <c r="A53" s="47" t="n">
        <f aca="false">$C$2</f>
        <v>37016</v>
      </c>
      <c r="B53" s="12" t="n">
        <v>13</v>
      </c>
      <c r="C53" s="48" t="str">
        <f aca="false">INDEX(RtMw,C68+12,0)</f>
        <v/>
      </c>
      <c r="D53" s="49" t="str">
        <f aca="false">INDEX(RTPrice,C68+12,0)</f>
        <v/>
      </c>
      <c r="E53" s="50" t="n">
        <f aca="false">VLOOKUP(A53,Gas,4,FALSE())</f>
        <v>4.64</v>
      </c>
      <c r="F53" s="50" t="n">
        <f aca="false">VLOOKUP(A53,Gas,5,FALSE())</f>
        <v>4.64</v>
      </c>
      <c r="G53" s="51" t="n">
        <f aca="false">VLOOKUP(A53,Bogey,2,FALSE())</f>
        <v>59.38</v>
      </c>
      <c r="H53" s="52" t="e">
        <f aca="false">IF(C53&gt;0,G53-D53,"")</f>
        <v>#VALUE!</v>
      </c>
      <c r="I53" s="53" t="e">
        <f aca="false">IF(C53&gt;0,H53*ABS(C53),"")</f>
        <v>#VALUE!</v>
      </c>
      <c r="J53" s="54" t="e">
        <f aca="false">IF($C53=0,"",$H53*0.4)</f>
        <v>#VALUE!</v>
      </c>
      <c r="K53" s="49" t="e">
        <f aca="false">IF($C53=0,"",$H53*0.6)</f>
        <v>#VALUE!</v>
      </c>
      <c r="L53" s="49" t="e">
        <f aca="false">IF(C53=0,"",J53*$C53)</f>
        <v>#VALUE!</v>
      </c>
      <c r="M53" s="55" t="e">
        <f aca="false">IF(C53=0,"",C53*K53)</f>
        <v>#VALUE!</v>
      </c>
      <c r="N53" s="56" t="str">
        <f aca="false">IF(C53=0,"",D53)</f>
        <v/>
      </c>
      <c r="O53" s="57" t="e">
        <f aca="false">IF(C53=0,"",D53+J53)</f>
        <v>#VALUE!</v>
      </c>
      <c r="P53" s="44" t="e">
        <f aca="false">IF(C53=0,"",N53*C53)</f>
        <v>#VALUE!</v>
      </c>
      <c r="Q53" s="58" t="e">
        <f aca="false">IF(C53=0,"",O53*C53)</f>
        <v>#VALUE!</v>
      </c>
      <c r="R53" s="44"/>
      <c r="S53" s="59" t="e">
        <f aca="false">IF(C53=0,"",L53)</f>
        <v>#VALUE!</v>
      </c>
      <c r="T53" s="60" t="e">
        <f aca="false">IF(C53=0,"",M53)</f>
        <v>#VALUE!</v>
      </c>
    </row>
    <row r="54" customFormat="false" ht="12.75" hidden="false" customHeight="false" outlineLevel="0" collapsed="false">
      <c r="A54" s="47" t="n">
        <f aca="false">$C$2</f>
        <v>37016</v>
      </c>
      <c r="B54" s="12" t="n">
        <v>14</v>
      </c>
      <c r="C54" s="48" t="str">
        <f aca="false">INDEX(RtMw,C68+13,0)</f>
        <v/>
      </c>
      <c r="D54" s="49" t="str">
        <f aca="false">INDEX(RTPrice,C68+13,0)</f>
        <v/>
      </c>
      <c r="E54" s="50" t="n">
        <f aca="false">VLOOKUP(A54,Gas,4,FALSE())</f>
        <v>4.64</v>
      </c>
      <c r="F54" s="50" t="n">
        <f aca="false">VLOOKUP(A54,Gas,5,FALSE())</f>
        <v>4.64</v>
      </c>
      <c r="G54" s="51" t="n">
        <f aca="false">VLOOKUP(A54,Bogey,2,FALSE())</f>
        <v>59.38</v>
      </c>
      <c r="H54" s="52" t="e">
        <f aca="false">IF(C54&gt;0,G54-D54,"")</f>
        <v>#VALUE!</v>
      </c>
      <c r="I54" s="53" t="e">
        <f aca="false">IF(C54&gt;0,H54*ABS(C54),"")</f>
        <v>#VALUE!</v>
      </c>
      <c r="J54" s="54" t="e">
        <f aca="false">IF($C54=0,"",$H54*0.4)</f>
        <v>#VALUE!</v>
      </c>
      <c r="K54" s="49" t="e">
        <f aca="false">IF($C54=0,"",$H54*0.6)</f>
        <v>#VALUE!</v>
      </c>
      <c r="L54" s="49" t="e">
        <f aca="false">IF(C54=0,"",J54*$C54)</f>
        <v>#VALUE!</v>
      </c>
      <c r="M54" s="55" t="e">
        <f aca="false">IF(C54=0,"",C54*K54)</f>
        <v>#VALUE!</v>
      </c>
      <c r="N54" s="56" t="str">
        <f aca="false">IF(C54=0,"",D54)</f>
        <v/>
      </c>
      <c r="O54" s="57" t="e">
        <f aca="false">IF(C54=0,"",D54+J54)</f>
        <v>#VALUE!</v>
      </c>
      <c r="P54" s="44" t="e">
        <f aca="false">IF(C54=0,"",N54*C54)</f>
        <v>#VALUE!</v>
      </c>
      <c r="Q54" s="58" t="e">
        <f aca="false">IF(C54=0,"",O54*C54)</f>
        <v>#VALUE!</v>
      </c>
      <c r="R54" s="44"/>
      <c r="S54" s="59" t="e">
        <f aca="false">IF(C54=0,"",L54)</f>
        <v>#VALUE!</v>
      </c>
      <c r="T54" s="60" t="e">
        <f aca="false">IF(C54=0,"",M54)</f>
        <v>#VALUE!</v>
      </c>
    </row>
    <row r="55" customFormat="false" ht="12.75" hidden="false" customHeight="false" outlineLevel="0" collapsed="false">
      <c r="A55" s="47" t="n">
        <f aca="false">$C$2</f>
        <v>37016</v>
      </c>
      <c r="B55" s="12" t="n">
        <v>15</v>
      </c>
      <c r="C55" s="48" t="str">
        <f aca="false">INDEX(RtMw,C68+14,0)</f>
        <v/>
      </c>
      <c r="D55" s="49" t="str">
        <f aca="false">INDEX(RTPrice,C68+14,0)</f>
        <v/>
      </c>
      <c r="E55" s="50" t="n">
        <f aca="false">VLOOKUP(A55,Gas,4,FALSE())</f>
        <v>4.64</v>
      </c>
      <c r="F55" s="50" t="n">
        <f aca="false">VLOOKUP(A55,Gas,5,FALSE())</f>
        <v>4.64</v>
      </c>
      <c r="G55" s="51" t="n">
        <f aca="false">VLOOKUP(A55,Bogey,2,FALSE())</f>
        <v>59.38</v>
      </c>
      <c r="H55" s="52" t="e">
        <f aca="false">IF(C55&gt;0,G55-D55,"")</f>
        <v>#VALUE!</v>
      </c>
      <c r="I55" s="53" t="e">
        <f aca="false">IF(C55&gt;0,H55*ABS(C55),"")</f>
        <v>#VALUE!</v>
      </c>
      <c r="J55" s="54" t="e">
        <f aca="false">IF($C55=0,"",$H55*0.4)</f>
        <v>#VALUE!</v>
      </c>
      <c r="K55" s="49" t="e">
        <f aca="false">IF($C55=0,"",$H55*0.6)</f>
        <v>#VALUE!</v>
      </c>
      <c r="L55" s="49" t="e">
        <f aca="false">IF(C55=0,"",J55*$C55)</f>
        <v>#VALUE!</v>
      </c>
      <c r="M55" s="55" t="e">
        <f aca="false">IF(C55=0,"",C55*K55)</f>
        <v>#VALUE!</v>
      </c>
      <c r="N55" s="56" t="str">
        <f aca="false">IF(C55=0,"",D55)</f>
        <v/>
      </c>
      <c r="O55" s="57"/>
      <c r="P55" s="44" t="e">
        <f aca="false">IF(C55=0,"",N55*C55)</f>
        <v>#VALUE!</v>
      </c>
      <c r="Q55" s="58" t="e">
        <f aca="false">IF(C55=0,"",O55*C55)</f>
        <v>#VALUE!</v>
      </c>
      <c r="R55" s="44"/>
      <c r="S55" s="59" t="e">
        <f aca="false">IF(C55=0,"",L55)</f>
        <v>#VALUE!</v>
      </c>
      <c r="T55" s="60" t="e">
        <f aca="false">IF(C55=0,"",M55)</f>
        <v>#VALUE!</v>
      </c>
    </row>
    <row r="56" customFormat="false" ht="12.75" hidden="false" customHeight="false" outlineLevel="0" collapsed="false">
      <c r="A56" s="47" t="n">
        <f aca="false">$C$2</f>
        <v>37016</v>
      </c>
      <c r="B56" s="12" t="n">
        <v>16</v>
      </c>
      <c r="C56" s="48" t="str">
        <f aca="false">INDEX(RtMw,C68+15,0)</f>
        <v/>
      </c>
      <c r="D56" s="49" t="str">
        <f aca="false">INDEX(RTPrice,C68+15,0)</f>
        <v/>
      </c>
      <c r="E56" s="50" t="n">
        <f aca="false">VLOOKUP(A56,Gas,4,FALSE())</f>
        <v>4.64</v>
      </c>
      <c r="F56" s="50" t="n">
        <f aca="false">VLOOKUP(A56,Gas,5,FALSE())</f>
        <v>4.64</v>
      </c>
      <c r="G56" s="51" t="n">
        <f aca="false">VLOOKUP(A56,Bogey,2,FALSE())</f>
        <v>59.38</v>
      </c>
      <c r="H56" s="52" t="e">
        <f aca="false">IF(C56&gt;0,G56-D56,"")</f>
        <v>#VALUE!</v>
      </c>
      <c r="I56" s="53" t="e">
        <f aca="false">IF(C56&gt;0,H56*ABS(C56),"")</f>
        <v>#VALUE!</v>
      </c>
      <c r="J56" s="54" t="e">
        <f aca="false">IF($C56=0,"",$H56*0.4)</f>
        <v>#VALUE!</v>
      </c>
      <c r="K56" s="49" t="e">
        <f aca="false">IF($C56=0,"",$H56*0.6)</f>
        <v>#VALUE!</v>
      </c>
      <c r="L56" s="49" t="e">
        <f aca="false">IF(C56=0,"",J56*$C56)</f>
        <v>#VALUE!</v>
      </c>
      <c r="M56" s="55" t="e">
        <f aca="false">IF(C56=0,"",C56*K56)</f>
        <v>#VALUE!</v>
      </c>
      <c r="N56" s="56" t="str">
        <f aca="false">IF(C56=0,"",D56)</f>
        <v/>
      </c>
      <c r="O56" s="57"/>
      <c r="P56" s="44" t="e">
        <f aca="false">IF(C56=0,"",N56*C56)</f>
        <v>#VALUE!</v>
      </c>
      <c r="Q56" s="58" t="e">
        <f aca="false">IF(C56=0,"",O56*C56)</f>
        <v>#VALUE!</v>
      </c>
      <c r="R56" s="44"/>
      <c r="S56" s="59" t="e">
        <f aca="false">IF(C56=0,"",L56)</f>
        <v>#VALUE!</v>
      </c>
      <c r="T56" s="60" t="e">
        <f aca="false">IF(C56=0,"",M56)</f>
        <v>#VALUE!</v>
      </c>
    </row>
    <row r="57" customFormat="false" ht="12.75" hidden="false" customHeight="false" outlineLevel="0" collapsed="false">
      <c r="A57" s="47" t="n">
        <f aca="false">$C$2</f>
        <v>37016</v>
      </c>
      <c r="B57" s="12" t="n">
        <v>17</v>
      </c>
      <c r="C57" s="48" t="str">
        <f aca="false">INDEX(RtMw,C68+16,0)</f>
        <v/>
      </c>
      <c r="D57" s="49" t="str">
        <f aca="false">INDEX(RTPrice,C68+16,0)</f>
        <v/>
      </c>
      <c r="E57" s="50" t="n">
        <f aca="false">VLOOKUP(A57,Gas,4,FALSE())</f>
        <v>4.64</v>
      </c>
      <c r="F57" s="50" t="n">
        <f aca="false">VLOOKUP(A57,Gas,5,FALSE())</f>
        <v>4.64</v>
      </c>
      <c r="G57" s="51" t="n">
        <f aca="false">VLOOKUP(A57,Bogey,2,FALSE())</f>
        <v>59.38</v>
      </c>
      <c r="H57" s="52" t="e">
        <f aca="false">IF(C57&gt;0,G57-D57,"")</f>
        <v>#VALUE!</v>
      </c>
      <c r="I57" s="53" t="e">
        <f aca="false">IF(C57&gt;0,H57*ABS(C57),"")</f>
        <v>#VALUE!</v>
      </c>
      <c r="J57" s="54" t="e">
        <f aca="false">IF($C57=0,"",$H57*0.4)</f>
        <v>#VALUE!</v>
      </c>
      <c r="K57" s="49" t="e">
        <f aca="false">IF($C57=0,"",$H57*0.6)</f>
        <v>#VALUE!</v>
      </c>
      <c r="L57" s="49" t="e">
        <f aca="false">IF(C57=0,"",J57*$C57)</f>
        <v>#VALUE!</v>
      </c>
      <c r="M57" s="55" t="e">
        <f aca="false">IF(C57=0,"",C57*K57)</f>
        <v>#VALUE!</v>
      </c>
      <c r="N57" s="56" t="str">
        <f aca="false">IF(C57=0,"",D57)</f>
        <v/>
      </c>
      <c r="O57" s="57"/>
      <c r="P57" s="44" t="e">
        <f aca="false">IF(C57=0,"",N57*C57)</f>
        <v>#VALUE!</v>
      </c>
      <c r="Q57" s="58" t="e">
        <f aca="false">IF(C57=0,"",O57*C57)</f>
        <v>#VALUE!</v>
      </c>
      <c r="R57" s="44"/>
      <c r="S57" s="59" t="e">
        <f aca="false">IF(C57=0,"",L57)</f>
        <v>#VALUE!</v>
      </c>
      <c r="T57" s="60" t="e">
        <f aca="false">IF(C57=0,"",M57)</f>
        <v>#VALUE!</v>
      </c>
    </row>
    <row r="58" customFormat="false" ht="12.75" hidden="false" customHeight="false" outlineLevel="0" collapsed="false">
      <c r="A58" s="47" t="n">
        <f aca="false">$C$2</f>
        <v>37016</v>
      </c>
      <c r="B58" s="12" t="n">
        <v>18</v>
      </c>
      <c r="C58" s="48" t="str">
        <f aca="false">INDEX(RtMw,C68+17,0)</f>
        <v/>
      </c>
      <c r="D58" s="49" t="str">
        <f aca="false">INDEX(RTPrice,C68+17,0)</f>
        <v/>
      </c>
      <c r="E58" s="50" t="n">
        <f aca="false">VLOOKUP(A58,Gas,4,FALSE())</f>
        <v>4.64</v>
      </c>
      <c r="F58" s="50" t="n">
        <f aca="false">VLOOKUP(A58,Gas,5,FALSE())</f>
        <v>4.64</v>
      </c>
      <c r="G58" s="51" t="n">
        <f aca="false">VLOOKUP(A58,Bogey,2,FALSE())</f>
        <v>59.38</v>
      </c>
      <c r="H58" s="52" t="e">
        <f aca="false">IF(C58&gt;0,G58-D58,"")</f>
        <v>#VALUE!</v>
      </c>
      <c r="I58" s="53" t="e">
        <f aca="false">IF(C58&gt;0,H58*ABS(C58),"")</f>
        <v>#VALUE!</v>
      </c>
      <c r="J58" s="54" t="e">
        <f aca="false">IF($C58=0,"",$H58*0.4)</f>
        <v>#VALUE!</v>
      </c>
      <c r="K58" s="49" t="e">
        <f aca="false">IF($C58=0,"",$H58*0.6)</f>
        <v>#VALUE!</v>
      </c>
      <c r="L58" s="49" t="e">
        <f aca="false">IF(C58=0,"",J58*$C58)</f>
        <v>#VALUE!</v>
      </c>
      <c r="M58" s="55" t="e">
        <f aca="false">IF(C58=0,"",C58*K58)</f>
        <v>#VALUE!</v>
      </c>
      <c r="N58" s="56" t="str">
        <f aca="false">IF(C58=0,"",D58)</f>
        <v/>
      </c>
      <c r="O58" s="57"/>
      <c r="P58" s="44" t="e">
        <f aca="false">IF(C58=0,"",N58*C58)</f>
        <v>#VALUE!</v>
      </c>
      <c r="Q58" s="58" t="e">
        <f aca="false">IF(C58=0,"",O58*C58)</f>
        <v>#VALUE!</v>
      </c>
      <c r="R58" s="44"/>
      <c r="S58" s="59" t="e">
        <f aca="false">IF(C58=0,"",L58)</f>
        <v>#VALUE!</v>
      </c>
      <c r="T58" s="60" t="e">
        <f aca="false">IF(C58=0,"",M58)</f>
        <v>#VALUE!</v>
      </c>
    </row>
    <row r="59" customFormat="false" ht="12.75" hidden="false" customHeight="false" outlineLevel="0" collapsed="false">
      <c r="A59" s="47" t="n">
        <f aca="false">$C$2</f>
        <v>37016</v>
      </c>
      <c r="B59" s="12" t="n">
        <v>19</v>
      </c>
      <c r="C59" s="48" t="str">
        <f aca="false">INDEX(RtMw,C68+18,0)</f>
        <v/>
      </c>
      <c r="D59" s="49" t="str">
        <f aca="false">INDEX(RTPrice,C68+18,0)</f>
        <v/>
      </c>
      <c r="E59" s="50" t="n">
        <f aca="false">VLOOKUP(A59,Gas,4,FALSE())</f>
        <v>4.64</v>
      </c>
      <c r="F59" s="50" t="n">
        <f aca="false">VLOOKUP(A59,Gas,5,FALSE())</f>
        <v>4.64</v>
      </c>
      <c r="G59" s="51" t="n">
        <f aca="false">VLOOKUP(A59,Bogey,2,FALSE())</f>
        <v>59.38</v>
      </c>
      <c r="H59" s="52" t="e">
        <f aca="false">IF(C59&gt;0,G59-D59,"")</f>
        <v>#VALUE!</v>
      </c>
      <c r="I59" s="53" t="e">
        <f aca="false">IF(C59&gt;0,H59*ABS(C59),"")</f>
        <v>#VALUE!</v>
      </c>
      <c r="J59" s="54" t="e">
        <f aca="false">IF($C59=0,"",$H59*0.4)</f>
        <v>#VALUE!</v>
      </c>
      <c r="K59" s="49" t="e">
        <f aca="false">IF($C59=0,"",$H59*0.6)</f>
        <v>#VALUE!</v>
      </c>
      <c r="L59" s="49" t="e">
        <f aca="false">IF(C59=0,"",J59*$C59)</f>
        <v>#VALUE!</v>
      </c>
      <c r="M59" s="55" t="e">
        <f aca="false">IF(C59=0,"",C59*K59)</f>
        <v>#VALUE!</v>
      </c>
      <c r="N59" s="56" t="str">
        <f aca="false">IF(C59=0,"",D59)</f>
        <v/>
      </c>
      <c r="O59" s="57"/>
      <c r="P59" s="44" t="e">
        <f aca="false">IF(C59=0,"",N59*C59)</f>
        <v>#VALUE!</v>
      </c>
      <c r="Q59" s="58" t="e">
        <f aca="false">IF(C59=0,"",O59*C59)</f>
        <v>#VALUE!</v>
      </c>
      <c r="R59" s="44"/>
      <c r="S59" s="59" t="e">
        <f aca="false">IF(C59=0,"",L59)</f>
        <v>#VALUE!</v>
      </c>
      <c r="T59" s="60" t="e">
        <f aca="false">IF(C59=0,"",M59)</f>
        <v>#VALUE!</v>
      </c>
    </row>
    <row r="60" customFormat="false" ht="12.75" hidden="false" customHeight="false" outlineLevel="0" collapsed="false">
      <c r="A60" s="47" t="n">
        <f aca="false">$C$2</f>
        <v>37016</v>
      </c>
      <c r="B60" s="12" t="n">
        <v>20</v>
      </c>
      <c r="C60" s="48" t="str">
        <f aca="false">INDEX(RtMw,C68+19,0)</f>
        <v/>
      </c>
      <c r="D60" s="49" t="str">
        <f aca="false">INDEX(RTPrice,C68+19,0)</f>
        <v/>
      </c>
      <c r="E60" s="50" t="n">
        <f aca="false">VLOOKUP(A60,Gas,4,FALSE())</f>
        <v>4.64</v>
      </c>
      <c r="F60" s="50" t="n">
        <f aca="false">VLOOKUP(A60,Gas,5,FALSE())</f>
        <v>4.64</v>
      </c>
      <c r="G60" s="51" t="n">
        <f aca="false">VLOOKUP(A60,Bogey,2,FALSE())</f>
        <v>59.38</v>
      </c>
      <c r="H60" s="52" t="e">
        <f aca="false">IF(C60&gt;0,G60-D60,"")</f>
        <v>#VALUE!</v>
      </c>
      <c r="I60" s="53" t="e">
        <f aca="false">IF(C60&gt;0,H60*ABS(C60),"")</f>
        <v>#VALUE!</v>
      </c>
      <c r="J60" s="54" t="e">
        <f aca="false">IF($C60=0,"",$H60*0.4)</f>
        <v>#VALUE!</v>
      </c>
      <c r="K60" s="49" t="e">
        <f aca="false">IF($C60=0,"",$H60*0.6)</f>
        <v>#VALUE!</v>
      </c>
      <c r="L60" s="49" t="e">
        <f aca="false">IF(C60=0,"",J60*$C60)</f>
        <v>#VALUE!</v>
      </c>
      <c r="M60" s="55" t="e">
        <f aca="false">IF(C60=0,"",C60*K60)</f>
        <v>#VALUE!</v>
      </c>
      <c r="N60" s="56" t="str">
        <f aca="false">IF(C60=0,"",D60)</f>
        <v/>
      </c>
      <c r="O60" s="57"/>
      <c r="P60" s="44" t="e">
        <f aca="false">IF(C60=0,"",N60*C60)</f>
        <v>#VALUE!</v>
      </c>
      <c r="Q60" s="58" t="e">
        <f aca="false">IF(C60=0,"",O60*C60)</f>
        <v>#VALUE!</v>
      </c>
      <c r="R60" s="44"/>
      <c r="S60" s="59" t="e">
        <f aca="false">IF(C60=0,"",L60)</f>
        <v>#VALUE!</v>
      </c>
      <c r="T60" s="60" t="e">
        <f aca="false">IF(C60=0,"",M60)</f>
        <v>#VALUE!</v>
      </c>
    </row>
    <row r="61" customFormat="false" ht="12.75" hidden="false" customHeight="false" outlineLevel="0" collapsed="false">
      <c r="A61" s="47" t="n">
        <f aca="false">$C$2</f>
        <v>37016</v>
      </c>
      <c r="B61" s="12" t="n">
        <v>21</v>
      </c>
      <c r="C61" s="48" t="str">
        <f aca="false">INDEX(RtMw,C68+20,0)</f>
        <v/>
      </c>
      <c r="D61" s="49" t="str">
        <f aca="false">INDEX(RTPrice,C68+20,0)</f>
        <v/>
      </c>
      <c r="E61" s="50" t="n">
        <f aca="false">VLOOKUP(A61,Gas,4,FALSE())</f>
        <v>4.64</v>
      </c>
      <c r="F61" s="50" t="n">
        <f aca="false">VLOOKUP(A61,Gas,5,FALSE())</f>
        <v>4.64</v>
      </c>
      <c r="G61" s="51" t="n">
        <f aca="false">VLOOKUP(A61,Bogey,2,FALSE())</f>
        <v>59.38</v>
      </c>
      <c r="H61" s="52" t="e">
        <f aca="false">IF(C61&gt;0,G61-D61,"")</f>
        <v>#VALUE!</v>
      </c>
      <c r="I61" s="53" t="e">
        <f aca="false">IF(C61&gt;0,H61*ABS(C61),"")</f>
        <v>#VALUE!</v>
      </c>
      <c r="J61" s="54" t="e">
        <f aca="false">IF($C61=0,"",$H61*0.4)</f>
        <v>#VALUE!</v>
      </c>
      <c r="K61" s="49" t="e">
        <f aca="false">IF($C61=0,"",$H61*0.6)</f>
        <v>#VALUE!</v>
      </c>
      <c r="L61" s="49" t="e">
        <f aca="false">IF(C61=0,"",J61*$C61)</f>
        <v>#VALUE!</v>
      </c>
      <c r="M61" s="55" t="e">
        <f aca="false">IF(C61=0,"",C61*K61)</f>
        <v>#VALUE!</v>
      </c>
      <c r="N61" s="56" t="str">
        <f aca="false">IF(C61=0,"",D61)</f>
        <v/>
      </c>
      <c r="O61" s="57"/>
      <c r="P61" s="44" t="e">
        <f aca="false">IF(C61=0,"",N61*C61)</f>
        <v>#VALUE!</v>
      </c>
      <c r="Q61" s="58" t="e">
        <f aca="false">IF(C61=0,"",O61*C61)</f>
        <v>#VALUE!</v>
      </c>
      <c r="R61" s="44"/>
      <c r="S61" s="59" t="e">
        <f aca="false">IF(C61=0,"",L61)</f>
        <v>#VALUE!</v>
      </c>
      <c r="T61" s="60" t="e">
        <f aca="false">IF(C61=0,"",M61)</f>
        <v>#VALUE!</v>
      </c>
    </row>
    <row r="62" customFormat="false" ht="12.75" hidden="false" customHeight="false" outlineLevel="0" collapsed="false">
      <c r="A62" s="47" t="n">
        <f aca="false">$C$2</f>
        <v>37016</v>
      </c>
      <c r="B62" s="12" t="n">
        <v>22</v>
      </c>
      <c r="C62" s="48" t="str">
        <f aca="false">INDEX(RtMw,C68+21,0)</f>
        <v/>
      </c>
      <c r="D62" s="49" t="str">
        <f aca="false">INDEX(RTPrice,C68+21,0)</f>
        <v/>
      </c>
      <c r="E62" s="50" t="n">
        <f aca="false">VLOOKUP(A62,Gas,4,FALSE())</f>
        <v>4.64</v>
      </c>
      <c r="F62" s="50" t="n">
        <f aca="false">VLOOKUP(A62,Gas,5,FALSE())</f>
        <v>4.64</v>
      </c>
      <c r="G62" s="51" t="n">
        <f aca="false">VLOOKUP(A62,Bogey,2,FALSE())</f>
        <v>59.38</v>
      </c>
      <c r="H62" s="52" t="e">
        <f aca="false">IF(C62&gt;0,G62-D62,"")</f>
        <v>#VALUE!</v>
      </c>
      <c r="I62" s="53" t="e">
        <f aca="false">IF(C62&gt;0,H62*ABS(C62),"")</f>
        <v>#VALUE!</v>
      </c>
      <c r="J62" s="54" t="e">
        <f aca="false">IF($C62=0,"",$H62*0.4)</f>
        <v>#VALUE!</v>
      </c>
      <c r="K62" s="49" t="e">
        <f aca="false">IF($C62=0,"",$H62*0.6)</f>
        <v>#VALUE!</v>
      </c>
      <c r="L62" s="49" t="e">
        <f aca="false">IF(C62=0,"",J62*$C62)</f>
        <v>#VALUE!</v>
      </c>
      <c r="M62" s="55" t="e">
        <f aca="false">IF(C62=0,"",C62*K62)</f>
        <v>#VALUE!</v>
      </c>
      <c r="N62" s="56" t="str">
        <f aca="false">IF(C62=0,"",D62)</f>
        <v/>
      </c>
      <c r="O62" s="57"/>
      <c r="P62" s="44" t="e">
        <f aca="false">IF(C62=0,"",N62*C62)</f>
        <v>#VALUE!</v>
      </c>
      <c r="Q62" s="58" t="e">
        <f aca="false">IF(C62=0,"",O62*C62)</f>
        <v>#VALUE!</v>
      </c>
      <c r="R62" s="44"/>
      <c r="S62" s="59" t="e">
        <f aca="false">IF(C62=0,"",L62)</f>
        <v>#VALUE!</v>
      </c>
      <c r="T62" s="60" t="e">
        <f aca="false">IF(C62=0,"",M62)</f>
        <v>#VALUE!</v>
      </c>
    </row>
    <row r="63" customFormat="false" ht="12.75" hidden="false" customHeight="false" outlineLevel="0" collapsed="false">
      <c r="A63" s="47" t="n">
        <f aca="false">$C$2</f>
        <v>37016</v>
      </c>
      <c r="B63" s="12" t="n">
        <v>23</v>
      </c>
      <c r="C63" s="48" t="str">
        <f aca="false">INDEX(RtMw,C68+22,0)</f>
        <v/>
      </c>
      <c r="D63" s="49" t="str">
        <f aca="false">INDEX(RTPrice,C68+22,0)</f>
        <v/>
      </c>
      <c r="E63" s="50" t="n">
        <f aca="false">VLOOKUP(A63,Gas,4,FALSE())</f>
        <v>4.64</v>
      </c>
      <c r="F63" s="50" t="n">
        <f aca="false">VLOOKUP(A63,Gas,5,FALSE())</f>
        <v>4.64</v>
      </c>
      <c r="G63" s="51" t="n">
        <f aca="false">VLOOKUP(A63,Bogey,2,FALSE())</f>
        <v>59.38</v>
      </c>
      <c r="H63" s="52" t="e">
        <f aca="false">IF(C63&gt;0,G63-D63,"")</f>
        <v>#VALUE!</v>
      </c>
      <c r="I63" s="53" t="e">
        <f aca="false">IF(C63&gt;0,H63*ABS(C63),"")</f>
        <v>#VALUE!</v>
      </c>
      <c r="J63" s="54" t="n">
        <f aca="false">IF(C63=0,"",1)</f>
        <v>1</v>
      </c>
      <c r="K63" s="44" t="e">
        <f aca="false">IF(C63=0,"",G63-(D63+1))</f>
        <v>#VALUE!</v>
      </c>
      <c r="L63" s="44" t="e">
        <f aca="false">IF(C63=0,"",C63*J63)</f>
        <v>#VALUE!</v>
      </c>
      <c r="M63" s="55" t="e">
        <f aca="false">IF(C63=0,"",C63*K63)</f>
        <v>#VALUE!</v>
      </c>
      <c r="N63" s="56" t="str">
        <f aca="false">IF(C63=0,"",D63)</f>
        <v/>
      </c>
      <c r="O63" s="57" t="e">
        <f aca="false">IF(C63=0,"",D63+1)</f>
        <v>#VALUE!</v>
      </c>
      <c r="P63" s="44" t="e">
        <f aca="false">IF(C63=0,"",N63*C63)</f>
        <v>#VALUE!</v>
      </c>
      <c r="Q63" s="58" t="e">
        <f aca="false">IF(C63=0,"",O63*C63)</f>
        <v>#VALUE!</v>
      </c>
      <c r="R63" s="44"/>
      <c r="S63" s="59" t="e">
        <f aca="false">IF(C63=0,"",L63)</f>
        <v>#VALUE!</v>
      </c>
      <c r="T63" s="60" t="e">
        <f aca="false">IF(C63=0,"",M63)</f>
        <v>#VALUE!</v>
      </c>
    </row>
    <row r="64" customFormat="false" ht="12.75" hidden="false" customHeight="false" outlineLevel="0" collapsed="false">
      <c r="A64" s="61" t="n">
        <f aca="false">$C$2</f>
        <v>37016</v>
      </c>
      <c r="B64" s="62" t="n">
        <v>24</v>
      </c>
      <c r="C64" s="63" t="str">
        <f aca="false">INDEX(RtMw,C68+23,0)</f>
        <v/>
      </c>
      <c r="D64" s="64" t="str">
        <f aca="false">INDEX(RTPrice,C68+23,0)</f>
        <v/>
      </c>
      <c r="E64" s="65" t="n">
        <f aca="false">VLOOKUP(A64,Gas,4,FALSE())</f>
        <v>4.64</v>
      </c>
      <c r="F64" s="65" t="n">
        <f aca="false">VLOOKUP(A64,Gas,5,FALSE())</f>
        <v>4.64</v>
      </c>
      <c r="G64" s="66" t="n">
        <f aca="false">VLOOKUP(A64,Bogey,2,FALSE())</f>
        <v>59.38</v>
      </c>
      <c r="H64" s="67" t="e">
        <f aca="false">IF(C64&gt;0,G64-D64,"")</f>
        <v>#VALUE!</v>
      </c>
      <c r="I64" s="68" t="e">
        <f aca="false">IF(C64&gt;0,H64*ABS(C64),"")</f>
        <v>#VALUE!</v>
      </c>
      <c r="J64" s="69" t="n">
        <f aca="false">IF(C64=0,"",1)</f>
        <v>1</v>
      </c>
      <c r="K64" s="70" t="e">
        <f aca="false">IF(C64=0,"",G64-(D64+1))</f>
        <v>#VALUE!</v>
      </c>
      <c r="L64" s="70" t="e">
        <f aca="false">IF(C64=0,"",C64*J64)</f>
        <v>#VALUE!</v>
      </c>
      <c r="M64" s="71" t="e">
        <f aca="false">IF(C64=0,"",C64*K64)</f>
        <v>#VALUE!</v>
      </c>
      <c r="N64" s="72" t="str">
        <f aca="false">IF(C64=0,"",D64)</f>
        <v/>
      </c>
      <c r="O64" s="73" t="e">
        <f aca="false">IF(C64=0,"",D64+1)</f>
        <v>#VALUE!</v>
      </c>
      <c r="P64" s="70" t="e">
        <f aca="false">IF(C64=0,"",N64*C64)</f>
        <v>#VALUE!</v>
      </c>
      <c r="Q64" s="74" t="e">
        <f aca="false">IF(C64=0,"",O64*C64)</f>
        <v>#VALUE!</v>
      </c>
      <c r="R64" s="44"/>
      <c r="S64" s="75" t="e">
        <f aca="false">IF(C64=0,"",L64)</f>
        <v>#VALUE!</v>
      </c>
      <c r="T64" s="76" t="e">
        <f aca="false">IF(C64=0,"",M64)</f>
        <v>#VALUE!</v>
      </c>
    </row>
    <row r="66" customFormat="false" ht="12.75" hidden="false" customHeight="false" outlineLevel="0" collapsed="false">
      <c r="Q66" s="78" t="e">
        <f aca="false">SUM(Q41:Q65)</f>
        <v>#VALUE!</v>
      </c>
    </row>
    <row r="68" customFormat="false" ht="12.75" hidden="true" customHeight="false" outlineLevel="0" collapsed="false">
      <c r="B68" s="0" t="s">
        <v>33</v>
      </c>
      <c r="C68" s="0" t="n">
        <f aca="false">MATCH(C2,RTDate,0)</f>
        <v>97</v>
      </c>
    </row>
  </sheetData>
  <mergeCells count="18">
    <mergeCell ref="A1:C1"/>
    <mergeCell ref="A2:B2"/>
    <mergeCell ref="E3:G3"/>
    <mergeCell ref="H3:I3"/>
    <mergeCell ref="J3:M3"/>
    <mergeCell ref="N3:Q3"/>
    <mergeCell ref="S3:T3"/>
    <mergeCell ref="B4:D4"/>
    <mergeCell ref="N4:O4"/>
    <mergeCell ref="P4:Q4"/>
    <mergeCell ref="E37:G37"/>
    <mergeCell ref="H37:I37"/>
    <mergeCell ref="J37:M37"/>
    <mergeCell ref="N37:Q37"/>
    <mergeCell ref="S37:T37"/>
    <mergeCell ref="B38:D38"/>
    <mergeCell ref="N38:O38"/>
    <mergeCell ref="P38:Q38"/>
  </mergeCells>
  <conditionalFormatting sqref="K5:K12 H3:H5 E3:G6 I3:I30 J3:J12 L5:M30 J29:K30 K4:N4 A1:C2 D31:G36 I31:M36 N5:N36 P65:IV65536 P4:T36 U1:IV64 K39:K46 H8:H39 A39:D64 E37:G40 I37:I64 J37:J46 J63:K64 K38:N38 D5:D30 L39:N64 A5:C36 P38:T64 A65:N65536 D1:D3 D37 H42:H64">
    <cfRule type="cellIs" priority="2" operator="equal" aboveAverage="0" equalAverage="0" bottom="0" percent="0" rank="0" text="" dxfId="4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9.9921875" defaultRowHeight="12.75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3" min="3" style="0" width="11.85"/>
    <col collapsed="false" customWidth="true" hidden="false" outlineLevel="0" max="4" min="4" style="1" width="23.99"/>
    <col collapsed="false" customWidth="true" hidden="false" outlineLevel="0" max="7" min="5" style="0" width="14.41"/>
    <col collapsed="false" customWidth="true" hidden="false" outlineLevel="0" max="8" min="8" style="0" width="28.99"/>
    <col collapsed="false" customWidth="true" hidden="false" outlineLevel="0" max="9" min="9" style="0" width="26.56"/>
    <col collapsed="false" customWidth="true" hidden="false" outlineLevel="0" max="10" min="10" style="0" width="17.14"/>
    <col collapsed="false" customWidth="true" hidden="false" outlineLevel="0" max="11" min="11" style="0" width="14.28"/>
    <col collapsed="false" customWidth="true" hidden="false" outlineLevel="0" max="13" min="12" style="0" width="26.56"/>
    <col collapsed="false" customWidth="true" hidden="false" outlineLevel="0" max="14" min="14" style="2" width="15.28"/>
    <col collapsed="false" customWidth="true" hidden="false" outlineLevel="0" max="15" min="15" style="0" width="15.28"/>
    <col collapsed="false" customWidth="true" hidden="false" outlineLevel="0" max="16" min="16" style="2" width="15.28"/>
    <col collapsed="false" customWidth="true" hidden="false" outlineLevel="0" max="17" min="17" style="0" width="17.56"/>
    <col collapsed="false" customWidth="true" hidden="false" outlineLevel="0" max="18" min="18" style="2" width="2.56"/>
    <col collapsed="false" customWidth="true" hidden="false" outlineLevel="0" max="19" min="19" style="0" width="12.42"/>
    <col collapsed="false" customWidth="true" hidden="false" outlineLevel="0" max="20" min="20" style="1" width="14.56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3" t="s">
        <v>1</v>
      </c>
      <c r="B2" s="3"/>
      <c r="C2" s="83" t="n">
        <v>37017</v>
      </c>
      <c r="D2" s="5"/>
    </row>
    <row r="3" customFormat="false" ht="12.75" hidden="false" customHeight="false" outlineLevel="0" collapsed="false">
      <c r="A3" s="6"/>
      <c r="B3" s="6"/>
      <c r="C3" s="84" t="n">
        <v>37020</v>
      </c>
      <c r="D3" s="7"/>
      <c r="E3" s="8" t="s">
        <v>2</v>
      </c>
      <c r="F3" s="8"/>
      <c r="G3" s="8"/>
      <c r="H3" s="9" t="s">
        <v>3</v>
      </c>
      <c r="I3" s="9"/>
      <c r="J3" s="9" t="s">
        <v>4</v>
      </c>
      <c r="K3" s="9"/>
      <c r="L3" s="9"/>
      <c r="M3" s="9"/>
      <c r="N3" s="10" t="s">
        <v>5</v>
      </c>
      <c r="O3" s="10"/>
      <c r="P3" s="10"/>
      <c r="Q3" s="10"/>
      <c r="R3" s="11"/>
      <c r="S3" s="10" t="s">
        <v>6</v>
      </c>
      <c r="T3" s="10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B4" s="85" t="s">
        <v>34</v>
      </c>
      <c r="C4" s="85"/>
      <c r="D4" s="85"/>
      <c r="E4" s="13"/>
      <c r="F4" s="14"/>
      <c r="G4" s="15"/>
      <c r="H4" s="16" t="s">
        <v>7</v>
      </c>
      <c r="I4" s="17" t="s">
        <v>7</v>
      </c>
      <c r="J4" s="16" t="s">
        <v>8</v>
      </c>
      <c r="K4" s="18" t="s">
        <v>9</v>
      </c>
      <c r="L4" s="18" t="s">
        <v>8</v>
      </c>
      <c r="M4" s="17" t="s">
        <v>9</v>
      </c>
      <c r="N4" s="19" t="s">
        <v>10</v>
      </c>
      <c r="O4" s="19"/>
      <c r="P4" s="19" t="s">
        <v>11</v>
      </c>
      <c r="Q4" s="19"/>
      <c r="R4" s="11"/>
      <c r="S4" s="20"/>
      <c r="T4" s="21"/>
    </row>
    <row r="5" customFormat="false" ht="12.75" hidden="false" customHeight="false" outlineLevel="0" collapsed="false">
      <c r="E5" s="16" t="s">
        <v>12</v>
      </c>
      <c r="F5" s="18" t="s">
        <v>12</v>
      </c>
      <c r="G5" s="17" t="s">
        <v>13</v>
      </c>
      <c r="H5" s="16" t="s">
        <v>14</v>
      </c>
      <c r="I5" s="17" t="s">
        <v>14</v>
      </c>
      <c r="J5" s="22" t="s">
        <v>15</v>
      </c>
      <c r="K5" s="18" t="s">
        <v>16</v>
      </c>
      <c r="L5" s="18" t="s">
        <v>17</v>
      </c>
      <c r="M5" s="17" t="s">
        <v>18</v>
      </c>
      <c r="N5" s="23"/>
      <c r="O5" s="15"/>
      <c r="P5" s="22"/>
      <c r="Q5" s="24" t="s">
        <v>19</v>
      </c>
      <c r="R5" s="11"/>
      <c r="S5" s="16" t="s">
        <v>20</v>
      </c>
      <c r="T5" s="25" t="s">
        <v>21</v>
      </c>
    </row>
    <row r="6" customFormat="false" ht="12.75" hidden="false" customHeight="false" outlineLevel="0" collapsed="false">
      <c r="A6" s="26" t="s">
        <v>22</v>
      </c>
      <c r="B6" s="27" t="s">
        <v>23</v>
      </c>
      <c r="C6" s="27" t="s">
        <v>24</v>
      </c>
      <c r="D6" s="28" t="s">
        <v>25</v>
      </c>
      <c r="E6" s="22" t="s">
        <v>26</v>
      </c>
      <c r="F6" s="5" t="s">
        <v>27</v>
      </c>
      <c r="G6" s="25" t="s">
        <v>28</v>
      </c>
      <c r="H6" s="22" t="s">
        <v>29</v>
      </c>
      <c r="I6" s="25" t="s">
        <v>30</v>
      </c>
      <c r="J6" s="22" t="s">
        <v>10</v>
      </c>
      <c r="K6" s="5" t="s">
        <v>10</v>
      </c>
      <c r="L6" s="5" t="s">
        <v>30</v>
      </c>
      <c r="M6" s="25" t="s">
        <v>30</v>
      </c>
      <c r="N6" s="22" t="s">
        <v>20</v>
      </c>
      <c r="O6" s="25" t="s">
        <v>21</v>
      </c>
      <c r="P6" s="22" t="s">
        <v>20</v>
      </c>
      <c r="Q6" s="29" t="s">
        <v>21</v>
      </c>
      <c r="R6" s="5"/>
      <c r="S6" s="22" t="s">
        <v>31</v>
      </c>
      <c r="T6" s="25" t="s">
        <v>32</v>
      </c>
      <c r="U6" s="30"/>
      <c r="V6" s="30"/>
    </row>
    <row r="7" customFormat="false" ht="12.75" hidden="false" customHeight="false" outlineLevel="0" collapsed="false">
      <c r="A7" s="31" t="n">
        <f aca="false">$C$2</f>
        <v>37017</v>
      </c>
      <c r="B7" s="32" t="n">
        <v>1</v>
      </c>
      <c r="C7" s="33" t="n">
        <f aca="false">INDEX(DaMw,C34,0)</f>
        <v>25</v>
      </c>
      <c r="D7" s="46" t="n">
        <f aca="false">INDEX(DaPrice,C34,0)</f>
        <v>18</v>
      </c>
      <c r="E7" s="35" t="n">
        <f aca="false">VLOOKUP(A7,Gas,4,FALSE())</f>
        <v>4.64</v>
      </c>
      <c r="F7" s="35" t="n">
        <f aca="false">VLOOKUP(A7,Gas,5,FALSE())</f>
        <v>4.64</v>
      </c>
      <c r="G7" s="36" t="n">
        <f aca="false">VLOOKUP(A7,Bogey,2,FALSE())</f>
        <v>59.66</v>
      </c>
      <c r="H7" s="37" t="n">
        <f aca="false">IF(C7&gt;0,G7-D7,"")</f>
        <v>41.66</v>
      </c>
      <c r="I7" s="38" t="n">
        <f aca="false">IF(C7&gt;0,H7*ABS(C7),"")</f>
        <v>1041.5</v>
      </c>
      <c r="J7" s="39" t="n">
        <f aca="false">IF(C7=0,"",1)</f>
        <v>1</v>
      </c>
      <c r="K7" s="40" t="n">
        <f aca="false">IF(C7=0,"",G7-(D7+1))</f>
        <v>40.66</v>
      </c>
      <c r="L7" s="40" t="n">
        <f aca="false">IF(C7=0,"",C7*J7)</f>
        <v>25</v>
      </c>
      <c r="M7" s="21" t="n">
        <f aca="false">IF(C7=0,"",C7*K7)</f>
        <v>1016.5</v>
      </c>
      <c r="N7" s="41" t="n">
        <f aca="false">IF(C7=0,"",D7)</f>
        <v>18</v>
      </c>
      <c r="O7" s="42" t="n">
        <f aca="false">IF(C7=0,"",D7+1)</f>
        <v>19</v>
      </c>
      <c r="P7" s="40" t="n">
        <f aca="false">IF(C7=0,"",N7*C7)</f>
        <v>450</v>
      </c>
      <c r="Q7" s="43" t="n">
        <f aca="false">IF(C7=0,"",O7*C7)</f>
        <v>475</v>
      </c>
      <c r="R7" s="44"/>
      <c r="S7" s="45" t="n">
        <f aca="false">IF(C7=0,"",L7)</f>
        <v>25</v>
      </c>
      <c r="T7" s="46" t="n">
        <f aca="false">IF(C7=0,"",M7)</f>
        <v>1016.5</v>
      </c>
    </row>
    <row r="8" customFormat="false" ht="12.75" hidden="false" customHeight="false" outlineLevel="0" collapsed="false">
      <c r="A8" s="47" t="n">
        <f aca="false">$C$2</f>
        <v>37017</v>
      </c>
      <c r="B8" s="12" t="n">
        <v>2</v>
      </c>
      <c r="C8" s="48" t="n">
        <f aca="false">INDEX(DaMw,C34+1,0)</f>
        <v>25</v>
      </c>
      <c r="D8" s="60" t="n">
        <f aca="false">INDEX(DaPrice,C34+1,0)</f>
        <v>18</v>
      </c>
      <c r="E8" s="50" t="n">
        <f aca="false">VLOOKUP(A8,Gas,4,FALSE())</f>
        <v>4.64</v>
      </c>
      <c r="F8" s="50" t="n">
        <f aca="false">VLOOKUP(A8,Gas,5,FALSE())</f>
        <v>4.64</v>
      </c>
      <c r="G8" s="51" t="n">
        <f aca="false">VLOOKUP(A8,Bogey,2,FALSE())</f>
        <v>59.66</v>
      </c>
      <c r="H8" s="52" t="n">
        <f aca="false">IF(C8&gt;0,G8-D8,"")</f>
        <v>41.66</v>
      </c>
      <c r="I8" s="53" t="n">
        <f aca="false">IF(C8&gt;0,H8*ABS(C8),"")</f>
        <v>1041.5</v>
      </c>
      <c r="J8" s="54" t="n">
        <f aca="false">IF(C8=0,"",1)</f>
        <v>1</v>
      </c>
      <c r="K8" s="44" t="n">
        <f aca="false">IF(C8=0,"",G8-(D8+1))</f>
        <v>40.66</v>
      </c>
      <c r="L8" s="44" t="n">
        <f aca="false">IF(C8=0,"",C8*J8)</f>
        <v>25</v>
      </c>
      <c r="M8" s="55" t="n">
        <f aca="false">IF(C8=0,"",C8*K8)</f>
        <v>1016.5</v>
      </c>
      <c r="N8" s="56" t="n">
        <f aca="false">IF(C8=0,"",D8)</f>
        <v>18</v>
      </c>
      <c r="O8" s="57" t="n">
        <f aca="false">IF(C8=0,"",D8+1)</f>
        <v>19</v>
      </c>
      <c r="P8" s="44" t="n">
        <f aca="false">IF(C8=0,"",N8*C8)</f>
        <v>450</v>
      </c>
      <c r="Q8" s="58" t="n">
        <f aca="false">IF(C8=0,"",O8*C8)</f>
        <v>475</v>
      </c>
      <c r="R8" s="44"/>
      <c r="S8" s="59" t="n">
        <f aca="false">IF(C8=0,"",L8)</f>
        <v>25</v>
      </c>
      <c r="T8" s="60" t="n">
        <f aca="false">IF(C8=0,"",M8)</f>
        <v>1016.5</v>
      </c>
    </row>
    <row r="9" customFormat="false" ht="12.75" hidden="false" customHeight="false" outlineLevel="0" collapsed="false">
      <c r="A9" s="47" t="n">
        <f aca="false">$C$2</f>
        <v>37017</v>
      </c>
      <c r="B9" s="12" t="n">
        <v>3</v>
      </c>
      <c r="C9" s="48" t="n">
        <f aca="false">INDEX(DaMw,C34+2,0)</f>
        <v>25</v>
      </c>
      <c r="D9" s="60" t="n">
        <f aca="false">INDEX(DaPrice,C34+2,0)</f>
        <v>18</v>
      </c>
      <c r="E9" s="50" t="n">
        <f aca="false">VLOOKUP(A9,Gas,4,FALSE())</f>
        <v>4.64</v>
      </c>
      <c r="F9" s="50" t="n">
        <f aca="false">VLOOKUP(A9,Gas,5,FALSE())</f>
        <v>4.64</v>
      </c>
      <c r="G9" s="51" t="n">
        <f aca="false">VLOOKUP(A9,Bogey,2,FALSE())</f>
        <v>59.66</v>
      </c>
      <c r="H9" s="52" t="n">
        <f aca="false">IF(C9&gt;0,G9-D9,"")</f>
        <v>41.66</v>
      </c>
      <c r="I9" s="53" t="n">
        <f aca="false">IF(C9&gt;0,H9*ABS(C9),"")</f>
        <v>1041.5</v>
      </c>
      <c r="J9" s="54" t="n">
        <f aca="false">IF(C9=0,"",1)</f>
        <v>1</v>
      </c>
      <c r="K9" s="44" t="n">
        <f aca="false">IF(C9=0,"",G9-(D9+1))</f>
        <v>40.66</v>
      </c>
      <c r="L9" s="44" t="n">
        <f aca="false">IF(C9=0,"",C9*J9)</f>
        <v>25</v>
      </c>
      <c r="M9" s="55" t="n">
        <f aca="false">IF(C9=0,"",C9*K9)</f>
        <v>1016.5</v>
      </c>
      <c r="N9" s="56" t="n">
        <f aca="false">IF(C9=0,"",D9)</f>
        <v>18</v>
      </c>
      <c r="O9" s="57" t="n">
        <f aca="false">IF(C9=0,"",D9+1)</f>
        <v>19</v>
      </c>
      <c r="P9" s="44" t="n">
        <f aca="false">IF(C9=0,"",N9*C9)</f>
        <v>450</v>
      </c>
      <c r="Q9" s="58" t="n">
        <f aca="false">IF(C9=0,"",O9*C9)</f>
        <v>475</v>
      </c>
      <c r="R9" s="44"/>
      <c r="S9" s="59" t="n">
        <f aca="false">IF(C9=0,"",L9)</f>
        <v>25</v>
      </c>
      <c r="T9" s="60" t="n">
        <f aca="false">IF(C9=0,"",M9)</f>
        <v>1016.5</v>
      </c>
    </row>
    <row r="10" customFormat="false" ht="12.75" hidden="false" customHeight="false" outlineLevel="0" collapsed="false">
      <c r="A10" s="47" t="n">
        <f aca="false">$C$2</f>
        <v>37017</v>
      </c>
      <c r="B10" s="12" t="n">
        <v>4</v>
      </c>
      <c r="C10" s="48" t="n">
        <f aca="false">INDEX(DaMw,C34+3,0)</f>
        <v>25</v>
      </c>
      <c r="D10" s="60" t="n">
        <f aca="false">INDEX(DaPrice,C34+3,0)</f>
        <v>18</v>
      </c>
      <c r="E10" s="50" t="n">
        <f aca="false">VLOOKUP(A10,Gas,4,FALSE())</f>
        <v>4.64</v>
      </c>
      <c r="F10" s="50" t="n">
        <f aca="false">VLOOKUP(A10,Gas,5,FALSE())</f>
        <v>4.64</v>
      </c>
      <c r="G10" s="51" t="n">
        <f aca="false">VLOOKUP(A10,Bogey,2,FALSE())</f>
        <v>59.66</v>
      </c>
      <c r="H10" s="52" t="n">
        <f aca="false">IF(C10&gt;0,G10-D10,"")</f>
        <v>41.66</v>
      </c>
      <c r="I10" s="53" t="n">
        <f aca="false">IF(C10&gt;0,H10*ABS(C10),"")</f>
        <v>1041.5</v>
      </c>
      <c r="J10" s="54" t="n">
        <f aca="false">IF(C10=0,"",1)</f>
        <v>1</v>
      </c>
      <c r="K10" s="44" t="n">
        <f aca="false">IF(C10=0,"",G10-(D10+1))</f>
        <v>40.66</v>
      </c>
      <c r="L10" s="44" t="n">
        <f aca="false">IF(C10=0,"",C10*J10)</f>
        <v>25</v>
      </c>
      <c r="M10" s="55" t="n">
        <f aca="false">IF(C10=0,"",C10*K10)</f>
        <v>1016.5</v>
      </c>
      <c r="N10" s="56" t="n">
        <f aca="false">IF(C10=0,"",D10)</f>
        <v>18</v>
      </c>
      <c r="O10" s="57" t="n">
        <f aca="false">IF(C10=0,"",D10+1)</f>
        <v>19</v>
      </c>
      <c r="P10" s="44" t="n">
        <f aca="false">IF(C10=0,"",N10*C10)</f>
        <v>450</v>
      </c>
      <c r="Q10" s="58" t="n">
        <f aca="false">IF(C10=0,"",O10*C10)</f>
        <v>475</v>
      </c>
      <c r="R10" s="44"/>
      <c r="S10" s="59" t="n">
        <f aca="false">IF(C10=0,"",L10)</f>
        <v>25</v>
      </c>
      <c r="T10" s="60" t="n">
        <f aca="false">IF(C10=0,"",M10)</f>
        <v>1016.5</v>
      </c>
    </row>
    <row r="11" customFormat="false" ht="12.75" hidden="false" customHeight="false" outlineLevel="0" collapsed="false">
      <c r="A11" s="47" t="n">
        <f aca="false">$C$2</f>
        <v>37017</v>
      </c>
      <c r="B11" s="12" t="n">
        <v>5</v>
      </c>
      <c r="C11" s="48" t="n">
        <f aca="false">INDEX(DaMw,C34+4,0)</f>
        <v>25</v>
      </c>
      <c r="D11" s="60" t="n">
        <f aca="false">INDEX(DaPrice,C34+4,0)</f>
        <v>18</v>
      </c>
      <c r="E11" s="50" t="n">
        <f aca="false">VLOOKUP(A11,Gas,4,FALSE())</f>
        <v>4.64</v>
      </c>
      <c r="F11" s="50" t="n">
        <f aca="false">VLOOKUP(A11,Gas,5,FALSE())</f>
        <v>4.64</v>
      </c>
      <c r="G11" s="51" t="n">
        <f aca="false">VLOOKUP(A11,Bogey,2,FALSE())</f>
        <v>59.66</v>
      </c>
      <c r="H11" s="52" t="n">
        <f aca="false">IF(C11&gt;0,G11-D11,"")</f>
        <v>41.66</v>
      </c>
      <c r="I11" s="53" t="n">
        <f aca="false">IF(C11&gt;0,H11*ABS(C11),"")</f>
        <v>1041.5</v>
      </c>
      <c r="J11" s="54" t="n">
        <f aca="false">IF(C11=0,"",1)</f>
        <v>1</v>
      </c>
      <c r="K11" s="44" t="n">
        <f aca="false">IF(C11=0,"",G11-(D11+1))</f>
        <v>40.66</v>
      </c>
      <c r="L11" s="44" t="n">
        <f aca="false">IF(C11=0,"",C11*J11)</f>
        <v>25</v>
      </c>
      <c r="M11" s="55" t="n">
        <f aca="false">IF(C11=0,"",C11*K11)</f>
        <v>1016.5</v>
      </c>
      <c r="N11" s="56" t="n">
        <f aca="false">IF(C11=0,"",D11)</f>
        <v>18</v>
      </c>
      <c r="O11" s="57" t="n">
        <f aca="false">IF(C11=0,"",D11+1)</f>
        <v>19</v>
      </c>
      <c r="P11" s="44" t="n">
        <f aca="false">IF(C11=0,"",N11*C11)</f>
        <v>450</v>
      </c>
      <c r="Q11" s="58" t="n">
        <f aca="false">IF(C11=0,"",O11*C11)</f>
        <v>475</v>
      </c>
      <c r="R11" s="44"/>
      <c r="S11" s="59" t="n">
        <f aca="false">IF(C11=0,"",L11)</f>
        <v>25</v>
      </c>
      <c r="T11" s="60" t="n">
        <f aca="false">IF(C11=0,"",M11)</f>
        <v>1016.5</v>
      </c>
    </row>
    <row r="12" customFormat="false" ht="12.75" hidden="false" customHeight="false" outlineLevel="0" collapsed="false">
      <c r="A12" s="47" t="n">
        <f aca="false">$C$2</f>
        <v>37017</v>
      </c>
      <c r="B12" s="12" t="n">
        <v>6</v>
      </c>
      <c r="C12" s="48" t="n">
        <f aca="false">INDEX(DaMw,C34+5,0)</f>
        <v>25</v>
      </c>
      <c r="D12" s="60" t="n">
        <f aca="false">INDEX(DaPrice,C34+5,0)</f>
        <v>18</v>
      </c>
      <c r="E12" s="50" t="n">
        <f aca="false">VLOOKUP(A12,Gas,4,FALSE())</f>
        <v>4.64</v>
      </c>
      <c r="F12" s="50" t="n">
        <f aca="false">VLOOKUP(A12,Gas,5,FALSE())</f>
        <v>4.64</v>
      </c>
      <c r="G12" s="51" t="n">
        <f aca="false">VLOOKUP(A12,Bogey,2,FALSE())</f>
        <v>59.66</v>
      </c>
      <c r="H12" s="52" t="n">
        <f aca="false">IF(C12&gt;0,G12-D12,"")</f>
        <v>41.66</v>
      </c>
      <c r="I12" s="53" t="n">
        <f aca="false">IF(C12&gt;0,H12*ABS(C12),"")</f>
        <v>1041.5</v>
      </c>
      <c r="J12" s="54" t="n">
        <f aca="false">IF(C12=0,"",1)</f>
        <v>1</v>
      </c>
      <c r="K12" s="44" t="n">
        <f aca="false">IF(C12=0,"",G12-(D12+1))</f>
        <v>40.66</v>
      </c>
      <c r="L12" s="44" t="n">
        <f aca="false">IF(C12=0,"",C12*J12)</f>
        <v>25</v>
      </c>
      <c r="M12" s="55" t="n">
        <f aca="false">IF(C12=0,"",C12*K12)</f>
        <v>1016.5</v>
      </c>
      <c r="N12" s="56" t="n">
        <f aca="false">IF(C12=0,"",D12)</f>
        <v>18</v>
      </c>
      <c r="O12" s="57" t="n">
        <f aca="false">IF(C12=0,"",D12+1)</f>
        <v>19</v>
      </c>
      <c r="P12" s="44" t="n">
        <f aca="false">IF(C12=0,"",N12*C12)</f>
        <v>450</v>
      </c>
      <c r="Q12" s="58" t="n">
        <f aca="false">IF(C12=0,"",O12*C12)</f>
        <v>475</v>
      </c>
      <c r="R12" s="44"/>
      <c r="S12" s="59" t="n">
        <f aca="false">IF(C12=0,"",L12)</f>
        <v>25</v>
      </c>
      <c r="T12" s="60" t="n">
        <f aca="false">IF(C12=0,"",M12)</f>
        <v>1016.5</v>
      </c>
    </row>
    <row r="13" customFormat="false" ht="12.75" hidden="false" customHeight="false" outlineLevel="0" collapsed="false">
      <c r="A13" s="47" t="n">
        <f aca="false">$C$2</f>
        <v>37017</v>
      </c>
      <c r="B13" s="12" t="n">
        <v>7</v>
      </c>
      <c r="C13" s="48" t="n">
        <f aca="false">INDEX(DaMw,C34+6,0)</f>
        <v>15.804331473479</v>
      </c>
      <c r="D13" s="60" t="n">
        <f aca="false">INDEX(DaPrice,C34+6,0)</f>
        <v>34.5</v>
      </c>
      <c r="E13" s="50" t="n">
        <f aca="false">VLOOKUP(A13,Gas,4,FALSE())</f>
        <v>4.64</v>
      </c>
      <c r="F13" s="50" t="n">
        <f aca="false">VLOOKUP(A13,Gas,5,FALSE())</f>
        <v>4.64</v>
      </c>
      <c r="G13" s="51" t="n">
        <f aca="false">VLOOKUP(A13,Bogey,2,FALSE())</f>
        <v>59.66</v>
      </c>
      <c r="H13" s="52" t="n">
        <f aca="false">IF(C13&gt;0,G13-D13,"")</f>
        <v>25.16</v>
      </c>
      <c r="I13" s="53" t="n">
        <f aca="false">IF(C13&gt;0,H13*ABS(C13),"")</f>
        <v>397.636979872732</v>
      </c>
      <c r="J13" s="54" t="n">
        <f aca="false">IF($C13=0,"",$H13*0.4)</f>
        <v>10.064</v>
      </c>
      <c r="K13" s="49" t="n">
        <f aca="false">IF($C13=0,"",$H13*0.6)</f>
        <v>15.096</v>
      </c>
      <c r="L13" s="49" t="n">
        <f aca="false">IF(C13=0,"",J13*$C13)</f>
        <v>159.054791949093</v>
      </c>
      <c r="M13" s="55" t="n">
        <f aca="false">IF(C13=0,"",C13*K13)</f>
        <v>238.582187923639</v>
      </c>
      <c r="N13" s="56" t="n">
        <f aca="false">IF(C13=0,"",D13)</f>
        <v>34.5</v>
      </c>
      <c r="O13" s="57" t="n">
        <f aca="false">IF(C13=0,"",D13+J13)</f>
        <v>44.564</v>
      </c>
      <c r="P13" s="44" t="n">
        <f aca="false">IF(C13=0,"",N13*C13)</f>
        <v>545.249435835026</v>
      </c>
      <c r="Q13" s="58" t="n">
        <f aca="false">IF(C13=0,"",O13*C13)</f>
        <v>704.304227784119</v>
      </c>
      <c r="R13" s="44"/>
      <c r="S13" s="59" t="n">
        <f aca="false">IF(C13=0,"",L13)</f>
        <v>159.054791949093</v>
      </c>
      <c r="T13" s="60" t="n">
        <f aca="false">IF(C13=0,"",M13)</f>
        <v>238.582187923639</v>
      </c>
    </row>
    <row r="14" customFormat="false" ht="12.75" hidden="false" customHeight="false" outlineLevel="0" collapsed="false">
      <c r="A14" s="47" t="n">
        <f aca="false">$C$2</f>
        <v>37017</v>
      </c>
      <c r="B14" s="12" t="n">
        <v>8</v>
      </c>
      <c r="C14" s="48" t="n">
        <f aca="false">INDEX(DaMw,C34+7,0)</f>
        <v>16.9519984149311</v>
      </c>
      <c r="D14" s="60" t="n">
        <f aca="false">INDEX(DaPrice,C34+7,0)</f>
        <v>34.5</v>
      </c>
      <c r="E14" s="50" t="n">
        <f aca="false">VLOOKUP(A14,Gas,4,FALSE())</f>
        <v>4.64</v>
      </c>
      <c r="F14" s="50" t="n">
        <f aca="false">VLOOKUP(A14,Gas,5,FALSE())</f>
        <v>4.64</v>
      </c>
      <c r="G14" s="51" t="n">
        <f aca="false">VLOOKUP(A14,Bogey,2,FALSE())</f>
        <v>59.66</v>
      </c>
      <c r="H14" s="52" t="n">
        <f aca="false">IF(C14&gt;0,G14-D14,"")</f>
        <v>25.16</v>
      </c>
      <c r="I14" s="53" t="n">
        <f aca="false">IF(C14&gt;0,H14*ABS(C14),"")</f>
        <v>426.512280119665</v>
      </c>
      <c r="J14" s="54" t="n">
        <f aca="false">IF($C14=0,"",$H14*0.4)</f>
        <v>10.064</v>
      </c>
      <c r="K14" s="49" t="n">
        <f aca="false">IF($C14=0,"",$H14*0.6)</f>
        <v>15.096</v>
      </c>
      <c r="L14" s="49" t="n">
        <f aca="false">IF(C14=0,"",J14*$C14)</f>
        <v>170.604912047866</v>
      </c>
      <c r="M14" s="55" t="n">
        <f aca="false">IF(C14=0,"",C14*K14)</f>
        <v>255.907368071799</v>
      </c>
      <c r="N14" s="56" t="n">
        <f aca="false">IF(C14=0,"",D14)</f>
        <v>34.5</v>
      </c>
      <c r="O14" s="57" t="n">
        <f aca="false">IF(C14=0,"",D14+J14)</f>
        <v>44.564</v>
      </c>
      <c r="P14" s="44" t="n">
        <f aca="false">IF(C14=0,"",N14*C14)</f>
        <v>584.843945315122</v>
      </c>
      <c r="Q14" s="58" t="n">
        <f aca="false">IF(C14=0,"",O14*C14)</f>
        <v>755.448857362988</v>
      </c>
      <c r="R14" s="44"/>
      <c r="S14" s="59" t="n">
        <f aca="false">IF(C14=0,"",L14)</f>
        <v>170.604912047866</v>
      </c>
      <c r="T14" s="60" t="n">
        <f aca="false">IF(C14=0,"",M14)</f>
        <v>255.907368071799</v>
      </c>
    </row>
    <row r="15" customFormat="false" ht="12.75" hidden="false" customHeight="false" outlineLevel="0" collapsed="false">
      <c r="A15" s="47" t="n">
        <f aca="false">$C$2</f>
        <v>37017</v>
      </c>
      <c r="B15" s="12" t="n">
        <v>9</v>
      </c>
      <c r="C15" s="48" t="n">
        <f aca="false">INDEX(DaMw,C34+8,0)</f>
        <v>19.0082327296269</v>
      </c>
      <c r="D15" s="60" t="n">
        <f aca="false">INDEX(DaPrice,C34+8,0)</f>
        <v>34.5</v>
      </c>
      <c r="E15" s="50" t="n">
        <f aca="false">VLOOKUP(A15,Gas,4,FALSE())</f>
        <v>4.64</v>
      </c>
      <c r="F15" s="50" t="n">
        <f aca="false">VLOOKUP(A15,Gas,5,FALSE())</f>
        <v>4.64</v>
      </c>
      <c r="G15" s="51" t="n">
        <f aca="false">VLOOKUP(A15,Bogey,2,FALSE())</f>
        <v>59.66</v>
      </c>
      <c r="H15" s="52" t="n">
        <f aca="false">IF(C15&gt;0,G15-D15,"")</f>
        <v>25.16</v>
      </c>
      <c r="I15" s="53" t="n">
        <f aca="false">IF(C15&gt;0,H15*ABS(C15),"")</f>
        <v>478.247135477414</v>
      </c>
      <c r="J15" s="54" t="n">
        <f aca="false">IF($C15=0,"",$H15*0.4)</f>
        <v>10.064</v>
      </c>
      <c r="K15" s="49" t="n">
        <f aca="false">IF($C15=0,"",$H15*0.6)</f>
        <v>15.096</v>
      </c>
      <c r="L15" s="49" t="n">
        <f aca="false">IF(C15=0,"",J15*$C15)</f>
        <v>191.298854190966</v>
      </c>
      <c r="M15" s="55" t="n">
        <f aca="false">IF(C15=0,"",C15*K15)</f>
        <v>286.948281286448</v>
      </c>
      <c r="N15" s="56" t="n">
        <f aca="false">IF(C15=0,"",D15)</f>
        <v>34.5</v>
      </c>
      <c r="O15" s="57" t="n">
        <f aca="false">IF(C15=0,"",D15+J15)</f>
        <v>44.564</v>
      </c>
      <c r="P15" s="44" t="n">
        <f aca="false">IF(C15=0,"",N15*C15)</f>
        <v>655.784029172129</v>
      </c>
      <c r="Q15" s="58" t="n">
        <f aca="false">IF(C15=0,"",O15*C15)</f>
        <v>847.082883363095</v>
      </c>
      <c r="R15" s="44"/>
      <c r="S15" s="59" t="n">
        <f aca="false">IF(C15=0,"",L15)</f>
        <v>191.298854190966</v>
      </c>
      <c r="T15" s="60" t="n">
        <f aca="false">IF(C15=0,"",M15)</f>
        <v>286.948281286448</v>
      </c>
    </row>
    <row r="16" customFormat="false" ht="12.75" hidden="false" customHeight="false" outlineLevel="0" collapsed="false">
      <c r="A16" s="47" t="n">
        <f aca="false">$C$2</f>
        <v>37017</v>
      </c>
      <c r="B16" s="12" t="n">
        <v>10</v>
      </c>
      <c r="C16" s="48" t="n">
        <f aca="false">INDEX(DaMw,C34+9,0)</f>
        <v>21.7662210196472</v>
      </c>
      <c r="D16" s="60" t="n">
        <f aca="false">INDEX(DaPrice,C34+9,0)</f>
        <v>34.5</v>
      </c>
      <c r="E16" s="50" t="n">
        <f aca="false">VLOOKUP(A16,Gas,4,FALSE())</f>
        <v>4.64</v>
      </c>
      <c r="F16" s="50" t="n">
        <f aca="false">VLOOKUP(A16,Gas,5,FALSE())</f>
        <v>4.64</v>
      </c>
      <c r="G16" s="51" t="n">
        <f aca="false">VLOOKUP(A16,Bogey,2,FALSE())</f>
        <v>59.66</v>
      </c>
      <c r="H16" s="52" t="n">
        <f aca="false">IF(C16&gt;0,G16-D16,"")</f>
        <v>25.16</v>
      </c>
      <c r="I16" s="53" t="n">
        <f aca="false">IF(C16&gt;0,H16*ABS(C16),"")</f>
        <v>547.638120854324</v>
      </c>
      <c r="J16" s="54" t="n">
        <f aca="false">IF($C16=0,"",$H16*0.4)</f>
        <v>10.064</v>
      </c>
      <c r="K16" s="49" t="n">
        <f aca="false">IF($C16=0,"",$H16*0.6)</f>
        <v>15.096</v>
      </c>
      <c r="L16" s="49" t="n">
        <f aca="false">IF(C16=0,"",J16*$C16)</f>
        <v>219.055248341729</v>
      </c>
      <c r="M16" s="55" t="n">
        <f aca="false">IF(C16=0,"",C16*K16)</f>
        <v>328.582872512594</v>
      </c>
      <c r="N16" s="56" t="n">
        <f aca="false">IF(C16=0,"",D16)</f>
        <v>34.5</v>
      </c>
      <c r="O16" s="57" t="n">
        <f aca="false">IF(C16=0,"",D16+J16)</f>
        <v>44.564</v>
      </c>
      <c r="P16" s="44" t="n">
        <f aca="false">IF(C16=0,"",N16*C16)</f>
        <v>750.934625177829</v>
      </c>
      <c r="Q16" s="58" t="n">
        <f aca="false">IF(C16=0,"",O16*C16)</f>
        <v>969.989873519558</v>
      </c>
      <c r="R16" s="44"/>
      <c r="S16" s="59" t="n">
        <f aca="false">IF(C16=0,"",L16)</f>
        <v>219.055248341729</v>
      </c>
      <c r="T16" s="60" t="n">
        <f aca="false">IF(C16=0,"",M16)</f>
        <v>328.582872512594</v>
      </c>
    </row>
    <row r="17" customFormat="false" ht="12.75" hidden="false" customHeight="false" outlineLevel="0" collapsed="false">
      <c r="A17" s="47" t="n">
        <f aca="false">$C$2</f>
        <v>37017</v>
      </c>
      <c r="B17" s="12" t="n">
        <v>11</v>
      </c>
      <c r="C17" s="48" t="n">
        <f aca="false">INDEX(DaMw,C34+10,0)</f>
        <v>22</v>
      </c>
      <c r="D17" s="60" t="n">
        <f aca="false">INDEX(DaPrice,C34+10,0)</f>
        <v>34.5</v>
      </c>
      <c r="E17" s="50" t="n">
        <f aca="false">VLOOKUP(A17,Gas,4,FALSE())</f>
        <v>4.64</v>
      </c>
      <c r="F17" s="50" t="n">
        <f aca="false">VLOOKUP(A17,Gas,5,FALSE())</f>
        <v>4.64</v>
      </c>
      <c r="G17" s="51" t="n">
        <f aca="false">VLOOKUP(A17,Bogey,2,FALSE())</f>
        <v>59.66</v>
      </c>
      <c r="H17" s="52" t="n">
        <f aca="false">IF(C17&gt;0,G17-D17,"")</f>
        <v>25.16</v>
      </c>
      <c r="I17" s="53" t="n">
        <f aca="false">IF(C17&gt;0,H17*ABS(C17),"")</f>
        <v>553.52</v>
      </c>
      <c r="J17" s="54" t="n">
        <f aca="false">IF($C17=0,"",$H17*0.4)</f>
        <v>10.064</v>
      </c>
      <c r="K17" s="49" t="n">
        <f aca="false">IF($C17=0,"",$H17*0.6)</f>
        <v>15.096</v>
      </c>
      <c r="L17" s="49" t="n">
        <f aca="false">IF(C17=0,"",J17*$C17)</f>
        <v>221.408</v>
      </c>
      <c r="M17" s="55" t="n">
        <f aca="false">IF(C17=0,"",C17*K17)</f>
        <v>332.112</v>
      </c>
      <c r="N17" s="56" t="n">
        <f aca="false">IF(C17=0,"",D17)</f>
        <v>34.5</v>
      </c>
      <c r="O17" s="57" t="n">
        <f aca="false">IF(C17=0,"",D17+J17)</f>
        <v>44.564</v>
      </c>
      <c r="P17" s="44" t="n">
        <f aca="false">IF(C17=0,"",N17*C17)</f>
        <v>759</v>
      </c>
      <c r="Q17" s="58" t="n">
        <f aca="false">IF(C17=0,"",O17*C17)</f>
        <v>980.408</v>
      </c>
      <c r="R17" s="44"/>
      <c r="S17" s="59" t="n">
        <f aca="false">IF(C17=0,"",L17)</f>
        <v>221.408</v>
      </c>
      <c r="T17" s="60" t="n">
        <f aca="false">IF(C17=0,"",M17)</f>
        <v>332.112</v>
      </c>
    </row>
    <row r="18" customFormat="false" ht="12.75" hidden="false" customHeight="false" outlineLevel="0" collapsed="false">
      <c r="A18" s="47" t="n">
        <f aca="false">$C$2</f>
        <v>37017</v>
      </c>
      <c r="B18" s="12" t="n">
        <v>12</v>
      </c>
      <c r="C18" s="48" t="n">
        <f aca="false">INDEX(DaMw,C34+11,0)</f>
        <v>23</v>
      </c>
      <c r="D18" s="60" t="n">
        <f aca="false">INDEX(DaPrice,C34+11,0)</f>
        <v>34.5</v>
      </c>
      <c r="E18" s="50" t="n">
        <f aca="false">VLOOKUP(A18,Gas,4,FALSE())</f>
        <v>4.64</v>
      </c>
      <c r="F18" s="50" t="n">
        <f aca="false">VLOOKUP(A18,Gas,5,FALSE())</f>
        <v>4.64</v>
      </c>
      <c r="G18" s="51" t="n">
        <f aca="false">VLOOKUP(A18,Bogey,2,FALSE())</f>
        <v>59.66</v>
      </c>
      <c r="H18" s="52" t="n">
        <f aca="false">IF(C18&gt;0,G18-D18,"")</f>
        <v>25.16</v>
      </c>
      <c r="I18" s="53" t="n">
        <f aca="false">IF(C18&gt;0,H18*ABS(C18),"")</f>
        <v>578.68</v>
      </c>
      <c r="J18" s="54" t="n">
        <f aca="false">IF($C18=0,"",$H18*0.4)</f>
        <v>10.064</v>
      </c>
      <c r="K18" s="49" t="n">
        <f aca="false">IF($C18=0,"",$H18*0.6)</f>
        <v>15.096</v>
      </c>
      <c r="L18" s="49" t="n">
        <f aca="false">IF(C18=0,"",J18*$C18)</f>
        <v>231.472</v>
      </c>
      <c r="M18" s="55" t="n">
        <f aca="false">IF(C18=0,"",C18*K18)</f>
        <v>347.208</v>
      </c>
      <c r="N18" s="56" t="n">
        <f aca="false">IF(C18=0,"",D18)</f>
        <v>34.5</v>
      </c>
      <c r="O18" s="57" t="n">
        <f aca="false">IF(C18=0,"",D18+J18)</f>
        <v>44.564</v>
      </c>
      <c r="P18" s="44" t="n">
        <f aca="false">IF(C18=0,"",N18*C18)</f>
        <v>793.5</v>
      </c>
      <c r="Q18" s="58" t="n">
        <f aca="false">IF(C18=0,"",O18*C18)</f>
        <v>1024.972</v>
      </c>
      <c r="R18" s="44"/>
      <c r="S18" s="59" t="n">
        <f aca="false">IF(C18=0,"",L18)</f>
        <v>231.472</v>
      </c>
      <c r="T18" s="60" t="n">
        <f aca="false">IF(C18=0,"",M18)</f>
        <v>347.208</v>
      </c>
    </row>
    <row r="19" customFormat="false" ht="12.75" hidden="false" customHeight="false" outlineLevel="0" collapsed="false">
      <c r="A19" s="47" t="n">
        <f aca="false">$C$2</f>
        <v>37017</v>
      </c>
      <c r="B19" s="12" t="n">
        <v>13</v>
      </c>
      <c r="C19" s="48" t="n">
        <f aca="false">INDEX(DaMw,C34+12,0)</f>
        <v>23</v>
      </c>
      <c r="D19" s="60" t="n">
        <f aca="false">INDEX(DaPrice,C34+12,0)</f>
        <v>34.5</v>
      </c>
      <c r="E19" s="50" t="n">
        <f aca="false">VLOOKUP(A19,Gas,4,FALSE())</f>
        <v>4.64</v>
      </c>
      <c r="F19" s="50" t="n">
        <f aca="false">VLOOKUP(A19,Gas,5,FALSE())</f>
        <v>4.64</v>
      </c>
      <c r="G19" s="51" t="n">
        <f aca="false">VLOOKUP(A19,Bogey,2,FALSE())</f>
        <v>59.66</v>
      </c>
      <c r="H19" s="52" t="n">
        <f aca="false">IF(C19&gt;0,G19-D19,"")</f>
        <v>25.16</v>
      </c>
      <c r="I19" s="53" t="n">
        <f aca="false">IF(C19&gt;0,H19*ABS(C19),"")</f>
        <v>578.68</v>
      </c>
      <c r="J19" s="54" t="n">
        <f aca="false">IF($C19=0,"",$H19*0.4)</f>
        <v>10.064</v>
      </c>
      <c r="K19" s="49" t="n">
        <f aca="false">IF($C19=0,"",$H19*0.6)</f>
        <v>15.096</v>
      </c>
      <c r="L19" s="49" t="n">
        <f aca="false">IF(C19=0,"",J19*$C19)</f>
        <v>231.472</v>
      </c>
      <c r="M19" s="55" t="n">
        <f aca="false">IF(C19=0,"",C19*K19)</f>
        <v>347.208</v>
      </c>
      <c r="N19" s="56" t="n">
        <f aca="false">IF(C19=0,"",D19)</f>
        <v>34.5</v>
      </c>
      <c r="O19" s="57" t="n">
        <f aca="false">IF(C19=0,"",D19+J19)</f>
        <v>44.564</v>
      </c>
      <c r="P19" s="44" t="n">
        <f aca="false">IF(C19=0,"",N19*C19)</f>
        <v>793.5</v>
      </c>
      <c r="Q19" s="58" t="n">
        <f aca="false">IF(C19=0,"",O19*C19)</f>
        <v>1024.972</v>
      </c>
      <c r="R19" s="44"/>
      <c r="S19" s="59" t="n">
        <f aca="false">IF(C19=0,"",L19)</f>
        <v>231.472</v>
      </c>
      <c r="T19" s="60" t="n">
        <f aca="false">IF(C19=0,"",M19)</f>
        <v>347.208</v>
      </c>
    </row>
    <row r="20" customFormat="false" ht="12.75" hidden="false" customHeight="false" outlineLevel="0" collapsed="false">
      <c r="A20" s="47" t="n">
        <f aca="false">$C$2</f>
        <v>37017</v>
      </c>
      <c r="B20" s="12" t="n">
        <v>14</v>
      </c>
      <c r="C20" s="48" t="n">
        <f aca="false">INDEX(DaMw,C34+13,0)</f>
        <v>23</v>
      </c>
      <c r="D20" s="60" t="n">
        <f aca="false">INDEX(DaPrice,C34+13,0)</f>
        <v>34.5</v>
      </c>
      <c r="E20" s="50" t="n">
        <f aca="false">VLOOKUP(A20,Gas,4,FALSE())</f>
        <v>4.64</v>
      </c>
      <c r="F20" s="50" t="n">
        <f aca="false">VLOOKUP(A20,Gas,5,FALSE())</f>
        <v>4.64</v>
      </c>
      <c r="G20" s="51" t="n">
        <f aca="false">VLOOKUP(A20,Bogey,2,FALSE())</f>
        <v>59.66</v>
      </c>
      <c r="H20" s="52" t="n">
        <f aca="false">IF(C20&gt;0,G20-D20,"")</f>
        <v>25.16</v>
      </c>
      <c r="I20" s="53" t="n">
        <f aca="false">IF(C20&gt;0,H20*ABS(C20),"")</f>
        <v>578.68</v>
      </c>
      <c r="J20" s="54" t="n">
        <f aca="false">IF($C20=0,"",$H20*0.4)</f>
        <v>10.064</v>
      </c>
      <c r="K20" s="49" t="n">
        <f aca="false">IF($C20=0,"",$H20*0.6)</f>
        <v>15.096</v>
      </c>
      <c r="L20" s="49" t="n">
        <f aca="false">IF(C20=0,"",J20*$C20)</f>
        <v>231.472</v>
      </c>
      <c r="M20" s="55" t="n">
        <f aca="false">IF(C20=0,"",C20*K20)</f>
        <v>347.208</v>
      </c>
      <c r="N20" s="56" t="n">
        <f aca="false">IF(C20=0,"",D20)</f>
        <v>34.5</v>
      </c>
      <c r="O20" s="57" t="n">
        <f aca="false">IF(C20=0,"",D20+J20)</f>
        <v>44.564</v>
      </c>
      <c r="P20" s="44" t="n">
        <f aca="false">IF(C20=0,"",N20*C20)</f>
        <v>793.5</v>
      </c>
      <c r="Q20" s="58" t="n">
        <f aca="false">IF(C20=0,"",O20*C20)</f>
        <v>1024.972</v>
      </c>
      <c r="R20" s="44"/>
      <c r="S20" s="59" t="n">
        <f aca="false">IF(C20=0,"",L20)</f>
        <v>231.472</v>
      </c>
      <c r="T20" s="60" t="n">
        <f aca="false">IF(C20=0,"",M20)</f>
        <v>347.208</v>
      </c>
    </row>
    <row r="21" customFormat="false" ht="12.75" hidden="false" customHeight="false" outlineLevel="0" collapsed="false">
      <c r="A21" s="47" t="n">
        <f aca="false">$C$2</f>
        <v>37017</v>
      </c>
      <c r="B21" s="12" t="n">
        <v>15</v>
      </c>
      <c r="C21" s="48" t="n">
        <f aca="false">INDEX(DaMw,C34+14,0)</f>
        <v>23</v>
      </c>
      <c r="D21" s="60" t="n">
        <f aca="false">INDEX(DaPrice,C34+14,0)</f>
        <v>34.5</v>
      </c>
      <c r="E21" s="50" t="n">
        <f aca="false">VLOOKUP(A21,Gas,4,FALSE())</f>
        <v>4.64</v>
      </c>
      <c r="F21" s="50" t="n">
        <f aca="false">VLOOKUP(A21,Gas,5,FALSE())</f>
        <v>4.64</v>
      </c>
      <c r="G21" s="51" t="n">
        <f aca="false">VLOOKUP(A21,Bogey,2,FALSE())</f>
        <v>59.66</v>
      </c>
      <c r="H21" s="52" t="n">
        <f aca="false">IF(C21&gt;0,G21-D21,"")</f>
        <v>25.16</v>
      </c>
      <c r="I21" s="53" t="n">
        <f aca="false">IF(C21&gt;0,H21*ABS(C21),"")</f>
        <v>578.68</v>
      </c>
      <c r="J21" s="54" t="n">
        <f aca="false">IF($C21=0,"",$H21*0.4)</f>
        <v>10.064</v>
      </c>
      <c r="K21" s="49" t="n">
        <f aca="false">IF($C21=0,"",$H21*0.6)</f>
        <v>15.096</v>
      </c>
      <c r="L21" s="49" t="n">
        <f aca="false">IF(C21=0,"",J21*$C21)</f>
        <v>231.472</v>
      </c>
      <c r="M21" s="55" t="n">
        <f aca="false">IF(C21=0,"",C21*K21)</f>
        <v>347.208</v>
      </c>
      <c r="N21" s="56" t="n">
        <f aca="false">IF(C21=0,"",D21)</f>
        <v>34.5</v>
      </c>
      <c r="O21" s="57" t="n">
        <f aca="false">IF(C21=0,"",D21+J21)</f>
        <v>44.564</v>
      </c>
      <c r="P21" s="44" t="n">
        <f aca="false">IF(C21=0,"",N21*C21)</f>
        <v>793.5</v>
      </c>
      <c r="Q21" s="58" t="n">
        <f aca="false">IF(C21=0,"",O21*C21)</f>
        <v>1024.972</v>
      </c>
      <c r="R21" s="44"/>
      <c r="S21" s="59" t="n">
        <f aca="false">IF(C21=0,"",L21)</f>
        <v>231.472</v>
      </c>
      <c r="T21" s="60" t="n">
        <f aca="false">IF(C21=0,"",M21)</f>
        <v>347.208</v>
      </c>
    </row>
    <row r="22" customFormat="false" ht="12.75" hidden="false" customHeight="false" outlineLevel="0" collapsed="false">
      <c r="A22" s="47" t="n">
        <f aca="false">$C$2</f>
        <v>37017</v>
      </c>
      <c r="B22" s="12" t="n">
        <v>16</v>
      </c>
      <c r="C22" s="48" t="n">
        <f aca="false">INDEX(DaMw,C34+15,0)</f>
        <v>24</v>
      </c>
      <c r="D22" s="60" t="n">
        <f aca="false">INDEX(DaPrice,C34+15,0)</f>
        <v>34.5</v>
      </c>
      <c r="E22" s="50" t="n">
        <f aca="false">VLOOKUP(A22,Gas,4,FALSE())</f>
        <v>4.64</v>
      </c>
      <c r="F22" s="50" t="n">
        <f aca="false">VLOOKUP(A22,Gas,5,FALSE())</f>
        <v>4.64</v>
      </c>
      <c r="G22" s="51" t="n">
        <f aca="false">VLOOKUP(A22,Bogey,2,FALSE())</f>
        <v>59.66</v>
      </c>
      <c r="H22" s="52" t="n">
        <f aca="false">IF(C22&gt;0,G22-D22,"")</f>
        <v>25.16</v>
      </c>
      <c r="I22" s="53" t="n">
        <f aca="false">IF(C22&gt;0,H22*ABS(C22),"")</f>
        <v>603.84</v>
      </c>
      <c r="J22" s="54" t="n">
        <f aca="false">IF($C22=0,"",$H22*0.4)</f>
        <v>10.064</v>
      </c>
      <c r="K22" s="49" t="n">
        <f aca="false">IF($C22=0,"",$H22*0.6)</f>
        <v>15.096</v>
      </c>
      <c r="L22" s="49" t="n">
        <f aca="false">IF(C22=0,"",J22*$C22)</f>
        <v>241.536</v>
      </c>
      <c r="M22" s="55" t="n">
        <f aca="false">IF(C22=0,"",C22*K22)</f>
        <v>362.304</v>
      </c>
      <c r="N22" s="56" t="n">
        <f aca="false">IF(C22=0,"",D22)</f>
        <v>34.5</v>
      </c>
      <c r="O22" s="57" t="n">
        <f aca="false">IF(C22=0,"",D22+J22)</f>
        <v>44.564</v>
      </c>
      <c r="P22" s="44" t="n">
        <f aca="false">IF(C22=0,"",N22*C22)</f>
        <v>828</v>
      </c>
      <c r="Q22" s="58" t="n">
        <f aca="false">IF(C22=0,"",O22*C22)</f>
        <v>1069.536</v>
      </c>
      <c r="R22" s="44"/>
      <c r="S22" s="59" t="n">
        <f aca="false">IF(C22=0,"",L22)</f>
        <v>241.536</v>
      </c>
      <c r="T22" s="60" t="n">
        <f aca="false">IF(C22=0,"",M22)</f>
        <v>362.304</v>
      </c>
    </row>
    <row r="23" customFormat="false" ht="12.75" hidden="false" customHeight="false" outlineLevel="0" collapsed="false">
      <c r="A23" s="47" t="n">
        <f aca="false">$C$2</f>
        <v>37017</v>
      </c>
      <c r="B23" s="12" t="n">
        <v>17</v>
      </c>
      <c r="C23" s="48" t="n">
        <f aca="false">INDEX(DaMw,C34+16,0)</f>
        <v>22</v>
      </c>
      <c r="D23" s="60" t="n">
        <f aca="false">INDEX(DaPrice,C34+16,0)</f>
        <v>34.5</v>
      </c>
      <c r="E23" s="50" t="n">
        <f aca="false">VLOOKUP(A23,Gas,4,FALSE())</f>
        <v>4.64</v>
      </c>
      <c r="F23" s="50" t="n">
        <f aca="false">VLOOKUP(A23,Gas,5,FALSE())</f>
        <v>4.64</v>
      </c>
      <c r="G23" s="51" t="n">
        <f aca="false">VLOOKUP(A23,Bogey,2,FALSE())</f>
        <v>59.66</v>
      </c>
      <c r="H23" s="52" t="n">
        <f aca="false">IF(C23&gt;0,G23-D23,"")</f>
        <v>25.16</v>
      </c>
      <c r="I23" s="53" t="n">
        <f aca="false">IF(C23&gt;0,H23*ABS(C23),"")</f>
        <v>553.52</v>
      </c>
      <c r="J23" s="54" t="n">
        <f aca="false">IF($C23=0,"",$H23*0.4)</f>
        <v>10.064</v>
      </c>
      <c r="K23" s="49" t="n">
        <f aca="false">IF($C23=0,"",$H23*0.6)</f>
        <v>15.096</v>
      </c>
      <c r="L23" s="49" t="n">
        <f aca="false">IF(C23=0,"",J23*$C23)</f>
        <v>221.408</v>
      </c>
      <c r="M23" s="55" t="n">
        <f aca="false">IF(C23=0,"",C23*K23)</f>
        <v>332.112</v>
      </c>
      <c r="N23" s="56" t="n">
        <f aca="false">IF(C23=0,"",D23)</f>
        <v>34.5</v>
      </c>
      <c r="O23" s="57" t="n">
        <f aca="false">IF(C23=0,"",D23+J23)</f>
        <v>44.564</v>
      </c>
      <c r="P23" s="44" t="n">
        <f aca="false">IF(C23=0,"",N23*C23)</f>
        <v>759</v>
      </c>
      <c r="Q23" s="58" t="n">
        <f aca="false">IF(C23=0,"",O23*C23)</f>
        <v>980.408</v>
      </c>
      <c r="R23" s="44"/>
      <c r="S23" s="59" t="n">
        <f aca="false">IF(C23=0,"",L23)</f>
        <v>221.408</v>
      </c>
      <c r="T23" s="60" t="n">
        <f aca="false">IF(C23=0,"",M23)</f>
        <v>332.112</v>
      </c>
    </row>
    <row r="24" customFormat="false" ht="12.75" hidden="false" customHeight="false" outlineLevel="0" collapsed="false">
      <c r="A24" s="47" t="n">
        <f aca="false">$C$2</f>
        <v>37017</v>
      </c>
      <c r="B24" s="12" t="n">
        <v>18</v>
      </c>
      <c r="C24" s="48" t="n">
        <f aca="false">INDEX(DaMw,C34+17,0)</f>
        <v>22</v>
      </c>
      <c r="D24" s="60" t="n">
        <f aca="false">INDEX(DaPrice,C34+17,0)</f>
        <v>34.5</v>
      </c>
      <c r="E24" s="50" t="n">
        <f aca="false">VLOOKUP(A24,Gas,4,FALSE())</f>
        <v>4.64</v>
      </c>
      <c r="F24" s="50" t="n">
        <f aca="false">VLOOKUP(A24,Gas,5,FALSE())</f>
        <v>4.64</v>
      </c>
      <c r="G24" s="51" t="n">
        <f aca="false">VLOOKUP(A24,Bogey,2,FALSE())</f>
        <v>59.66</v>
      </c>
      <c r="H24" s="52" t="n">
        <f aca="false">IF(C24&gt;0,G24-D24,"")</f>
        <v>25.16</v>
      </c>
      <c r="I24" s="53" t="n">
        <f aca="false">IF(C24&gt;0,H24*ABS(C24),"")</f>
        <v>553.52</v>
      </c>
      <c r="J24" s="54" t="n">
        <f aca="false">IF($C24=0,"",$H24*0.4)</f>
        <v>10.064</v>
      </c>
      <c r="K24" s="49" t="n">
        <f aca="false">IF($C24=0,"",$H24*0.6)</f>
        <v>15.096</v>
      </c>
      <c r="L24" s="49" t="n">
        <f aca="false">IF(C24=0,"",J24*$C24)</f>
        <v>221.408</v>
      </c>
      <c r="M24" s="55" t="n">
        <f aca="false">IF(C24=0,"",C24*K24)</f>
        <v>332.112</v>
      </c>
      <c r="N24" s="56" t="n">
        <f aca="false">IF(C24=0,"",D24)</f>
        <v>34.5</v>
      </c>
      <c r="O24" s="57" t="n">
        <f aca="false">IF(C24=0,"",D24+J24)</f>
        <v>44.564</v>
      </c>
      <c r="P24" s="44" t="n">
        <f aca="false">IF(C24=0,"",N24*C24)</f>
        <v>759</v>
      </c>
      <c r="Q24" s="58" t="n">
        <f aca="false">IF(C24=0,"",O24*C24)</f>
        <v>980.408</v>
      </c>
      <c r="R24" s="44"/>
      <c r="S24" s="59" t="n">
        <f aca="false">IF(C24=0,"",L24)</f>
        <v>221.408</v>
      </c>
      <c r="T24" s="60" t="n">
        <f aca="false">IF(C24=0,"",M24)</f>
        <v>332.112</v>
      </c>
    </row>
    <row r="25" customFormat="false" ht="12.75" hidden="false" customHeight="false" outlineLevel="0" collapsed="false">
      <c r="A25" s="47" t="n">
        <f aca="false">$C$2</f>
        <v>37017</v>
      </c>
      <c r="B25" s="12" t="n">
        <v>19</v>
      </c>
      <c r="C25" s="48" t="n">
        <f aca="false">INDEX(DaMw,C34+18,0)</f>
        <v>23</v>
      </c>
      <c r="D25" s="60" t="n">
        <f aca="false">INDEX(DaPrice,C34+18,0)</f>
        <v>34.5</v>
      </c>
      <c r="E25" s="50" t="n">
        <f aca="false">VLOOKUP(A25,Gas,4,FALSE())</f>
        <v>4.64</v>
      </c>
      <c r="F25" s="50" t="n">
        <f aca="false">VLOOKUP(A25,Gas,5,FALSE())</f>
        <v>4.64</v>
      </c>
      <c r="G25" s="51" t="n">
        <f aca="false">VLOOKUP(A25,Bogey,2,FALSE())</f>
        <v>59.66</v>
      </c>
      <c r="H25" s="52" t="n">
        <f aca="false">IF(C25&gt;0,G25-D25,"")</f>
        <v>25.16</v>
      </c>
      <c r="I25" s="53" t="n">
        <f aca="false">IF(C25&gt;0,H25*ABS(C25),"")</f>
        <v>578.68</v>
      </c>
      <c r="J25" s="54" t="n">
        <f aca="false">IF($C25=0,"",$H25*0.4)</f>
        <v>10.064</v>
      </c>
      <c r="K25" s="49" t="n">
        <f aca="false">IF($C25=0,"",$H25*0.6)</f>
        <v>15.096</v>
      </c>
      <c r="L25" s="49" t="n">
        <f aca="false">IF(C25=0,"",J25*$C25)</f>
        <v>231.472</v>
      </c>
      <c r="M25" s="55" t="n">
        <f aca="false">IF(C25=0,"",C25*K25)</f>
        <v>347.208</v>
      </c>
      <c r="N25" s="56" t="n">
        <f aca="false">IF(C25=0,"",D25)</f>
        <v>34.5</v>
      </c>
      <c r="O25" s="57" t="n">
        <f aca="false">IF(C25=0,"",D25+J25)</f>
        <v>44.564</v>
      </c>
      <c r="P25" s="44" t="n">
        <f aca="false">IF(C25=0,"",N25*C25)</f>
        <v>793.5</v>
      </c>
      <c r="Q25" s="58" t="n">
        <f aca="false">IF(C25=0,"",O25*C25)</f>
        <v>1024.972</v>
      </c>
      <c r="R25" s="44"/>
      <c r="S25" s="59" t="n">
        <f aca="false">IF(C25=0,"",L25)</f>
        <v>231.472</v>
      </c>
      <c r="T25" s="60" t="n">
        <f aca="false">IF(C25=0,"",M25)</f>
        <v>347.208</v>
      </c>
    </row>
    <row r="26" customFormat="false" ht="12.75" hidden="false" customHeight="false" outlineLevel="0" collapsed="false">
      <c r="A26" s="47" t="n">
        <f aca="false">$C$2</f>
        <v>37017</v>
      </c>
      <c r="B26" s="12" t="n">
        <v>20</v>
      </c>
      <c r="C26" s="48" t="n">
        <f aca="false">INDEX(DaMw,C34+19,0)</f>
        <v>23</v>
      </c>
      <c r="D26" s="60" t="n">
        <f aca="false">INDEX(DaPrice,C34+19,0)</f>
        <v>34.5</v>
      </c>
      <c r="E26" s="50" t="n">
        <f aca="false">VLOOKUP(A26,Gas,4,FALSE())</f>
        <v>4.64</v>
      </c>
      <c r="F26" s="50" t="n">
        <f aca="false">VLOOKUP(A26,Gas,5,FALSE())</f>
        <v>4.64</v>
      </c>
      <c r="G26" s="51" t="n">
        <f aca="false">VLOOKUP(A26,Bogey,2,FALSE())</f>
        <v>59.66</v>
      </c>
      <c r="H26" s="52" t="n">
        <f aca="false">IF(C26&gt;0,G26-D26,"")</f>
        <v>25.16</v>
      </c>
      <c r="I26" s="53" t="n">
        <f aca="false">IF(C26&gt;0,H26*ABS(C26),"")</f>
        <v>578.68</v>
      </c>
      <c r="J26" s="54" t="n">
        <f aca="false">IF($C26=0,"",$H26*0.4)</f>
        <v>10.064</v>
      </c>
      <c r="K26" s="49" t="n">
        <f aca="false">IF($C26=0,"",$H26*0.6)</f>
        <v>15.096</v>
      </c>
      <c r="L26" s="49" t="n">
        <f aca="false">IF(C26=0,"",J26*$C26)</f>
        <v>231.472</v>
      </c>
      <c r="M26" s="55" t="n">
        <f aca="false">IF(C26=0,"",C26*K26)</f>
        <v>347.208</v>
      </c>
      <c r="N26" s="56" t="n">
        <f aca="false">IF(C26=0,"",D26)</f>
        <v>34.5</v>
      </c>
      <c r="O26" s="57" t="n">
        <f aca="false">IF(C26=0,"",D26+J26)</f>
        <v>44.564</v>
      </c>
      <c r="P26" s="44" t="n">
        <f aca="false">IF(C26=0,"",N26*C26)</f>
        <v>793.5</v>
      </c>
      <c r="Q26" s="58" t="n">
        <f aca="false">IF(C26=0,"",O26*C26)</f>
        <v>1024.972</v>
      </c>
      <c r="R26" s="44"/>
      <c r="S26" s="59" t="n">
        <f aca="false">IF(C26=0,"",L26)</f>
        <v>231.472</v>
      </c>
      <c r="T26" s="60" t="n">
        <f aca="false">IF(C26=0,"",M26)</f>
        <v>347.208</v>
      </c>
    </row>
    <row r="27" customFormat="false" ht="12.75" hidden="false" customHeight="false" outlineLevel="0" collapsed="false">
      <c r="A27" s="47" t="n">
        <f aca="false">$C$2</f>
        <v>37017</v>
      </c>
      <c r="B27" s="12" t="n">
        <v>21</v>
      </c>
      <c r="C27" s="48" t="n">
        <f aca="false">INDEX(DaMw,C34+20,0)</f>
        <v>27</v>
      </c>
      <c r="D27" s="60" t="n">
        <f aca="false">INDEX(DaPrice,C34+20,0)</f>
        <v>34.5</v>
      </c>
      <c r="E27" s="50" t="n">
        <f aca="false">VLOOKUP(A27,Gas,4,FALSE())</f>
        <v>4.64</v>
      </c>
      <c r="F27" s="50" t="n">
        <f aca="false">VLOOKUP(A27,Gas,5,FALSE())</f>
        <v>4.64</v>
      </c>
      <c r="G27" s="51" t="n">
        <f aca="false">VLOOKUP(A27,Bogey,2,FALSE())</f>
        <v>59.66</v>
      </c>
      <c r="H27" s="52" t="n">
        <f aca="false">IF(C27&gt;0,G27-D27,"")</f>
        <v>25.16</v>
      </c>
      <c r="I27" s="53" t="n">
        <f aca="false">IF(C27&gt;0,H27*ABS(C27),"")</f>
        <v>679.32</v>
      </c>
      <c r="J27" s="54" t="n">
        <f aca="false">IF($C27=0,"",$H27*0.4)</f>
        <v>10.064</v>
      </c>
      <c r="K27" s="49" t="n">
        <f aca="false">IF($C27=0,"",$H27*0.6)</f>
        <v>15.096</v>
      </c>
      <c r="L27" s="49" t="n">
        <f aca="false">IF(C27=0,"",J27*$C27)</f>
        <v>271.728</v>
      </c>
      <c r="M27" s="55" t="n">
        <f aca="false">IF(C27=0,"",C27*K27)</f>
        <v>407.592</v>
      </c>
      <c r="N27" s="56" t="n">
        <f aca="false">IF(C27=0,"",D27)</f>
        <v>34.5</v>
      </c>
      <c r="O27" s="57" t="n">
        <f aca="false">IF(C27=0,"",D27+J27)</f>
        <v>44.564</v>
      </c>
      <c r="P27" s="44" t="n">
        <f aca="false">IF(C27=0,"",N27*C27)</f>
        <v>931.5</v>
      </c>
      <c r="Q27" s="58" t="n">
        <f aca="false">IF(C27=0,"",O27*C27)</f>
        <v>1203.228</v>
      </c>
      <c r="R27" s="44"/>
      <c r="S27" s="59" t="n">
        <f aca="false">IF(C27=0,"",L27)</f>
        <v>271.728</v>
      </c>
      <c r="T27" s="60" t="n">
        <f aca="false">IF(C27=0,"",M27)</f>
        <v>407.592</v>
      </c>
    </row>
    <row r="28" customFormat="false" ht="12.75" hidden="false" customHeight="false" outlineLevel="0" collapsed="false">
      <c r="A28" s="47" t="n">
        <f aca="false">$C$2</f>
        <v>37017</v>
      </c>
      <c r="B28" s="12" t="n">
        <v>22</v>
      </c>
      <c r="C28" s="48" t="n">
        <f aca="false">INDEX(DaMw,C34+21,0)</f>
        <v>27</v>
      </c>
      <c r="D28" s="60" t="n">
        <f aca="false">INDEX(DaPrice,C34+21,0)</f>
        <v>34.5</v>
      </c>
      <c r="E28" s="50" t="n">
        <f aca="false">VLOOKUP(A28,Gas,4,FALSE())</f>
        <v>4.64</v>
      </c>
      <c r="F28" s="50" t="n">
        <f aca="false">VLOOKUP(A28,Gas,5,FALSE())</f>
        <v>4.64</v>
      </c>
      <c r="G28" s="51" t="n">
        <f aca="false">VLOOKUP(A28,Bogey,2,FALSE())</f>
        <v>59.66</v>
      </c>
      <c r="H28" s="52" t="n">
        <f aca="false">IF(C28&gt;0,G28-D28,"")</f>
        <v>25.16</v>
      </c>
      <c r="I28" s="53" t="n">
        <f aca="false">IF(C28&gt;0,H28*ABS(C28),"")</f>
        <v>679.32</v>
      </c>
      <c r="J28" s="54" t="n">
        <f aca="false">IF($C28=0,"",$H28*0.4)</f>
        <v>10.064</v>
      </c>
      <c r="K28" s="49" t="n">
        <f aca="false">IF($C28=0,"",$H28*0.6)</f>
        <v>15.096</v>
      </c>
      <c r="L28" s="49" t="n">
        <f aca="false">IF(C28=0,"",J28*$C28)</f>
        <v>271.728</v>
      </c>
      <c r="M28" s="55" t="n">
        <f aca="false">IF(C28=0,"",C28*K28)</f>
        <v>407.592</v>
      </c>
      <c r="N28" s="56" t="n">
        <f aca="false">IF(C28=0,"",D28)</f>
        <v>34.5</v>
      </c>
      <c r="O28" s="57" t="n">
        <f aca="false">IF(C28=0,"",D28+J28)</f>
        <v>44.564</v>
      </c>
      <c r="P28" s="44" t="n">
        <f aca="false">IF(C28=0,"",N28*C28)</f>
        <v>931.5</v>
      </c>
      <c r="Q28" s="58" t="n">
        <f aca="false">IF(C28=0,"",O28*C28)</f>
        <v>1203.228</v>
      </c>
      <c r="R28" s="44"/>
      <c r="S28" s="59" t="n">
        <f aca="false">IF(C28=0,"",L28)</f>
        <v>271.728</v>
      </c>
      <c r="T28" s="60" t="n">
        <f aca="false">IF(C28=0,"",M28)</f>
        <v>407.592</v>
      </c>
    </row>
    <row r="29" customFormat="false" ht="12.75" hidden="false" customHeight="false" outlineLevel="0" collapsed="false">
      <c r="A29" s="47" t="n">
        <f aca="false">$C$2</f>
        <v>37017</v>
      </c>
      <c r="B29" s="12" t="n">
        <v>23</v>
      </c>
      <c r="C29" s="48" t="n">
        <f aca="false">INDEX(DaMw,C34+22,0)</f>
        <v>25</v>
      </c>
      <c r="D29" s="60" t="n">
        <f aca="false">INDEX(DaPrice,C34+22,0)</f>
        <v>18</v>
      </c>
      <c r="E29" s="50" t="n">
        <f aca="false">VLOOKUP(A29,Gas,4,FALSE())</f>
        <v>4.64</v>
      </c>
      <c r="F29" s="50" t="n">
        <f aca="false">VLOOKUP(A29,Gas,5,FALSE())</f>
        <v>4.64</v>
      </c>
      <c r="G29" s="51" t="n">
        <f aca="false">VLOOKUP(A29,Bogey,2,FALSE())</f>
        <v>59.66</v>
      </c>
      <c r="H29" s="52" t="n">
        <f aca="false">IF(C29&gt;0,G29-D29,"")</f>
        <v>41.66</v>
      </c>
      <c r="I29" s="53" t="n">
        <f aca="false">IF(C29&gt;0,H29*ABS(C29),"")</f>
        <v>1041.5</v>
      </c>
      <c r="J29" s="54" t="n">
        <f aca="false">IF(C29=0,"",1)</f>
        <v>1</v>
      </c>
      <c r="K29" s="44" t="n">
        <f aca="false">IF(C29=0,"",G29-(D29+1))</f>
        <v>40.66</v>
      </c>
      <c r="L29" s="44" t="n">
        <f aca="false">IF(C29=0,"",C29*J29)</f>
        <v>25</v>
      </c>
      <c r="M29" s="55" t="n">
        <f aca="false">IF(C29=0,"",C29*K29)</f>
        <v>1016.5</v>
      </c>
      <c r="N29" s="56" t="n">
        <f aca="false">IF(C29=0,"",D29)</f>
        <v>18</v>
      </c>
      <c r="O29" s="57" t="n">
        <f aca="false">IF(C29=0,"",D29+1)</f>
        <v>19</v>
      </c>
      <c r="P29" s="44" t="n">
        <f aca="false">IF(C29=0,"",N29*C29)</f>
        <v>450</v>
      </c>
      <c r="Q29" s="58" t="n">
        <f aca="false">IF(C29=0,"",O29*C29)</f>
        <v>475</v>
      </c>
      <c r="R29" s="44"/>
      <c r="S29" s="59" t="n">
        <f aca="false">IF(C29=0,"",L29)</f>
        <v>25</v>
      </c>
      <c r="T29" s="60" t="n">
        <f aca="false">IF(C29=0,"",M29)</f>
        <v>1016.5</v>
      </c>
    </row>
    <row r="30" customFormat="false" ht="12.75" hidden="false" customHeight="false" outlineLevel="0" collapsed="false">
      <c r="A30" s="61" t="n">
        <f aca="false">$C$2</f>
        <v>37017</v>
      </c>
      <c r="B30" s="62" t="n">
        <v>24</v>
      </c>
      <c r="C30" s="63" t="n">
        <f aca="false">INDEX(DaMw,C34+23,0)</f>
        <v>25</v>
      </c>
      <c r="D30" s="76" t="n">
        <f aca="false">INDEX(DaPrice,C34+23,0)</f>
        <v>18</v>
      </c>
      <c r="E30" s="65" t="n">
        <f aca="false">VLOOKUP(A30,Gas,4,FALSE())</f>
        <v>4.64</v>
      </c>
      <c r="F30" s="65" t="n">
        <f aca="false">VLOOKUP(A30,Gas,5,FALSE())</f>
        <v>4.64</v>
      </c>
      <c r="G30" s="66" t="n">
        <f aca="false">VLOOKUP(A30,Bogey,2,FALSE())</f>
        <v>59.66</v>
      </c>
      <c r="H30" s="67" t="n">
        <f aca="false">IF(C30&gt;0,G30-D30,"")</f>
        <v>41.66</v>
      </c>
      <c r="I30" s="68" t="n">
        <f aca="false">IF(C30&gt;0,H30*ABS(C30),"")</f>
        <v>1041.5</v>
      </c>
      <c r="J30" s="69" t="n">
        <f aca="false">IF(C30=0,"",1)</f>
        <v>1</v>
      </c>
      <c r="K30" s="70" t="n">
        <f aca="false">IF(C30=0,"",G30-(D30+1))</f>
        <v>40.66</v>
      </c>
      <c r="L30" s="70" t="n">
        <f aca="false">IF(C30=0,"",C30*J30)</f>
        <v>25</v>
      </c>
      <c r="M30" s="71" t="n">
        <f aca="false">IF(C30=0,"",C30*K30)</f>
        <v>1016.5</v>
      </c>
      <c r="N30" s="72" t="n">
        <f aca="false">IF(C30=0,"",D30)</f>
        <v>18</v>
      </c>
      <c r="O30" s="73" t="n">
        <f aca="false">IF(C30=0,"",D30+1)</f>
        <v>19</v>
      </c>
      <c r="P30" s="70" t="n">
        <f aca="false">IF(C30=0,"",N30*C30)</f>
        <v>450</v>
      </c>
      <c r="Q30" s="74" t="n">
        <f aca="false">IF(C30=0,"",O30*C30)</f>
        <v>475</v>
      </c>
      <c r="R30" s="44"/>
      <c r="S30" s="75" t="n">
        <f aca="false">IF(C30=0,"",L30)</f>
        <v>25</v>
      </c>
      <c r="T30" s="76" t="n">
        <f aca="false">IF(C30=0,"",M30)</f>
        <v>1016.5</v>
      </c>
    </row>
    <row r="31" customFormat="false" ht="4.5" hidden="false" customHeight="true" outlineLevel="0" collapsed="false">
      <c r="E31" s="77"/>
      <c r="F31" s="77"/>
      <c r="G31" s="77"/>
      <c r="I31" s="78"/>
      <c r="Q31" s="2"/>
      <c r="S31" s="2"/>
    </row>
    <row r="32" customFormat="false" ht="12.75" hidden="false" customHeight="false" outlineLevel="0" collapsed="false">
      <c r="K32" s="79"/>
      <c r="L32" s="79"/>
      <c r="M32" s="79"/>
      <c r="N32" s="80"/>
      <c r="O32" s="79"/>
      <c r="P32" s="80"/>
      <c r="Q32" s="81" t="n">
        <f aca="false">SUM(Q7:Q30)</f>
        <v>19643.8738420298</v>
      </c>
      <c r="R32" s="82"/>
      <c r="S32" s="81" t="n">
        <f aca="false">SUM(S7:S30)</f>
        <v>3778.06180652965</v>
      </c>
      <c r="T32" s="81" t="n">
        <f aca="false">SUM(T7:T30)</f>
        <v>13499.0927097945</v>
      </c>
    </row>
    <row r="34" customFormat="false" ht="12.75" hidden="true" customHeight="false" outlineLevel="0" collapsed="false">
      <c r="B34" s="0" t="s">
        <v>33</v>
      </c>
      <c r="C34" s="0" t="n">
        <f aca="false">MATCH(C2,DaDate,0)</f>
        <v>121</v>
      </c>
    </row>
    <row r="37" customFormat="false" ht="12.75" hidden="false" customHeight="false" outlineLevel="0" collapsed="false">
      <c r="A37" s="6"/>
      <c r="B37" s="6"/>
      <c r="C37" s="6"/>
      <c r="D37" s="7"/>
      <c r="E37" s="8" t="s">
        <v>2</v>
      </c>
      <c r="F37" s="8"/>
      <c r="G37" s="8"/>
      <c r="H37" s="9" t="s">
        <v>3</v>
      </c>
      <c r="I37" s="9"/>
      <c r="J37" s="9" t="s">
        <v>4</v>
      </c>
      <c r="K37" s="9"/>
      <c r="L37" s="9"/>
      <c r="M37" s="9"/>
      <c r="N37" s="10" t="s">
        <v>5</v>
      </c>
      <c r="O37" s="10"/>
      <c r="P37" s="10"/>
      <c r="Q37" s="10"/>
      <c r="R37" s="11"/>
      <c r="S37" s="10" t="s">
        <v>6</v>
      </c>
      <c r="T37" s="10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2.75" hidden="false" customHeight="false" outlineLevel="0" collapsed="false">
      <c r="B38" s="85" t="s">
        <v>35</v>
      </c>
      <c r="C38" s="85"/>
      <c r="D38" s="85"/>
      <c r="E38" s="13"/>
      <c r="F38" s="14"/>
      <c r="G38" s="15"/>
      <c r="H38" s="16" t="s">
        <v>7</v>
      </c>
      <c r="I38" s="17" t="s">
        <v>7</v>
      </c>
      <c r="J38" s="16" t="s">
        <v>8</v>
      </c>
      <c r="K38" s="18" t="s">
        <v>9</v>
      </c>
      <c r="L38" s="18" t="s">
        <v>8</v>
      </c>
      <c r="M38" s="17" t="s">
        <v>9</v>
      </c>
      <c r="N38" s="19" t="s">
        <v>10</v>
      </c>
      <c r="O38" s="19"/>
      <c r="P38" s="19" t="s">
        <v>11</v>
      </c>
      <c r="Q38" s="19"/>
      <c r="R38" s="11"/>
      <c r="S38" s="20"/>
      <c r="T38" s="21"/>
    </row>
    <row r="39" customFormat="false" ht="12.75" hidden="false" customHeight="false" outlineLevel="0" collapsed="false">
      <c r="E39" s="16" t="s">
        <v>12</v>
      </c>
      <c r="F39" s="18" t="s">
        <v>12</v>
      </c>
      <c r="G39" s="17" t="s">
        <v>13</v>
      </c>
      <c r="H39" s="16" t="s">
        <v>14</v>
      </c>
      <c r="I39" s="17" t="s">
        <v>14</v>
      </c>
      <c r="J39" s="22" t="s">
        <v>15</v>
      </c>
      <c r="K39" s="18" t="s">
        <v>16</v>
      </c>
      <c r="L39" s="18" t="s">
        <v>17</v>
      </c>
      <c r="M39" s="17" t="s">
        <v>18</v>
      </c>
      <c r="N39" s="23"/>
      <c r="O39" s="15"/>
      <c r="P39" s="22"/>
      <c r="Q39" s="24" t="s">
        <v>19</v>
      </c>
      <c r="R39" s="11"/>
      <c r="S39" s="16" t="s">
        <v>20</v>
      </c>
      <c r="T39" s="25" t="s">
        <v>21</v>
      </c>
    </row>
    <row r="40" customFormat="false" ht="12.75" hidden="false" customHeight="false" outlineLevel="0" collapsed="false">
      <c r="A40" s="26" t="s">
        <v>22</v>
      </c>
      <c r="B40" s="27" t="s">
        <v>23</v>
      </c>
      <c r="C40" s="27" t="s">
        <v>24</v>
      </c>
      <c r="D40" s="28" t="s">
        <v>25</v>
      </c>
      <c r="E40" s="22" t="s">
        <v>26</v>
      </c>
      <c r="F40" s="5" t="s">
        <v>27</v>
      </c>
      <c r="G40" s="25" t="s">
        <v>28</v>
      </c>
      <c r="H40" s="22" t="s">
        <v>29</v>
      </c>
      <c r="I40" s="25" t="s">
        <v>30</v>
      </c>
      <c r="J40" s="22" t="s">
        <v>10</v>
      </c>
      <c r="K40" s="5" t="s">
        <v>10</v>
      </c>
      <c r="L40" s="5" t="s">
        <v>30</v>
      </c>
      <c r="M40" s="25" t="s">
        <v>30</v>
      </c>
      <c r="N40" s="22" t="s">
        <v>20</v>
      </c>
      <c r="O40" s="25" t="s">
        <v>21</v>
      </c>
      <c r="P40" s="22" t="s">
        <v>20</v>
      </c>
      <c r="Q40" s="29" t="s">
        <v>21</v>
      </c>
      <c r="R40" s="5"/>
      <c r="S40" s="22" t="s">
        <v>31</v>
      </c>
      <c r="T40" s="25" t="s">
        <v>32</v>
      </c>
      <c r="U40" s="30"/>
      <c r="V40" s="30"/>
    </row>
    <row r="41" customFormat="false" ht="12.75" hidden="false" customHeight="false" outlineLevel="0" collapsed="false">
      <c r="A41" s="31" t="n">
        <f aca="false">$C$2</f>
        <v>37017</v>
      </c>
      <c r="B41" s="32" t="n">
        <v>1</v>
      </c>
      <c r="C41" s="33" t="str">
        <f aca="false">INDEX(RtMw,C68,0)</f>
        <v/>
      </c>
      <c r="D41" s="34" t="str">
        <f aca="false">INDEX(RTPrice,C68,0)</f>
        <v/>
      </c>
      <c r="E41" s="35" t="n">
        <f aca="false">VLOOKUP(A41,Gas,4,FALSE())</f>
        <v>4.64</v>
      </c>
      <c r="F41" s="35" t="n">
        <f aca="false">VLOOKUP(A41,Gas,5,FALSE())</f>
        <v>4.64</v>
      </c>
      <c r="G41" s="36" t="n">
        <f aca="false">VLOOKUP(A41,Bogey,2,FALSE())</f>
        <v>59.66</v>
      </c>
      <c r="H41" s="37" t="e">
        <f aca="false">IF(C41&gt;0,G41-D41,"")</f>
        <v>#VALUE!</v>
      </c>
      <c r="I41" s="38" t="e">
        <f aca="false">IF(C41&gt;0,H41*ABS(C41),"")</f>
        <v>#VALUE!</v>
      </c>
      <c r="J41" s="39" t="n">
        <f aca="false">IF(C41=0,"",1)</f>
        <v>1</v>
      </c>
      <c r="K41" s="40" t="e">
        <f aca="false">IF(C41=0,"",G41-(D41+1))</f>
        <v>#VALUE!</v>
      </c>
      <c r="L41" s="40" t="e">
        <f aca="false">IF(C41=0,"",C41*J41)</f>
        <v>#VALUE!</v>
      </c>
      <c r="M41" s="21" t="e">
        <f aca="false">IF(C41=0,"",C41*K41)</f>
        <v>#VALUE!</v>
      </c>
      <c r="N41" s="41" t="str">
        <f aca="false">IF(C41=0,"",D41)</f>
        <v/>
      </c>
      <c r="O41" s="42" t="e">
        <f aca="false">IF(C41=0,"",D41+1)</f>
        <v>#VALUE!</v>
      </c>
      <c r="P41" s="40" t="e">
        <f aca="false">IF(C41=0,"",N41*C41)</f>
        <v>#VALUE!</v>
      </c>
      <c r="Q41" s="43" t="e">
        <f aca="false">IF(C41=0,"",O41*C41)</f>
        <v>#VALUE!</v>
      </c>
      <c r="R41" s="44"/>
      <c r="S41" s="45" t="e">
        <f aca="false">IF(C41=0,"",L41)</f>
        <v>#VALUE!</v>
      </c>
      <c r="T41" s="46" t="e">
        <f aca="false">IF(C41=0,"",M41)</f>
        <v>#VALUE!</v>
      </c>
    </row>
    <row r="42" customFormat="false" ht="12.75" hidden="false" customHeight="false" outlineLevel="0" collapsed="false">
      <c r="A42" s="47" t="n">
        <f aca="false">$C$2</f>
        <v>37017</v>
      </c>
      <c r="B42" s="12" t="n">
        <v>2</v>
      </c>
      <c r="C42" s="48" t="str">
        <f aca="false">INDEX(RtMw,C68+1,0)</f>
        <v/>
      </c>
      <c r="D42" s="49" t="str">
        <f aca="false">INDEX(RTPrice,C68+1,0)</f>
        <v/>
      </c>
      <c r="E42" s="50" t="n">
        <f aca="false">VLOOKUP(A42,Gas,4,FALSE())</f>
        <v>4.64</v>
      </c>
      <c r="F42" s="50" t="n">
        <f aca="false">VLOOKUP(A42,Gas,5,FALSE())</f>
        <v>4.64</v>
      </c>
      <c r="G42" s="51" t="n">
        <f aca="false">VLOOKUP(A42,Bogey,2,FALSE())</f>
        <v>59.66</v>
      </c>
      <c r="H42" s="52" t="e">
        <f aca="false">IF(C42&gt;0,G42-D42,"")</f>
        <v>#VALUE!</v>
      </c>
      <c r="I42" s="53" t="e">
        <f aca="false">IF(C42&gt;0,H42*ABS(C42),"")</f>
        <v>#VALUE!</v>
      </c>
      <c r="J42" s="54" t="n">
        <f aca="false">IF(C42=0,"",1)</f>
        <v>1</v>
      </c>
      <c r="K42" s="44" t="e">
        <f aca="false">IF(C42=0,"",G42-(D42+1))</f>
        <v>#VALUE!</v>
      </c>
      <c r="L42" s="44" t="e">
        <f aca="false">IF(C42=0,"",C42*J42)</f>
        <v>#VALUE!</v>
      </c>
      <c r="M42" s="55" t="e">
        <f aca="false">IF(C42=0,"",C42*K42)</f>
        <v>#VALUE!</v>
      </c>
      <c r="N42" s="56" t="str">
        <f aca="false">IF(C42=0,"",D42)</f>
        <v/>
      </c>
      <c r="O42" s="57" t="e">
        <f aca="false">IF(C42=0,"",D42+1)</f>
        <v>#VALUE!</v>
      </c>
      <c r="P42" s="44" t="e">
        <f aca="false">IF(C42=0,"",N42*C42)</f>
        <v>#VALUE!</v>
      </c>
      <c r="Q42" s="58" t="e">
        <f aca="false">IF(C42=0,"",O42*C42)</f>
        <v>#VALUE!</v>
      </c>
      <c r="R42" s="44"/>
      <c r="S42" s="59" t="e">
        <f aca="false">IF(C42=0,"",L42)</f>
        <v>#VALUE!</v>
      </c>
      <c r="T42" s="60" t="e">
        <f aca="false">IF(C42=0,"",M42)</f>
        <v>#VALUE!</v>
      </c>
    </row>
    <row r="43" customFormat="false" ht="12.75" hidden="false" customHeight="false" outlineLevel="0" collapsed="false">
      <c r="A43" s="47" t="n">
        <f aca="false">$C$2</f>
        <v>37017</v>
      </c>
      <c r="B43" s="12" t="n">
        <v>3</v>
      </c>
      <c r="C43" s="48" t="str">
        <f aca="false">INDEX(RtMw,C68+2,0)</f>
        <v/>
      </c>
      <c r="D43" s="49" t="str">
        <f aca="false">INDEX(RTPrice,C68+2,0)</f>
        <v/>
      </c>
      <c r="E43" s="50" t="n">
        <f aca="false">VLOOKUP(A43,Gas,4,FALSE())</f>
        <v>4.64</v>
      </c>
      <c r="F43" s="50" t="n">
        <f aca="false">VLOOKUP(A43,Gas,5,FALSE())</f>
        <v>4.64</v>
      </c>
      <c r="G43" s="51" t="n">
        <f aca="false">VLOOKUP(A43,Bogey,2,FALSE())</f>
        <v>59.66</v>
      </c>
      <c r="H43" s="52" t="e">
        <f aca="false">IF(C43&gt;0,G43-D43,"")</f>
        <v>#VALUE!</v>
      </c>
      <c r="I43" s="53" t="e">
        <f aca="false">IF(C43&gt;0,H43*ABS(C43),"")</f>
        <v>#VALUE!</v>
      </c>
      <c r="J43" s="54" t="n">
        <f aca="false">IF(C43=0,"",1)</f>
        <v>1</v>
      </c>
      <c r="K43" s="44" t="e">
        <f aca="false">IF(C43=0,"",G43-(D43+1))</f>
        <v>#VALUE!</v>
      </c>
      <c r="L43" s="44" t="e">
        <f aca="false">IF(C43=0,"",C43*J43)</f>
        <v>#VALUE!</v>
      </c>
      <c r="M43" s="55" t="e">
        <f aca="false">IF(C43=0,"",C43*K43)</f>
        <v>#VALUE!</v>
      </c>
      <c r="N43" s="56" t="str">
        <f aca="false">IF(C43=0,"",D43)</f>
        <v/>
      </c>
      <c r="O43" s="57" t="e">
        <f aca="false">IF(C43=0,"",D43+1)</f>
        <v>#VALUE!</v>
      </c>
      <c r="P43" s="44" t="e">
        <f aca="false">IF(C43=0,"",N43*C43)</f>
        <v>#VALUE!</v>
      </c>
      <c r="Q43" s="58" t="e">
        <f aca="false">IF(C43=0,"",O43*C43)</f>
        <v>#VALUE!</v>
      </c>
      <c r="R43" s="44"/>
      <c r="S43" s="59" t="e">
        <f aca="false">IF(C43=0,"",L43)</f>
        <v>#VALUE!</v>
      </c>
      <c r="T43" s="60" t="e">
        <f aca="false">IF(C43=0,"",M43)</f>
        <v>#VALUE!</v>
      </c>
    </row>
    <row r="44" customFormat="false" ht="12.75" hidden="false" customHeight="false" outlineLevel="0" collapsed="false">
      <c r="A44" s="47" t="n">
        <f aca="false">$C$2</f>
        <v>37017</v>
      </c>
      <c r="B44" s="12" t="n">
        <v>4</v>
      </c>
      <c r="C44" s="48" t="str">
        <f aca="false">INDEX(RtMw,C68+3,0)</f>
        <v/>
      </c>
      <c r="D44" s="49" t="str">
        <f aca="false">INDEX(RTPrice,C68+3,0)</f>
        <v/>
      </c>
      <c r="E44" s="50" t="n">
        <f aca="false">VLOOKUP(A44,Gas,4,FALSE())</f>
        <v>4.64</v>
      </c>
      <c r="F44" s="50" t="n">
        <f aca="false">VLOOKUP(A44,Gas,5,FALSE())</f>
        <v>4.64</v>
      </c>
      <c r="G44" s="51" t="n">
        <f aca="false">VLOOKUP(A44,Bogey,2,FALSE())</f>
        <v>59.66</v>
      </c>
      <c r="H44" s="52" t="e">
        <f aca="false">IF(C44&gt;0,G44-D44,"")</f>
        <v>#VALUE!</v>
      </c>
      <c r="I44" s="53" t="e">
        <f aca="false">IF(C44&gt;0,H44*ABS(C44),"")</f>
        <v>#VALUE!</v>
      </c>
      <c r="J44" s="54" t="n">
        <f aca="false">IF(C44=0,"",1)</f>
        <v>1</v>
      </c>
      <c r="K44" s="44" t="e">
        <f aca="false">IF(C44=0,"",G44-(D44+1))</f>
        <v>#VALUE!</v>
      </c>
      <c r="L44" s="44" t="e">
        <f aca="false">IF(C44=0,"",C44*J44)</f>
        <v>#VALUE!</v>
      </c>
      <c r="M44" s="55" t="e">
        <f aca="false">IF(C44=0,"",C44*K44)</f>
        <v>#VALUE!</v>
      </c>
      <c r="N44" s="56" t="str">
        <f aca="false">IF(C44=0,"",D44)</f>
        <v/>
      </c>
      <c r="O44" s="57" t="e">
        <f aca="false">IF(C44=0,"",D44+1)</f>
        <v>#VALUE!</v>
      </c>
      <c r="P44" s="44" t="e">
        <f aca="false">IF(C44=0,"",N44*C44)</f>
        <v>#VALUE!</v>
      </c>
      <c r="Q44" s="58" t="e">
        <f aca="false">IF(C44=0,"",O44*C44)</f>
        <v>#VALUE!</v>
      </c>
      <c r="R44" s="44"/>
      <c r="S44" s="59" t="e">
        <f aca="false">IF(C44=0,"",L44)</f>
        <v>#VALUE!</v>
      </c>
      <c r="T44" s="60" t="e">
        <f aca="false">IF(C44=0,"",M44)</f>
        <v>#VALUE!</v>
      </c>
    </row>
    <row r="45" customFormat="false" ht="12.75" hidden="false" customHeight="false" outlineLevel="0" collapsed="false">
      <c r="A45" s="47" t="n">
        <f aca="false">$C$2</f>
        <v>37017</v>
      </c>
      <c r="B45" s="12" t="n">
        <v>5</v>
      </c>
      <c r="C45" s="48" t="str">
        <f aca="false">INDEX(RtMw,C68+4,0)</f>
        <v/>
      </c>
      <c r="D45" s="49" t="str">
        <f aca="false">INDEX(RTPrice,C68+4,0)</f>
        <v/>
      </c>
      <c r="E45" s="50" t="n">
        <f aca="false">VLOOKUP(A45,Gas,4,FALSE())</f>
        <v>4.64</v>
      </c>
      <c r="F45" s="50" t="n">
        <f aca="false">VLOOKUP(A45,Gas,5,FALSE())</f>
        <v>4.64</v>
      </c>
      <c r="G45" s="51" t="n">
        <f aca="false">VLOOKUP(A45,Bogey,2,FALSE())</f>
        <v>59.66</v>
      </c>
      <c r="H45" s="52" t="e">
        <f aca="false">IF(C45&gt;0,G45-D45,"")</f>
        <v>#VALUE!</v>
      </c>
      <c r="I45" s="53" t="e">
        <f aca="false">IF(C45&gt;0,H45*ABS(C45),"")</f>
        <v>#VALUE!</v>
      </c>
      <c r="J45" s="54" t="n">
        <f aca="false">IF(C45=0,"",1)</f>
        <v>1</v>
      </c>
      <c r="K45" s="44" t="e">
        <f aca="false">IF(C45=0,"",G45-(D45+1))</f>
        <v>#VALUE!</v>
      </c>
      <c r="L45" s="44" t="e">
        <f aca="false">IF(C45=0,"",C45*J45)</f>
        <v>#VALUE!</v>
      </c>
      <c r="M45" s="55" t="e">
        <f aca="false">IF(C45=0,"",C45*K45)</f>
        <v>#VALUE!</v>
      </c>
      <c r="N45" s="56" t="str">
        <f aca="false">IF(C45=0,"",D45)</f>
        <v/>
      </c>
      <c r="O45" s="57" t="e">
        <f aca="false">IF(C45=0,"",D45+1)</f>
        <v>#VALUE!</v>
      </c>
      <c r="P45" s="44" t="e">
        <f aca="false">IF(C45=0,"",N45*C45)</f>
        <v>#VALUE!</v>
      </c>
      <c r="Q45" s="58" t="e">
        <f aca="false">IF(C45=0,"",O45*C45)</f>
        <v>#VALUE!</v>
      </c>
      <c r="R45" s="44"/>
      <c r="S45" s="59" t="e">
        <f aca="false">IF(C45=0,"",L45)</f>
        <v>#VALUE!</v>
      </c>
      <c r="T45" s="60" t="e">
        <f aca="false">IF(C45=0,"",M45)</f>
        <v>#VALUE!</v>
      </c>
    </row>
    <row r="46" customFormat="false" ht="12.75" hidden="false" customHeight="false" outlineLevel="0" collapsed="false">
      <c r="A46" s="47" t="n">
        <f aca="false">$C$2</f>
        <v>37017</v>
      </c>
      <c r="B46" s="12" t="n">
        <v>6</v>
      </c>
      <c r="C46" s="48" t="str">
        <f aca="false">INDEX(RtMw,C68+5,0)</f>
        <v/>
      </c>
      <c r="D46" s="49" t="str">
        <f aca="false">INDEX(RTPrice,C68+5,0)</f>
        <v/>
      </c>
      <c r="E46" s="50" t="n">
        <f aca="false">VLOOKUP(A46,Gas,4,FALSE())</f>
        <v>4.64</v>
      </c>
      <c r="F46" s="50" t="n">
        <f aca="false">VLOOKUP(A46,Gas,5,FALSE())</f>
        <v>4.64</v>
      </c>
      <c r="G46" s="51" t="n">
        <f aca="false">VLOOKUP(A46,Bogey,2,FALSE())</f>
        <v>59.66</v>
      </c>
      <c r="H46" s="52" t="e">
        <f aca="false">IF(C46&gt;0,G46-D46,"")</f>
        <v>#VALUE!</v>
      </c>
      <c r="I46" s="53" t="e">
        <f aca="false">IF(C46&gt;0,H46*ABS(C46),"")</f>
        <v>#VALUE!</v>
      </c>
      <c r="J46" s="54" t="n">
        <f aca="false">IF(C46=0,"",1)</f>
        <v>1</v>
      </c>
      <c r="K46" s="44" t="e">
        <f aca="false">IF(C46=0,"",G46-(D46+1))</f>
        <v>#VALUE!</v>
      </c>
      <c r="L46" s="44" t="e">
        <f aca="false">IF(C46=0,"",C46*J46)</f>
        <v>#VALUE!</v>
      </c>
      <c r="M46" s="55" t="e">
        <f aca="false">IF(C46=0,"",C46*K46)</f>
        <v>#VALUE!</v>
      </c>
      <c r="N46" s="56" t="str">
        <f aca="false">IF(C46=0,"",D46)</f>
        <v/>
      </c>
      <c r="O46" s="57" t="e">
        <f aca="false">IF(C46=0,"",D46+1)</f>
        <v>#VALUE!</v>
      </c>
      <c r="P46" s="44" t="e">
        <f aca="false">IF(C46=0,"",N46*C46)</f>
        <v>#VALUE!</v>
      </c>
      <c r="Q46" s="58" t="e">
        <f aca="false">IF(C46=0,"",O46*C46)</f>
        <v>#VALUE!</v>
      </c>
      <c r="R46" s="44"/>
      <c r="S46" s="59" t="e">
        <f aca="false">IF(C46=0,"",L46)</f>
        <v>#VALUE!</v>
      </c>
      <c r="T46" s="60" t="e">
        <f aca="false">IF(C46=0,"",M46)</f>
        <v>#VALUE!</v>
      </c>
    </row>
    <row r="47" customFormat="false" ht="12.75" hidden="false" customHeight="false" outlineLevel="0" collapsed="false">
      <c r="A47" s="47" t="n">
        <f aca="false">$C$2</f>
        <v>37017</v>
      </c>
      <c r="B47" s="12" t="n">
        <v>7</v>
      </c>
      <c r="C47" s="48" t="str">
        <f aca="false">INDEX(RtMw,C68+6,0)</f>
        <v/>
      </c>
      <c r="D47" s="49" t="str">
        <f aca="false">INDEX(RTPrice,C68+6,0)</f>
        <v/>
      </c>
      <c r="E47" s="50" t="n">
        <f aca="false">VLOOKUP(A47,Gas,4,FALSE())</f>
        <v>4.64</v>
      </c>
      <c r="F47" s="50" t="n">
        <f aca="false">VLOOKUP(A47,Gas,5,FALSE())</f>
        <v>4.64</v>
      </c>
      <c r="G47" s="51" t="n">
        <f aca="false">VLOOKUP(A47,Bogey,2,FALSE())</f>
        <v>59.66</v>
      </c>
      <c r="H47" s="52" t="e">
        <f aca="false">IF(C47&gt;0,G47-D47,"")</f>
        <v>#VALUE!</v>
      </c>
      <c r="I47" s="53" t="e">
        <f aca="false">IF(C47&gt;0,H47*ABS(C47),"")</f>
        <v>#VALUE!</v>
      </c>
      <c r="J47" s="54" t="e">
        <f aca="false">IF($C47=0,"",$H47*0.4)</f>
        <v>#VALUE!</v>
      </c>
      <c r="K47" s="49" t="e">
        <f aca="false">IF($C47=0,"",$H47*0.6)</f>
        <v>#VALUE!</v>
      </c>
      <c r="L47" s="49" t="e">
        <f aca="false">IF(C47=0,"",J47*$C47)</f>
        <v>#VALUE!</v>
      </c>
      <c r="M47" s="55" t="e">
        <f aca="false">IF(C47=0,"",C47*K47)</f>
        <v>#VALUE!</v>
      </c>
      <c r="N47" s="56" t="str">
        <f aca="false">IF(C47=0,"",D47)</f>
        <v/>
      </c>
      <c r="O47" s="57" t="e">
        <f aca="false">IF(C47=0,"",D47+J47)</f>
        <v>#VALUE!</v>
      </c>
      <c r="P47" s="44" t="e">
        <f aca="false">IF(C47=0,"",N47*C47)</f>
        <v>#VALUE!</v>
      </c>
      <c r="Q47" s="58" t="e">
        <f aca="false">IF(C47=0,"",O47*C47)</f>
        <v>#VALUE!</v>
      </c>
      <c r="R47" s="44"/>
      <c r="S47" s="59" t="e">
        <f aca="false">IF(C47=0,"",L47)</f>
        <v>#VALUE!</v>
      </c>
      <c r="T47" s="60" t="e">
        <f aca="false">IF(C47=0,"",M47)</f>
        <v>#VALUE!</v>
      </c>
    </row>
    <row r="48" customFormat="false" ht="12.75" hidden="false" customHeight="false" outlineLevel="0" collapsed="false">
      <c r="A48" s="47" t="n">
        <f aca="false">$C$2</f>
        <v>37017</v>
      </c>
      <c r="B48" s="12" t="n">
        <v>8</v>
      </c>
      <c r="C48" s="48" t="str">
        <f aca="false">INDEX(RtMw,C68+7,0)</f>
        <v/>
      </c>
      <c r="D48" s="49" t="str">
        <f aca="false">INDEX(RTPrice,C68+7,0)</f>
        <v/>
      </c>
      <c r="E48" s="50" t="n">
        <f aca="false">VLOOKUP(A48,Gas,4,FALSE())</f>
        <v>4.64</v>
      </c>
      <c r="F48" s="50" t="n">
        <f aca="false">VLOOKUP(A48,Gas,5,FALSE())</f>
        <v>4.64</v>
      </c>
      <c r="G48" s="51" t="n">
        <f aca="false">VLOOKUP(A48,Bogey,2,FALSE())</f>
        <v>59.66</v>
      </c>
      <c r="H48" s="52" t="e">
        <f aca="false">IF(C48&gt;0,G48-D48,"")</f>
        <v>#VALUE!</v>
      </c>
      <c r="I48" s="53" t="e">
        <f aca="false">IF(C48&gt;0,H48*ABS(C48),"")</f>
        <v>#VALUE!</v>
      </c>
      <c r="J48" s="54" t="e">
        <f aca="false">IF($C48=0,"",$H48*0.4)</f>
        <v>#VALUE!</v>
      </c>
      <c r="K48" s="49" t="e">
        <f aca="false">IF($C48=0,"",$H48*0.6)</f>
        <v>#VALUE!</v>
      </c>
      <c r="L48" s="49" t="e">
        <f aca="false">IF(C48=0,"",J48*$C48)</f>
        <v>#VALUE!</v>
      </c>
      <c r="M48" s="55" t="e">
        <f aca="false">IF(C48=0,"",C48*K48)</f>
        <v>#VALUE!</v>
      </c>
      <c r="N48" s="56" t="str">
        <f aca="false">IF(C48=0,"",D48)</f>
        <v/>
      </c>
      <c r="O48" s="57" t="e">
        <f aca="false">IF(C48=0,"",D48+J48)</f>
        <v>#VALUE!</v>
      </c>
      <c r="P48" s="44" t="e">
        <f aca="false">IF(C48=0,"",N48*C48)</f>
        <v>#VALUE!</v>
      </c>
      <c r="Q48" s="58" t="e">
        <f aca="false">IF(C48=0,"",O48*C48)</f>
        <v>#VALUE!</v>
      </c>
      <c r="R48" s="44"/>
      <c r="S48" s="59" t="e">
        <f aca="false">IF(C48=0,"",L48)</f>
        <v>#VALUE!</v>
      </c>
      <c r="T48" s="60" t="e">
        <f aca="false">IF(C48=0,"",M48)</f>
        <v>#VALUE!</v>
      </c>
    </row>
    <row r="49" customFormat="false" ht="12.75" hidden="false" customHeight="false" outlineLevel="0" collapsed="false">
      <c r="A49" s="47" t="n">
        <f aca="false">$C$2</f>
        <v>37017</v>
      </c>
      <c r="B49" s="12" t="n">
        <v>9</v>
      </c>
      <c r="C49" s="48" t="str">
        <f aca="false">INDEX(RtMw,C68+8,0)</f>
        <v/>
      </c>
      <c r="D49" s="49" t="str">
        <f aca="false">INDEX(RTPrice,C68+8,0)</f>
        <v/>
      </c>
      <c r="E49" s="50" t="n">
        <f aca="false">VLOOKUP(A49,Gas,4,FALSE())</f>
        <v>4.64</v>
      </c>
      <c r="F49" s="50" t="n">
        <f aca="false">VLOOKUP(A49,Gas,5,FALSE())</f>
        <v>4.64</v>
      </c>
      <c r="G49" s="51" t="n">
        <f aca="false">VLOOKUP(A49,Bogey,2,FALSE())</f>
        <v>59.66</v>
      </c>
      <c r="H49" s="52" t="e">
        <f aca="false">IF(C49&gt;0,G49-D49,"")</f>
        <v>#VALUE!</v>
      </c>
      <c r="I49" s="53" t="e">
        <f aca="false">IF(C49&gt;0,H49*ABS(C49),"")</f>
        <v>#VALUE!</v>
      </c>
      <c r="J49" s="54" t="e">
        <f aca="false">IF($C49=0,"",$H49*0.4)</f>
        <v>#VALUE!</v>
      </c>
      <c r="K49" s="49" t="e">
        <f aca="false">IF($C49=0,"",$H49*0.6)</f>
        <v>#VALUE!</v>
      </c>
      <c r="L49" s="49" t="e">
        <f aca="false">IF(C49=0,"",J49*$C49)</f>
        <v>#VALUE!</v>
      </c>
      <c r="M49" s="55" t="e">
        <f aca="false">IF(C49=0,"",C49*K49)</f>
        <v>#VALUE!</v>
      </c>
      <c r="N49" s="56" t="str">
        <f aca="false">IF(C49=0,"",D49)</f>
        <v/>
      </c>
      <c r="O49" s="57" t="e">
        <f aca="false">IF(C49=0,"",D49+J49)</f>
        <v>#VALUE!</v>
      </c>
      <c r="P49" s="44" t="e">
        <f aca="false">IF(C49=0,"",N49*C49)</f>
        <v>#VALUE!</v>
      </c>
      <c r="Q49" s="58" t="e">
        <f aca="false">IF(C49=0,"",O49*C49)</f>
        <v>#VALUE!</v>
      </c>
      <c r="R49" s="44"/>
      <c r="S49" s="59" t="e">
        <f aca="false">IF(C49=0,"",L49)</f>
        <v>#VALUE!</v>
      </c>
      <c r="T49" s="60" t="e">
        <f aca="false">IF(C49=0,"",M49)</f>
        <v>#VALUE!</v>
      </c>
    </row>
    <row r="50" customFormat="false" ht="12.75" hidden="false" customHeight="false" outlineLevel="0" collapsed="false">
      <c r="A50" s="47" t="n">
        <f aca="false">$C$2</f>
        <v>37017</v>
      </c>
      <c r="B50" s="12" t="n">
        <v>10</v>
      </c>
      <c r="C50" s="48" t="str">
        <f aca="false">INDEX(RtMw,C68+9,0)</f>
        <v/>
      </c>
      <c r="D50" s="49" t="str">
        <f aca="false">INDEX(RTPrice,C68+9,0)</f>
        <v/>
      </c>
      <c r="E50" s="50" t="n">
        <f aca="false">VLOOKUP(A50,Gas,4,FALSE())</f>
        <v>4.64</v>
      </c>
      <c r="F50" s="50" t="n">
        <f aca="false">VLOOKUP(A50,Gas,5,FALSE())</f>
        <v>4.64</v>
      </c>
      <c r="G50" s="51" t="n">
        <f aca="false">VLOOKUP(A50,Bogey,2,FALSE())</f>
        <v>59.66</v>
      </c>
      <c r="H50" s="52" t="e">
        <f aca="false">IF(C50&gt;0,G50-D50,"")</f>
        <v>#VALUE!</v>
      </c>
      <c r="I50" s="53" t="e">
        <f aca="false">IF(C50&gt;0,H50*ABS(C50),"")</f>
        <v>#VALUE!</v>
      </c>
      <c r="J50" s="54" t="e">
        <f aca="false">IF($C50=0,"",$H50*0.4)</f>
        <v>#VALUE!</v>
      </c>
      <c r="K50" s="49" t="e">
        <f aca="false">IF($C50=0,"",$H50*0.6)</f>
        <v>#VALUE!</v>
      </c>
      <c r="L50" s="49" t="e">
        <f aca="false">IF(C50=0,"",J50*$C50)</f>
        <v>#VALUE!</v>
      </c>
      <c r="M50" s="55" t="e">
        <f aca="false">IF(C50=0,"",C50*K50)</f>
        <v>#VALUE!</v>
      </c>
      <c r="N50" s="56" t="str">
        <f aca="false">IF(C50=0,"",D50)</f>
        <v/>
      </c>
      <c r="O50" s="57" t="e">
        <f aca="false">IF(C50=0,"",D50+J50)</f>
        <v>#VALUE!</v>
      </c>
      <c r="P50" s="44" t="e">
        <f aca="false">IF(C50=0,"",N50*C50)</f>
        <v>#VALUE!</v>
      </c>
      <c r="Q50" s="58" t="e">
        <f aca="false">IF(C50=0,"",O50*C50)</f>
        <v>#VALUE!</v>
      </c>
      <c r="R50" s="44"/>
      <c r="S50" s="59" t="e">
        <f aca="false">IF(C50=0,"",L50)</f>
        <v>#VALUE!</v>
      </c>
      <c r="T50" s="60" t="e">
        <f aca="false">IF(C50=0,"",M50)</f>
        <v>#VALUE!</v>
      </c>
    </row>
    <row r="51" customFormat="false" ht="12.75" hidden="false" customHeight="false" outlineLevel="0" collapsed="false">
      <c r="A51" s="47" t="n">
        <f aca="false">$C$2</f>
        <v>37017</v>
      </c>
      <c r="B51" s="12" t="n">
        <v>11</v>
      </c>
      <c r="C51" s="48" t="str">
        <f aca="false">INDEX(RtMw,C68+10,0)</f>
        <v/>
      </c>
      <c r="D51" s="49" t="str">
        <f aca="false">INDEX(RTPrice,C68+10,0)</f>
        <v/>
      </c>
      <c r="E51" s="50" t="n">
        <f aca="false">VLOOKUP(A51,Gas,4,FALSE())</f>
        <v>4.64</v>
      </c>
      <c r="F51" s="50" t="n">
        <f aca="false">VLOOKUP(A51,Gas,5,FALSE())</f>
        <v>4.64</v>
      </c>
      <c r="G51" s="51" t="n">
        <f aca="false">VLOOKUP(A51,Bogey,2,FALSE())</f>
        <v>59.66</v>
      </c>
      <c r="H51" s="52" t="e">
        <f aca="false">IF(C51&gt;0,G51-D51,"")</f>
        <v>#VALUE!</v>
      </c>
      <c r="I51" s="53" t="e">
        <f aca="false">IF(C51&gt;0,H51*ABS(C51),"")</f>
        <v>#VALUE!</v>
      </c>
      <c r="J51" s="54" t="e">
        <f aca="false">IF($C51=0,"",$H51*0.4)</f>
        <v>#VALUE!</v>
      </c>
      <c r="K51" s="49" t="e">
        <f aca="false">IF($C51=0,"",$H51*0.6)</f>
        <v>#VALUE!</v>
      </c>
      <c r="L51" s="49" t="e">
        <f aca="false">IF(C51=0,"",J51*$C51)</f>
        <v>#VALUE!</v>
      </c>
      <c r="M51" s="55" t="e">
        <f aca="false">IF(C51=0,"",C51*K51)</f>
        <v>#VALUE!</v>
      </c>
      <c r="N51" s="56" t="str">
        <f aca="false">IF(C51=0,"",D51)</f>
        <v/>
      </c>
      <c r="O51" s="57" t="e">
        <f aca="false">IF(C51=0,"",D51+J51)</f>
        <v>#VALUE!</v>
      </c>
      <c r="P51" s="44" t="e">
        <f aca="false">IF(C51=0,"",N51*C51)</f>
        <v>#VALUE!</v>
      </c>
      <c r="Q51" s="58" t="e">
        <f aca="false">IF(C51=0,"",O51*C51)</f>
        <v>#VALUE!</v>
      </c>
      <c r="R51" s="44"/>
      <c r="S51" s="59" t="e">
        <f aca="false">IF(C51=0,"",L51)</f>
        <v>#VALUE!</v>
      </c>
      <c r="T51" s="60" t="e">
        <f aca="false">IF(C51=0,"",M51)</f>
        <v>#VALUE!</v>
      </c>
    </row>
    <row r="52" customFormat="false" ht="12.75" hidden="false" customHeight="false" outlineLevel="0" collapsed="false">
      <c r="A52" s="47" t="n">
        <f aca="false">$C$2</f>
        <v>37017</v>
      </c>
      <c r="B52" s="12" t="n">
        <v>12</v>
      </c>
      <c r="C52" s="48" t="str">
        <f aca="false">INDEX(RtMw,C68+11,0)</f>
        <v/>
      </c>
      <c r="D52" s="49" t="str">
        <f aca="false">INDEX(RTPrice,C68+11,0)</f>
        <v/>
      </c>
      <c r="E52" s="50" t="n">
        <f aca="false">VLOOKUP(A52,Gas,4,FALSE())</f>
        <v>4.64</v>
      </c>
      <c r="F52" s="50" t="n">
        <f aca="false">VLOOKUP(A52,Gas,5,FALSE())</f>
        <v>4.64</v>
      </c>
      <c r="G52" s="51" t="n">
        <f aca="false">VLOOKUP(A52,Bogey,2,FALSE())</f>
        <v>59.66</v>
      </c>
      <c r="H52" s="52" t="e">
        <f aca="false">IF(C52&gt;0,G52-D52,"")</f>
        <v>#VALUE!</v>
      </c>
      <c r="I52" s="53" t="e">
        <f aca="false">IF(C52&gt;0,H52*ABS(C52),"")</f>
        <v>#VALUE!</v>
      </c>
      <c r="J52" s="54" t="e">
        <f aca="false">IF($C52=0,"",$H52*0.4)</f>
        <v>#VALUE!</v>
      </c>
      <c r="K52" s="49" t="e">
        <f aca="false">IF($C52=0,"",$H52*0.6)</f>
        <v>#VALUE!</v>
      </c>
      <c r="L52" s="49" t="e">
        <f aca="false">IF(C52=0,"",J52*$C52)</f>
        <v>#VALUE!</v>
      </c>
      <c r="M52" s="55" t="e">
        <f aca="false">IF(C52=0,"",C52*K52)</f>
        <v>#VALUE!</v>
      </c>
      <c r="N52" s="56" t="str">
        <f aca="false">IF(C52=0,"",D52)</f>
        <v/>
      </c>
      <c r="O52" s="57" t="e">
        <f aca="false">IF(C52=0,"",D52+J52)</f>
        <v>#VALUE!</v>
      </c>
      <c r="P52" s="44" t="e">
        <f aca="false">IF(C52=0,"",N52*C52)</f>
        <v>#VALUE!</v>
      </c>
      <c r="Q52" s="58" t="e">
        <f aca="false">IF(C52=0,"",O52*C52)</f>
        <v>#VALUE!</v>
      </c>
      <c r="R52" s="44"/>
      <c r="S52" s="59" t="e">
        <f aca="false">IF(C52=0,"",L52)</f>
        <v>#VALUE!</v>
      </c>
      <c r="T52" s="60" t="e">
        <f aca="false">IF(C52=0,"",M52)</f>
        <v>#VALUE!</v>
      </c>
    </row>
    <row r="53" customFormat="false" ht="12.75" hidden="false" customHeight="false" outlineLevel="0" collapsed="false">
      <c r="A53" s="47" t="n">
        <f aca="false">$C$2</f>
        <v>37017</v>
      </c>
      <c r="B53" s="12" t="n">
        <v>13</v>
      </c>
      <c r="C53" s="48" t="str">
        <f aca="false">INDEX(RtMw,C68+12,0)</f>
        <v/>
      </c>
      <c r="D53" s="49" t="str">
        <f aca="false">INDEX(RTPrice,C68+12,0)</f>
        <v/>
      </c>
      <c r="E53" s="50" t="n">
        <f aca="false">VLOOKUP(A53,Gas,4,FALSE())</f>
        <v>4.64</v>
      </c>
      <c r="F53" s="50" t="n">
        <f aca="false">VLOOKUP(A53,Gas,5,FALSE())</f>
        <v>4.64</v>
      </c>
      <c r="G53" s="51" t="n">
        <f aca="false">VLOOKUP(A53,Bogey,2,FALSE())</f>
        <v>59.66</v>
      </c>
      <c r="H53" s="52" t="e">
        <f aca="false">IF(C53&gt;0,G53-D53,"")</f>
        <v>#VALUE!</v>
      </c>
      <c r="I53" s="53" t="e">
        <f aca="false">IF(C53&gt;0,H53*ABS(C53),"")</f>
        <v>#VALUE!</v>
      </c>
      <c r="J53" s="54" t="e">
        <f aca="false">IF($C53=0,"",$H53*0.4)</f>
        <v>#VALUE!</v>
      </c>
      <c r="K53" s="49" t="e">
        <f aca="false">IF($C53=0,"",$H53*0.6)</f>
        <v>#VALUE!</v>
      </c>
      <c r="L53" s="49" t="e">
        <f aca="false">IF(C53=0,"",J53*$C53)</f>
        <v>#VALUE!</v>
      </c>
      <c r="M53" s="55" t="e">
        <f aca="false">IF(C53=0,"",C53*K53)</f>
        <v>#VALUE!</v>
      </c>
      <c r="N53" s="56" t="str">
        <f aca="false">IF(C53=0,"",D53)</f>
        <v/>
      </c>
      <c r="O53" s="57" t="e">
        <f aca="false">IF(C53=0,"",D53+J53)</f>
        <v>#VALUE!</v>
      </c>
      <c r="P53" s="44" t="e">
        <f aca="false">IF(C53=0,"",N53*C53)</f>
        <v>#VALUE!</v>
      </c>
      <c r="Q53" s="58" t="e">
        <f aca="false">IF(C53=0,"",O53*C53)</f>
        <v>#VALUE!</v>
      </c>
      <c r="R53" s="44"/>
      <c r="S53" s="59" t="e">
        <f aca="false">IF(C53=0,"",L53)</f>
        <v>#VALUE!</v>
      </c>
      <c r="T53" s="60" t="e">
        <f aca="false">IF(C53=0,"",M53)</f>
        <v>#VALUE!</v>
      </c>
    </row>
    <row r="54" customFormat="false" ht="12.75" hidden="false" customHeight="false" outlineLevel="0" collapsed="false">
      <c r="A54" s="47" t="n">
        <f aca="false">$C$2</f>
        <v>37017</v>
      </c>
      <c r="B54" s="12" t="n">
        <v>14</v>
      </c>
      <c r="C54" s="48" t="str">
        <f aca="false">INDEX(RtMw,C68+13,0)</f>
        <v/>
      </c>
      <c r="D54" s="49" t="str">
        <f aca="false">INDEX(RTPrice,C68+13,0)</f>
        <v/>
      </c>
      <c r="E54" s="50" t="n">
        <f aca="false">VLOOKUP(A54,Gas,4,FALSE())</f>
        <v>4.64</v>
      </c>
      <c r="F54" s="50" t="n">
        <f aca="false">VLOOKUP(A54,Gas,5,FALSE())</f>
        <v>4.64</v>
      </c>
      <c r="G54" s="51" t="n">
        <f aca="false">VLOOKUP(A54,Bogey,2,FALSE())</f>
        <v>59.66</v>
      </c>
      <c r="H54" s="52" t="e">
        <f aca="false">IF(C54&gt;0,G54-D54,"")</f>
        <v>#VALUE!</v>
      </c>
      <c r="I54" s="53" t="e">
        <f aca="false">IF(C54&gt;0,H54*ABS(C54),"")</f>
        <v>#VALUE!</v>
      </c>
      <c r="J54" s="54" t="e">
        <f aca="false">IF($C54=0,"",$H54*0.4)</f>
        <v>#VALUE!</v>
      </c>
      <c r="K54" s="49" t="e">
        <f aca="false">IF($C54=0,"",$H54*0.6)</f>
        <v>#VALUE!</v>
      </c>
      <c r="L54" s="49" t="e">
        <f aca="false">IF(C54=0,"",J54*$C54)</f>
        <v>#VALUE!</v>
      </c>
      <c r="M54" s="55" t="e">
        <f aca="false">IF(C54=0,"",C54*K54)</f>
        <v>#VALUE!</v>
      </c>
      <c r="N54" s="56" t="str">
        <f aca="false">IF(C54=0,"",D54)</f>
        <v/>
      </c>
      <c r="O54" s="57" t="e">
        <f aca="false">IF(C54=0,"",D54+J54)</f>
        <v>#VALUE!</v>
      </c>
      <c r="P54" s="44" t="e">
        <f aca="false">IF(C54=0,"",N54*C54)</f>
        <v>#VALUE!</v>
      </c>
      <c r="Q54" s="58" t="e">
        <f aca="false">IF(C54=0,"",O54*C54)</f>
        <v>#VALUE!</v>
      </c>
      <c r="R54" s="44"/>
      <c r="S54" s="59" t="e">
        <f aca="false">IF(C54=0,"",L54)</f>
        <v>#VALUE!</v>
      </c>
      <c r="T54" s="60" t="e">
        <f aca="false">IF(C54=0,"",M54)</f>
        <v>#VALUE!</v>
      </c>
    </row>
    <row r="55" customFormat="false" ht="12.75" hidden="false" customHeight="false" outlineLevel="0" collapsed="false">
      <c r="A55" s="47" t="n">
        <f aca="false">$C$2</f>
        <v>37017</v>
      </c>
      <c r="B55" s="12" t="n">
        <v>15</v>
      </c>
      <c r="C55" s="48" t="str">
        <f aca="false">INDEX(RtMw,C68+14,0)</f>
        <v/>
      </c>
      <c r="D55" s="49" t="str">
        <f aca="false">INDEX(RTPrice,C68+14,0)</f>
        <v/>
      </c>
      <c r="E55" s="50" t="n">
        <f aca="false">VLOOKUP(A55,Gas,4,FALSE())</f>
        <v>4.64</v>
      </c>
      <c r="F55" s="50" t="n">
        <f aca="false">VLOOKUP(A55,Gas,5,FALSE())</f>
        <v>4.64</v>
      </c>
      <c r="G55" s="51" t="n">
        <f aca="false">VLOOKUP(A55,Bogey,2,FALSE())</f>
        <v>59.66</v>
      </c>
      <c r="H55" s="52" t="e">
        <f aca="false">IF(C55&gt;0,G55-D55,"")</f>
        <v>#VALUE!</v>
      </c>
      <c r="I55" s="53" t="e">
        <f aca="false">IF(C55&gt;0,H55*ABS(C55),"")</f>
        <v>#VALUE!</v>
      </c>
      <c r="J55" s="54" t="e">
        <f aca="false">IF($C55=0,"",$H55*0.4)</f>
        <v>#VALUE!</v>
      </c>
      <c r="K55" s="49" t="e">
        <f aca="false">IF($C55=0,"",$H55*0.6)</f>
        <v>#VALUE!</v>
      </c>
      <c r="L55" s="49" t="e">
        <f aca="false">IF(C55=0,"",J55*$C55)</f>
        <v>#VALUE!</v>
      </c>
      <c r="M55" s="55" t="e">
        <f aca="false">IF(C55=0,"",C55*K55)</f>
        <v>#VALUE!</v>
      </c>
      <c r="N55" s="56" t="str">
        <f aca="false">IF(C55=0,"",D55)</f>
        <v/>
      </c>
      <c r="O55" s="57"/>
      <c r="P55" s="44" t="e">
        <f aca="false">IF(C55=0,"",N55*C55)</f>
        <v>#VALUE!</v>
      </c>
      <c r="Q55" s="58" t="e">
        <f aca="false">IF(C55=0,"",O55*C55)</f>
        <v>#VALUE!</v>
      </c>
      <c r="R55" s="44"/>
      <c r="S55" s="59" t="e">
        <f aca="false">IF(C55=0,"",L55)</f>
        <v>#VALUE!</v>
      </c>
      <c r="T55" s="60" t="e">
        <f aca="false">IF(C55=0,"",M55)</f>
        <v>#VALUE!</v>
      </c>
    </row>
    <row r="56" customFormat="false" ht="12.75" hidden="false" customHeight="false" outlineLevel="0" collapsed="false">
      <c r="A56" s="47" t="n">
        <f aca="false">$C$2</f>
        <v>37017</v>
      </c>
      <c r="B56" s="12" t="n">
        <v>16</v>
      </c>
      <c r="C56" s="48" t="str">
        <f aca="false">INDEX(RtMw,C68+15,0)</f>
        <v/>
      </c>
      <c r="D56" s="49" t="str">
        <f aca="false">INDEX(RTPrice,C68+15,0)</f>
        <v/>
      </c>
      <c r="E56" s="50" t="n">
        <f aca="false">VLOOKUP(A56,Gas,4,FALSE())</f>
        <v>4.64</v>
      </c>
      <c r="F56" s="50" t="n">
        <f aca="false">VLOOKUP(A56,Gas,5,FALSE())</f>
        <v>4.64</v>
      </c>
      <c r="G56" s="51" t="n">
        <f aca="false">VLOOKUP(A56,Bogey,2,FALSE())</f>
        <v>59.66</v>
      </c>
      <c r="H56" s="52" t="e">
        <f aca="false">IF(C56&gt;0,G56-D56,"")</f>
        <v>#VALUE!</v>
      </c>
      <c r="I56" s="53" t="e">
        <f aca="false">IF(C56&gt;0,H56*ABS(C56),"")</f>
        <v>#VALUE!</v>
      </c>
      <c r="J56" s="54" t="e">
        <f aca="false">IF($C56=0,"",$H56*0.4)</f>
        <v>#VALUE!</v>
      </c>
      <c r="K56" s="49" t="e">
        <f aca="false">IF($C56=0,"",$H56*0.6)</f>
        <v>#VALUE!</v>
      </c>
      <c r="L56" s="49" t="e">
        <f aca="false">IF(C56=0,"",J56*$C56)</f>
        <v>#VALUE!</v>
      </c>
      <c r="M56" s="55" t="e">
        <f aca="false">IF(C56=0,"",C56*K56)</f>
        <v>#VALUE!</v>
      </c>
      <c r="N56" s="56" t="str">
        <f aca="false">IF(C56=0,"",D56)</f>
        <v/>
      </c>
      <c r="O56" s="57"/>
      <c r="P56" s="44" t="e">
        <f aca="false">IF(C56=0,"",N56*C56)</f>
        <v>#VALUE!</v>
      </c>
      <c r="Q56" s="58" t="e">
        <f aca="false">IF(C56=0,"",O56*C56)</f>
        <v>#VALUE!</v>
      </c>
      <c r="R56" s="44"/>
      <c r="S56" s="59" t="e">
        <f aca="false">IF(C56=0,"",L56)</f>
        <v>#VALUE!</v>
      </c>
      <c r="T56" s="60" t="e">
        <f aca="false">IF(C56=0,"",M56)</f>
        <v>#VALUE!</v>
      </c>
    </row>
    <row r="57" customFormat="false" ht="12.75" hidden="false" customHeight="false" outlineLevel="0" collapsed="false">
      <c r="A57" s="47" t="n">
        <f aca="false">$C$2</f>
        <v>37017</v>
      </c>
      <c r="B57" s="12" t="n">
        <v>17</v>
      </c>
      <c r="C57" s="48" t="n">
        <f aca="false">INDEX(RtMw,C68+16,0)</f>
        <v>5</v>
      </c>
      <c r="D57" s="49" t="n">
        <f aca="false">INDEX(RTPrice,C68+16,0)</f>
        <v>35</v>
      </c>
      <c r="E57" s="50" t="n">
        <f aca="false">VLOOKUP(A57,Gas,4,FALSE())</f>
        <v>4.64</v>
      </c>
      <c r="F57" s="50" t="n">
        <f aca="false">VLOOKUP(A57,Gas,5,FALSE())</f>
        <v>4.64</v>
      </c>
      <c r="G57" s="51" t="n">
        <f aca="false">VLOOKUP(A57,Bogey,2,FALSE())</f>
        <v>59.66</v>
      </c>
      <c r="H57" s="52" t="n">
        <f aca="false">IF(C57&gt;0,G57-D57,"")</f>
        <v>24.66</v>
      </c>
      <c r="I57" s="53" t="n">
        <f aca="false">IF(C57&gt;0,H57*ABS(C57),"")</f>
        <v>123.3</v>
      </c>
      <c r="J57" s="54" t="n">
        <f aca="false">IF($C57=0,"",$H57*0.4)</f>
        <v>9.864</v>
      </c>
      <c r="K57" s="49" t="n">
        <f aca="false">IF($C57=0,"",$H57*0.6)</f>
        <v>14.796</v>
      </c>
      <c r="L57" s="49" t="n">
        <f aca="false">IF(C57=0,"",J57*$C57)</f>
        <v>49.32</v>
      </c>
      <c r="M57" s="55" t="n">
        <f aca="false">IF(C57=0,"",C57*K57)</f>
        <v>73.98</v>
      </c>
      <c r="N57" s="56" t="n">
        <f aca="false">IF(C57=0,"",D57)</f>
        <v>35</v>
      </c>
      <c r="O57" s="57"/>
      <c r="P57" s="44" t="n">
        <f aca="false">IF(C57=0,"",N57*C57)</f>
        <v>175</v>
      </c>
      <c r="Q57" s="58" t="n">
        <f aca="false">IF(C57=0,"",O57*C57)</f>
        <v>0</v>
      </c>
      <c r="R57" s="44"/>
      <c r="S57" s="59" t="n">
        <f aca="false">IF(C57=0,"",L57)</f>
        <v>49.32</v>
      </c>
      <c r="T57" s="60" t="n">
        <f aca="false">IF(C57=0,"",M57)</f>
        <v>73.98</v>
      </c>
    </row>
    <row r="58" customFormat="false" ht="12.75" hidden="false" customHeight="false" outlineLevel="0" collapsed="false">
      <c r="A58" s="47" t="n">
        <f aca="false">$C$2</f>
        <v>37017</v>
      </c>
      <c r="B58" s="12" t="n">
        <v>18</v>
      </c>
      <c r="C58" s="48" t="n">
        <f aca="false">INDEX(RtMw,C68+17,0)</f>
        <v>5</v>
      </c>
      <c r="D58" s="49" t="n">
        <f aca="false">INDEX(RTPrice,C68+17,0)</f>
        <v>35</v>
      </c>
      <c r="E58" s="50" t="n">
        <f aca="false">VLOOKUP(A58,Gas,4,FALSE())</f>
        <v>4.64</v>
      </c>
      <c r="F58" s="50" t="n">
        <f aca="false">VLOOKUP(A58,Gas,5,FALSE())</f>
        <v>4.64</v>
      </c>
      <c r="G58" s="51" t="n">
        <f aca="false">VLOOKUP(A58,Bogey,2,FALSE())</f>
        <v>59.66</v>
      </c>
      <c r="H58" s="52" t="n">
        <f aca="false">IF(C58&gt;0,G58-D58,"")</f>
        <v>24.66</v>
      </c>
      <c r="I58" s="53" t="n">
        <f aca="false">IF(C58&gt;0,H58*ABS(C58),"")</f>
        <v>123.3</v>
      </c>
      <c r="J58" s="54" t="n">
        <f aca="false">IF($C58=0,"",$H58*0.4)</f>
        <v>9.864</v>
      </c>
      <c r="K58" s="49" t="n">
        <f aca="false">IF($C58=0,"",$H58*0.6)</f>
        <v>14.796</v>
      </c>
      <c r="L58" s="49" t="n">
        <f aca="false">IF(C58=0,"",J58*$C58)</f>
        <v>49.32</v>
      </c>
      <c r="M58" s="55" t="n">
        <f aca="false">IF(C58=0,"",C58*K58)</f>
        <v>73.98</v>
      </c>
      <c r="N58" s="56" t="n">
        <f aca="false">IF(C58=0,"",D58)</f>
        <v>35</v>
      </c>
      <c r="O58" s="57"/>
      <c r="P58" s="44" t="n">
        <f aca="false">IF(C58=0,"",N58*C58)</f>
        <v>175</v>
      </c>
      <c r="Q58" s="58" t="n">
        <f aca="false">IF(C58=0,"",O58*C58)</f>
        <v>0</v>
      </c>
      <c r="R58" s="44"/>
      <c r="S58" s="59" t="n">
        <f aca="false">IF(C58=0,"",L58)</f>
        <v>49.32</v>
      </c>
      <c r="T58" s="60" t="n">
        <f aca="false">IF(C58=0,"",M58)</f>
        <v>73.98</v>
      </c>
    </row>
    <row r="59" customFormat="false" ht="12.75" hidden="false" customHeight="false" outlineLevel="0" collapsed="false">
      <c r="A59" s="47" t="n">
        <f aca="false">$C$2</f>
        <v>37017</v>
      </c>
      <c r="B59" s="12" t="n">
        <v>19</v>
      </c>
      <c r="C59" s="48" t="n">
        <f aca="false">INDEX(RtMw,C68+18,0)</f>
        <v>5</v>
      </c>
      <c r="D59" s="49" t="n">
        <f aca="false">INDEX(RTPrice,C68+18,0)</f>
        <v>40</v>
      </c>
      <c r="E59" s="50" t="n">
        <f aca="false">VLOOKUP(A59,Gas,4,FALSE())</f>
        <v>4.64</v>
      </c>
      <c r="F59" s="50" t="n">
        <f aca="false">VLOOKUP(A59,Gas,5,FALSE())</f>
        <v>4.64</v>
      </c>
      <c r="G59" s="51" t="n">
        <f aca="false">VLOOKUP(A59,Bogey,2,FALSE())</f>
        <v>59.66</v>
      </c>
      <c r="H59" s="52" t="n">
        <f aca="false">IF(C59&gt;0,G59-D59,"")</f>
        <v>19.66</v>
      </c>
      <c r="I59" s="53" t="n">
        <f aca="false">IF(C59&gt;0,H59*ABS(C59),"")</f>
        <v>98.3</v>
      </c>
      <c r="J59" s="54" t="n">
        <f aca="false">IF($C59=0,"",$H59*0.4)</f>
        <v>7.864</v>
      </c>
      <c r="K59" s="49" t="n">
        <f aca="false">IF($C59=0,"",$H59*0.6)</f>
        <v>11.796</v>
      </c>
      <c r="L59" s="49" t="n">
        <f aca="false">IF(C59=0,"",J59*$C59)</f>
        <v>39.32</v>
      </c>
      <c r="M59" s="55" t="n">
        <f aca="false">IF(C59=0,"",C59*K59)</f>
        <v>58.98</v>
      </c>
      <c r="N59" s="56" t="n">
        <f aca="false">IF(C59=0,"",D59)</f>
        <v>40</v>
      </c>
      <c r="O59" s="57"/>
      <c r="P59" s="44" t="n">
        <f aca="false">IF(C59=0,"",N59*C59)</f>
        <v>200</v>
      </c>
      <c r="Q59" s="58" t="n">
        <f aca="false">IF(C59=0,"",O59*C59)</f>
        <v>0</v>
      </c>
      <c r="R59" s="44"/>
      <c r="S59" s="59" t="n">
        <f aca="false">IF(C59=0,"",L59)</f>
        <v>39.32</v>
      </c>
      <c r="T59" s="60" t="n">
        <f aca="false">IF(C59=0,"",M59)</f>
        <v>58.98</v>
      </c>
    </row>
    <row r="60" customFormat="false" ht="12.75" hidden="false" customHeight="false" outlineLevel="0" collapsed="false">
      <c r="A60" s="47" t="n">
        <f aca="false">$C$2</f>
        <v>37017</v>
      </c>
      <c r="B60" s="12" t="n">
        <v>20</v>
      </c>
      <c r="C60" s="48" t="n">
        <f aca="false">INDEX(RtMw,C68+19,0)</f>
        <v>8</v>
      </c>
      <c r="D60" s="49" t="n">
        <f aca="false">INDEX(RTPrice,C68+19,0)</f>
        <v>40</v>
      </c>
      <c r="E60" s="50" t="n">
        <f aca="false">VLOOKUP(A60,Gas,4,FALSE())</f>
        <v>4.64</v>
      </c>
      <c r="F60" s="50" t="n">
        <f aca="false">VLOOKUP(A60,Gas,5,FALSE())</f>
        <v>4.64</v>
      </c>
      <c r="G60" s="51" t="n">
        <f aca="false">VLOOKUP(A60,Bogey,2,FALSE())</f>
        <v>59.66</v>
      </c>
      <c r="H60" s="52" t="n">
        <f aca="false">IF(C60&gt;0,G60-D60,"")</f>
        <v>19.66</v>
      </c>
      <c r="I60" s="53" t="n">
        <f aca="false">IF(C60&gt;0,H60*ABS(C60),"")</f>
        <v>157.28</v>
      </c>
      <c r="J60" s="54" t="n">
        <f aca="false">IF($C60=0,"",$H60*0.4)</f>
        <v>7.864</v>
      </c>
      <c r="K60" s="49" t="n">
        <f aca="false">IF($C60=0,"",$H60*0.6)</f>
        <v>11.796</v>
      </c>
      <c r="L60" s="49" t="n">
        <f aca="false">IF(C60=0,"",J60*$C60)</f>
        <v>62.912</v>
      </c>
      <c r="M60" s="55" t="n">
        <f aca="false">IF(C60=0,"",C60*K60)</f>
        <v>94.368</v>
      </c>
      <c r="N60" s="56" t="n">
        <f aca="false">IF(C60=0,"",D60)</f>
        <v>40</v>
      </c>
      <c r="O60" s="57"/>
      <c r="P60" s="44" t="n">
        <f aca="false">IF(C60=0,"",N60*C60)</f>
        <v>320</v>
      </c>
      <c r="Q60" s="58" t="n">
        <f aca="false">IF(C60=0,"",O60*C60)</f>
        <v>0</v>
      </c>
      <c r="R60" s="44"/>
      <c r="S60" s="59" t="n">
        <f aca="false">IF(C60=0,"",L60)</f>
        <v>62.912</v>
      </c>
      <c r="T60" s="60" t="n">
        <f aca="false">IF(C60=0,"",M60)</f>
        <v>94.368</v>
      </c>
    </row>
    <row r="61" customFormat="false" ht="12.75" hidden="false" customHeight="false" outlineLevel="0" collapsed="false">
      <c r="A61" s="47" t="n">
        <f aca="false">$C$2</f>
        <v>37017</v>
      </c>
      <c r="B61" s="12" t="n">
        <v>21</v>
      </c>
      <c r="C61" s="48" t="n">
        <f aca="false">INDEX(RtMw,C68+20,0)</f>
        <v>6</v>
      </c>
      <c r="D61" s="49" t="n">
        <f aca="false">INDEX(RTPrice,C68+20,0)</f>
        <v>51</v>
      </c>
      <c r="E61" s="50" t="n">
        <f aca="false">VLOOKUP(A61,Gas,4,FALSE())</f>
        <v>4.64</v>
      </c>
      <c r="F61" s="50" t="n">
        <f aca="false">VLOOKUP(A61,Gas,5,FALSE())</f>
        <v>4.64</v>
      </c>
      <c r="G61" s="51" t="n">
        <f aca="false">VLOOKUP(A61,Bogey,2,FALSE())</f>
        <v>59.66</v>
      </c>
      <c r="H61" s="52" t="n">
        <f aca="false">IF(C61&gt;0,G61-D61,"")</f>
        <v>8.66</v>
      </c>
      <c r="I61" s="53" t="n">
        <f aca="false">IF(C61&gt;0,H61*ABS(C61),"")</f>
        <v>51.96</v>
      </c>
      <c r="J61" s="54" t="n">
        <f aca="false">IF($C61=0,"",$H61*0.4)</f>
        <v>3.464</v>
      </c>
      <c r="K61" s="49" t="n">
        <f aca="false">IF($C61=0,"",$H61*0.6)</f>
        <v>5.196</v>
      </c>
      <c r="L61" s="49" t="n">
        <f aca="false">IF(C61=0,"",J61*$C61)</f>
        <v>20.784</v>
      </c>
      <c r="M61" s="55" t="n">
        <f aca="false">IF(C61=0,"",C61*K61)</f>
        <v>31.176</v>
      </c>
      <c r="N61" s="56" t="n">
        <f aca="false">IF(C61=0,"",D61)</f>
        <v>51</v>
      </c>
      <c r="O61" s="57"/>
      <c r="P61" s="44" t="n">
        <f aca="false">IF(C61=0,"",N61*C61)</f>
        <v>306</v>
      </c>
      <c r="Q61" s="58" t="n">
        <f aca="false">IF(C61=0,"",O61*C61)</f>
        <v>0</v>
      </c>
      <c r="R61" s="44"/>
      <c r="S61" s="59" t="n">
        <f aca="false">IF(C61=0,"",L61)</f>
        <v>20.784</v>
      </c>
      <c r="T61" s="60" t="n">
        <f aca="false">IF(C61=0,"",M61)</f>
        <v>31.176</v>
      </c>
    </row>
    <row r="62" customFormat="false" ht="12.75" hidden="false" customHeight="false" outlineLevel="0" collapsed="false">
      <c r="A62" s="47" t="n">
        <f aca="false">$C$2</f>
        <v>37017</v>
      </c>
      <c r="B62" s="12" t="n">
        <v>22</v>
      </c>
      <c r="C62" s="48" t="str">
        <f aca="false">INDEX(RtMw,C68+21,0)</f>
        <v/>
      </c>
      <c r="D62" s="49" t="str">
        <f aca="false">INDEX(RTPrice,C68+21,0)</f>
        <v/>
      </c>
      <c r="E62" s="50" t="n">
        <f aca="false">VLOOKUP(A62,Gas,4,FALSE())</f>
        <v>4.64</v>
      </c>
      <c r="F62" s="50" t="n">
        <f aca="false">VLOOKUP(A62,Gas,5,FALSE())</f>
        <v>4.64</v>
      </c>
      <c r="G62" s="51" t="n">
        <f aca="false">VLOOKUP(A62,Bogey,2,FALSE())</f>
        <v>59.66</v>
      </c>
      <c r="H62" s="52" t="e">
        <f aca="false">IF(C62&gt;0,G62-D62,"")</f>
        <v>#VALUE!</v>
      </c>
      <c r="I62" s="53" t="e">
        <f aca="false">IF(C62&gt;0,H62*ABS(C62),"")</f>
        <v>#VALUE!</v>
      </c>
      <c r="J62" s="54" t="e">
        <f aca="false">IF($C62=0,"",$H62*0.4)</f>
        <v>#VALUE!</v>
      </c>
      <c r="K62" s="49" t="e">
        <f aca="false">IF($C62=0,"",$H62*0.6)</f>
        <v>#VALUE!</v>
      </c>
      <c r="L62" s="49" t="e">
        <f aca="false">IF(C62=0,"",J62*$C62)</f>
        <v>#VALUE!</v>
      </c>
      <c r="M62" s="55" t="e">
        <f aca="false">IF(C62=0,"",C62*K62)</f>
        <v>#VALUE!</v>
      </c>
      <c r="N62" s="56" t="str">
        <f aca="false">IF(C62=0,"",D62)</f>
        <v/>
      </c>
      <c r="O62" s="57"/>
      <c r="P62" s="44" t="e">
        <f aca="false">IF(C62=0,"",N62*C62)</f>
        <v>#VALUE!</v>
      </c>
      <c r="Q62" s="58" t="e">
        <f aca="false">IF(C62=0,"",O62*C62)</f>
        <v>#VALUE!</v>
      </c>
      <c r="R62" s="44"/>
      <c r="S62" s="59" t="e">
        <f aca="false">IF(C62=0,"",L62)</f>
        <v>#VALUE!</v>
      </c>
      <c r="T62" s="60" t="e">
        <f aca="false">IF(C62=0,"",M62)</f>
        <v>#VALUE!</v>
      </c>
    </row>
    <row r="63" customFormat="false" ht="12.75" hidden="false" customHeight="false" outlineLevel="0" collapsed="false">
      <c r="A63" s="47" t="n">
        <f aca="false">$C$2</f>
        <v>37017</v>
      </c>
      <c r="B63" s="12" t="n">
        <v>23</v>
      </c>
      <c r="C63" s="48" t="n">
        <f aca="false">INDEX(RtMw,C68+22,0)</f>
        <v>4</v>
      </c>
      <c r="D63" s="49" t="n">
        <f aca="false">INDEX(RTPrice,C68+22,0)</f>
        <v>30</v>
      </c>
      <c r="E63" s="50" t="n">
        <f aca="false">VLOOKUP(A63,Gas,4,FALSE())</f>
        <v>4.64</v>
      </c>
      <c r="F63" s="50" t="n">
        <f aca="false">VLOOKUP(A63,Gas,5,FALSE())</f>
        <v>4.64</v>
      </c>
      <c r="G63" s="51" t="n">
        <f aca="false">VLOOKUP(A63,Bogey,2,FALSE())</f>
        <v>59.66</v>
      </c>
      <c r="H63" s="52" t="n">
        <f aca="false">IF(C63&gt;0,G63-D63,"")</f>
        <v>29.66</v>
      </c>
      <c r="I63" s="53" t="n">
        <f aca="false">IF(C63&gt;0,H63*ABS(C63),"")</f>
        <v>118.64</v>
      </c>
      <c r="J63" s="54" t="n">
        <f aca="false">IF(C63=0,"",1)</f>
        <v>1</v>
      </c>
      <c r="K63" s="44" t="n">
        <f aca="false">IF(C63=0,"",G63-(D63+1))</f>
        <v>28.66</v>
      </c>
      <c r="L63" s="44" t="n">
        <f aca="false">IF(C63=0,"",C63*J63)</f>
        <v>4</v>
      </c>
      <c r="M63" s="55" t="n">
        <f aca="false">IF(C63=0,"",C63*K63)</f>
        <v>114.64</v>
      </c>
      <c r="N63" s="56" t="n">
        <f aca="false">IF(C63=0,"",D63)</f>
        <v>30</v>
      </c>
      <c r="O63" s="57" t="n">
        <f aca="false">IF(C63=0,"",D63+1)</f>
        <v>31</v>
      </c>
      <c r="P63" s="44" t="n">
        <f aca="false">IF(C63=0,"",N63*C63)</f>
        <v>120</v>
      </c>
      <c r="Q63" s="58" t="n">
        <f aca="false">IF(C63=0,"",O63*C63)</f>
        <v>124</v>
      </c>
      <c r="R63" s="44"/>
      <c r="S63" s="59" t="n">
        <f aca="false">IF(C63=0,"",L63)</f>
        <v>4</v>
      </c>
      <c r="T63" s="60" t="n">
        <f aca="false">IF(C63=0,"",M63)</f>
        <v>114.64</v>
      </c>
    </row>
    <row r="64" customFormat="false" ht="12.75" hidden="false" customHeight="false" outlineLevel="0" collapsed="false">
      <c r="A64" s="61" t="n">
        <f aca="false">$C$2</f>
        <v>37017</v>
      </c>
      <c r="B64" s="62" t="n">
        <v>24</v>
      </c>
      <c r="C64" s="63" t="n">
        <f aca="false">INDEX(RtMw,C68+23,0)</f>
        <v>4</v>
      </c>
      <c r="D64" s="64" t="n">
        <f aca="false">INDEX(RTPrice,C68+23,0)</f>
        <v>28</v>
      </c>
      <c r="E64" s="65" t="n">
        <f aca="false">VLOOKUP(A64,Gas,4,FALSE())</f>
        <v>4.64</v>
      </c>
      <c r="F64" s="65" t="n">
        <f aca="false">VLOOKUP(A64,Gas,5,FALSE())</f>
        <v>4.64</v>
      </c>
      <c r="G64" s="66" t="n">
        <f aca="false">VLOOKUP(A64,Bogey,2,FALSE())</f>
        <v>59.66</v>
      </c>
      <c r="H64" s="67" t="n">
        <f aca="false">IF(C64&gt;0,G64-D64,"")</f>
        <v>31.66</v>
      </c>
      <c r="I64" s="68" t="n">
        <f aca="false">IF(C64&gt;0,H64*ABS(C64),"")</f>
        <v>126.64</v>
      </c>
      <c r="J64" s="69" t="n">
        <f aca="false">IF(C64=0,"",1)</f>
        <v>1</v>
      </c>
      <c r="K64" s="70" t="n">
        <f aca="false">IF(C64=0,"",G64-(D64+1))</f>
        <v>30.66</v>
      </c>
      <c r="L64" s="70" t="n">
        <f aca="false">IF(C64=0,"",C64*J64)</f>
        <v>4</v>
      </c>
      <c r="M64" s="71" t="n">
        <f aca="false">IF(C64=0,"",C64*K64)</f>
        <v>122.64</v>
      </c>
      <c r="N64" s="72" t="n">
        <f aca="false">IF(C64=0,"",D64)</f>
        <v>28</v>
      </c>
      <c r="O64" s="73" t="n">
        <f aca="false">IF(C64=0,"",D64+1)</f>
        <v>29</v>
      </c>
      <c r="P64" s="70" t="n">
        <f aca="false">IF(C64=0,"",N64*C64)</f>
        <v>112</v>
      </c>
      <c r="Q64" s="74" t="n">
        <f aca="false">IF(C64=0,"",O64*C64)</f>
        <v>116</v>
      </c>
      <c r="R64" s="44"/>
      <c r="S64" s="75" t="n">
        <f aca="false">IF(C64=0,"",L64)</f>
        <v>4</v>
      </c>
      <c r="T64" s="76" t="n">
        <f aca="false">IF(C64=0,"",M64)</f>
        <v>122.64</v>
      </c>
    </row>
    <row r="66" customFormat="false" ht="12.75" hidden="false" customHeight="false" outlineLevel="0" collapsed="false">
      <c r="Q66" s="78" t="e">
        <f aca="false">SUM(Q41:Q65)</f>
        <v>#VALUE!</v>
      </c>
    </row>
    <row r="68" customFormat="false" ht="12.75" hidden="true" customHeight="false" outlineLevel="0" collapsed="false">
      <c r="B68" s="0" t="s">
        <v>33</v>
      </c>
      <c r="C68" s="0" t="n">
        <f aca="false">MATCH(C2,RTDate,0)</f>
        <v>121</v>
      </c>
    </row>
  </sheetData>
  <mergeCells count="18">
    <mergeCell ref="A1:C1"/>
    <mergeCell ref="A2:B2"/>
    <mergeCell ref="E3:G3"/>
    <mergeCell ref="H3:I3"/>
    <mergeCell ref="J3:M3"/>
    <mergeCell ref="N3:Q3"/>
    <mergeCell ref="S3:T3"/>
    <mergeCell ref="B4:D4"/>
    <mergeCell ref="N4:O4"/>
    <mergeCell ref="P4:Q4"/>
    <mergeCell ref="E37:G37"/>
    <mergeCell ref="H37:I37"/>
    <mergeCell ref="J37:M37"/>
    <mergeCell ref="N37:Q37"/>
    <mergeCell ref="S37:T37"/>
    <mergeCell ref="B38:D38"/>
    <mergeCell ref="N38:O38"/>
    <mergeCell ref="P38:Q38"/>
  </mergeCells>
  <conditionalFormatting sqref="K5:K12 H3:H5 E3:G6 I3:I30 J3:J12 L5:M30 J29:K30 K4:N4 A1:C2 D31:G36 I31:M36 N5:N36 P65:IV65536 P4:T36 U1:IV64 K39:K46 H8:H39 A39:D64 E37:G40 I37:I64 J37:J46 J63:K64 K38:N38 D5:D30 L39:N64 A5:C36 P38:T64 A65:N65536 D1:D3 D37 H42:H64">
    <cfRule type="cellIs" priority="2" operator="equal" aboveAverage="0" equalAverage="0" bottom="0" percent="0" rank="0" text="" dxfId="5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9921875" defaultRowHeight="12.75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3" min="3" style="0" width="11.85"/>
    <col collapsed="false" customWidth="true" hidden="false" outlineLevel="0" max="4" min="4" style="1" width="23.99"/>
    <col collapsed="false" customWidth="true" hidden="false" outlineLevel="0" max="7" min="5" style="0" width="14.41"/>
    <col collapsed="false" customWidth="true" hidden="false" outlineLevel="0" max="8" min="8" style="0" width="28.99"/>
    <col collapsed="false" customWidth="true" hidden="false" outlineLevel="0" max="9" min="9" style="0" width="26.56"/>
    <col collapsed="false" customWidth="true" hidden="false" outlineLevel="0" max="10" min="10" style="0" width="17.14"/>
    <col collapsed="false" customWidth="true" hidden="false" outlineLevel="0" max="11" min="11" style="0" width="14.28"/>
    <col collapsed="false" customWidth="true" hidden="false" outlineLevel="0" max="13" min="12" style="0" width="26.56"/>
    <col collapsed="false" customWidth="true" hidden="false" outlineLevel="0" max="14" min="14" style="2" width="15.28"/>
    <col collapsed="false" customWidth="true" hidden="false" outlineLevel="0" max="15" min="15" style="0" width="15.28"/>
    <col collapsed="false" customWidth="true" hidden="false" outlineLevel="0" max="16" min="16" style="2" width="15.28"/>
    <col collapsed="false" customWidth="true" hidden="false" outlineLevel="0" max="17" min="17" style="0" width="17.56"/>
    <col collapsed="false" customWidth="true" hidden="false" outlineLevel="0" max="18" min="18" style="2" width="2.56"/>
    <col collapsed="false" customWidth="true" hidden="false" outlineLevel="0" max="19" min="19" style="0" width="12.42"/>
    <col collapsed="false" customWidth="true" hidden="false" outlineLevel="0" max="20" min="20" style="1" width="14.56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3" t="s">
        <v>1</v>
      </c>
      <c r="B2" s="3"/>
      <c r="C2" s="83" t="n">
        <v>37018</v>
      </c>
      <c r="D2" s="5"/>
    </row>
    <row r="3" customFormat="false" ht="12.75" hidden="false" customHeight="false" outlineLevel="0" collapsed="false">
      <c r="A3" s="6"/>
      <c r="B3" s="6"/>
      <c r="C3" s="84" t="n">
        <v>37020</v>
      </c>
      <c r="D3" s="7"/>
      <c r="E3" s="8" t="s">
        <v>2</v>
      </c>
      <c r="F3" s="8"/>
      <c r="G3" s="8"/>
      <c r="H3" s="9" t="s">
        <v>3</v>
      </c>
      <c r="I3" s="9"/>
      <c r="J3" s="9" t="s">
        <v>4</v>
      </c>
      <c r="K3" s="9"/>
      <c r="L3" s="9"/>
      <c r="M3" s="9"/>
      <c r="N3" s="10" t="s">
        <v>5</v>
      </c>
      <c r="O3" s="10"/>
      <c r="P3" s="10"/>
      <c r="Q3" s="10"/>
      <c r="R3" s="11"/>
      <c r="S3" s="10" t="s">
        <v>6</v>
      </c>
      <c r="T3" s="10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B4" s="85" t="s">
        <v>34</v>
      </c>
      <c r="C4" s="85"/>
      <c r="D4" s="85"/>
      <c r="E4" s="13"/>
      <c r="F4" s="14"/>
      <c r="G4" s="15"/>
      <c r="H4" s="16" t="s">
        <v>7</v>
      </c>
      <c r="I4" s="17" t="s">
        <v>7</v>
      </c>
      <c r="J4" s="16" t="s">
        <v>8</v>
      </c>
      <c r="K4" s="18" t="s">
        <v>9</v>
      </c>
      <c r="L4" s="18" t="s">
        <v>8</v>
      </c>
      <c r="M4" s="17" t="s">
        <v>9</v>
      </c>
      <c r="N4" s="19" t="s">
        <v>10</v>
      </c>
      <c r="O4" s="19"/>
      <c r="P4" s="19" t="s">
        <v>11</v>
      </c>
      <c r="Q4" s="19"/>
      <c r="R4" s="11"/>
      <c r="S4" s="20"/>
      <c r="T4" s="21"/>
    </row>
    <row r="5" customFormat="false" ht="12.75" hidden="false" customHeight="false" outlineLevel="0" collapsed="false">
      <c r="E5" s="16" t="s">
        <v>12</v>
      </c>
      <c r="F5" s="18" t="s">
        <v>12</v>
      </c>
      <c r="G5" s="17" t="s">
        <v>13</v>
      </c>
      <c r="H5" s="16" t="s">
        <v>14</v>
      </c>
      <c r="I5" s="17" t="s">
        <v>14</v>
      </c>
      <c r="J5" s="22" t="s">
        <v>15</v>
      </c>
      <c r="K5" s="18" t="s">
        <v>16</v>
      </c>
      <c r="L5" s="18" t="s">
        <v>17</v>
      </c>
      <c r="M5" s="17" t="s">
        <v>18</v>
      </c>
      <c r="N5" s="23"/>
      <c r="O5" s="15"/>
      <c r="P5" s="22"/>
      <c r="Q5" s="24" t="s">
        <v>19</v>
      </c>
      <c r="R5" s="11"/>
      <c r="S5" s="16" t="s">
        <v>20</v>
      </c>
      <c r="T5" s="25" t="s">
        <v>21</v>
      </c>
    </row>
    <row r="6" customFormat="false" ht="12.75" hidden="false" customHeight="false" outlineLevel="0" collapsed="false">
      <c r="A6" s="26" t="s">
        <v>22</v>
      </c>
      <c r="B6" s="27" t="s">
        <v>23</v>
      </c>
      <c r="C6" s="27" t="s">
        <v>24</v>
      </c>
      <c r="D6" s="28" t="s">
        <v>25</v>
      </c>
      <c r="E6" s="22" t="s">
        <v>26</v>
      </c>
      <c r="F6" s="5" t="s">
        <v>27</v>
      </c>
      <c r="G6" s="25" t="s">
        <v>28</v>
      </c>
      <c r="H6" s="22" t="s">
        <v>29</v>
      </c>
      <c r="I6" s="25" t="s">
        <v>30</v>
      </c>
      <c r="J6" s="22" t="s">
        <v>10</v>
      </c>
      <c r="K6" s="5" t="s">
        <v>10</v>
      </c>
      <c r="L6" s="5" t="s">
        <v>30</v>
      </c>
      <c r="M6" s="25" t="s">
        <v>30</v>
      </c>
      <c r="N6" s="22" t="s">
        <v>20</v>
      </c>
      <c r="O6" s="25" t="s">
        <v>21</v>
      </c>
      <c r="P6" s="22" t="s">
        <v>20</v>
      </c>
      <c r="Q6" s="29" t="s">
        <v>21</v>
      </c>
      <c r="R6" s="5"/>
      <c r="S6" s="22" t="s">
        <v>31</v>
      </c>
      <c r="T6" s="25" t="s">
        <v>32</v>
      </c>
      <c r="U6" s="30"/>
      <c r="V6" s="30"/>
    </row>
    <row r="7" customFormat="false" ht="12.75" hidden="false" customHeight="false" outlineLevel="0" collapsed="false">
      <c r="A7" s="31" t="n">
        <f aca="false">$C$2</f>
        <v>37018</v>
      </c>
      <c r="B7" s="32" t="n">
        <v>1</v>
      </c>
      <c r="C7" s="33" t="n">
        <f aca="false">INDEX(DaMw,C34,0)</f>
        <v>25</v>
      </c>
      <c r="D7" s="46" t="n">
        <f aca="false">INDEX(DaPrice,C34,0)</f>
        <v>18</v>
      </c>
      <c r="E7" s="35" t="n">
        <f aca="false">VLOOKUP(A7,Gas,4,FALSE())</f>
        <v>4.76</v>
      </c>
      <c r="F7" s="35" t="n">
        <f aca="false">VLOOKUP(A7,Gas,5,FALSE())</f>
        <v>4.76</v>
      </c>
      <c r="G7" s="36" t="n">
        <f aca="false">VLOOKUP(A7,Bogey,2,FALSE())</f>
        <v>60.57</v>
      </c>
      <c r="H7" s="37" t="n">
        <f aca="false">IF(C7&gt;0,G7-D7,"")</f>
        <v>42.57</v>
      </c>
      <c r="I7" s="38" t="n">
        <f aca="false">IF(C7&gt;0,H7*ABS(C7),"")</f>
        <v>1064.25</v>
      </c>
      <c r="J7" s="39" t="n">
        <f aca="false">IF(C7=0,"",1)</f>
        <v>1</v>
      </c>
      <c r="K7" s="40" t="n">
        <f aca="false">IF(C7=0,"",G7-(D7+1))</f>
        <v>41.57</v>
      </c>
      <c r="L7" s="40" t="n">
        <f aca="false">IF(C7=0,"",C7*J7)</f>
        <v>25</v>
      </c>
      <c r="M7" s="21" t="n">
        <f aca="false">IF(C7=0,"",C7*K7)</f>
        <v>1039.25</v>
      </c>
      <c r="N7" s="41" t="n">
        <f aca="false">IF(C7=0,"",D7)</f>
        <v>18</v>
      </c>
      <c r="O7" s="42" t="n">
        <f aca="false">IF(C7=0,"",D7+1)</f>
        <v>19</v>
      </c>
      <c r="P7" s="40" t="n">
        <f aca="false">IF(C7=0,"",N7*C7)</f>
        <v>450</v>
      </c>
      <c r="Q7" s="43" t="n">
        <f aca="false">IF(C7=0,"",O7*C7)</f>
        <v>475</v>
      </c>
      <c r="R7" s="44"/>
      <c r="S7" s="45" t="n">
        <f aca="false">IF(C7=0,"",L7)</f>
        <v>25</v>
      </c>
      <c r="T7" s="46" t="n">
        <f aca="false">IF(C7=0,"",M7)</f>
        <v>1039.25</v>
      </c>
    </row>
    <row r="8" customFormat="false" ht="12.75" hidden="false" customHeight="false" outlineLevel="0" collapsed="false">
      <c r="A8" s="47" t="n">
        <f aca="false">$C$2</f>
        <v>37018</v>
      </c>
      <c r="B8" s="12" t="n">
        <v>2</v>
      </c>
      <c r="C8" s="48" t="n">
        <f aca="false">INDEX(DaMw,C34+1,0)</f>
        <v>25</v>
      </c>
      <c r="D8" s="60" t="n">
        <f aca="false">INDEX(DaPrice,C34+1,0)</f>
        <v>18</v>
      </c>
      <c r="E8" s="50" t="n">
        <f aca="false">VLOOKUP(A8,Gas,4,FALSE())</f>
        <v>4.76</v>
      </c>
      <c r="F8" s="50" t="n">
        <f aca="false">VLOOKUP(A8,Gas,5,FALSE())</f>
        <v>4.76</v>
      </c>
      <c r="G8" s="51" t="n">
        <f aca="false">VLOOKUP(A8,Bogey,2,FALSE())</f>
        <v>60.57</v>
      </c>
      <c r="H8" s="52" t="n">
        <f aca="false">IF(C8&gt;0,G8-D8,"")</f>
        <v>42.57</v>
      </c>
      <c r="I8" s="53" t="n">
        <f aca="false">IF(C8&gt;0,H8*ABS(C8),"")</f>
        <v>1064.25</v>
      </c>
      <c r="J8" s="54" t="n">
        <f aca="false">IF(C8=0,"",1)</f>
        <v>1</v>
      </c>
      <c r="K8" s="44" t="n">
        <f aca="false">IF(C8=0,"",G8-(D8+1))</f>
        <v>41.57</v>
      </c>
      <c r="L8" s="44" t="n">
        <f aca="false">IF(C8=0,"",C8*J8)</f>
        <v>25</v>
      </c>
      <c r="M8" s="55" t="n">
        <f aca="false">IF(C8=0,"",C8*K8)</f>
        <v>1039.25</v>
      </c>
      <c r="N8" s="56" t="n">
        <f aca="false">IF(C8=0,"",D8)</f>
        <v>18</v>
      </c>
      <c r="O8" s="57" t="n">
        <f aca="false">IF(C8=0,"",D8+1)</f>
        <v>19</v>
      </c>
      <c r="P8" s="44" t="n">
        <f aca="false">IF(C8=0,"",N8*C8)</f>
        <v>450</v>
      </c>
      <c r="Q8" s="58" t="n">
        <f aca="false">IF(C8=0,"",O8*C8)</f>
        <v>475</v>
      </c>
      <c r="R8" s="44"/>
      <c r="S8" s="59" t="n">
        <f aca="false">IF(C8=0,"",L8)</f>
        <v>25</v>
      </c>
      <c r="T8" s="60" t="n">
        <f aca="false">IF(C8=0,"",M8)</f>
        <v>1039.25</v>
      </c>
    </row>
    <row r="9" customFormat="false" ht="12.75" hidden="false" customHeight="false" outlineLevel="0" collapsed="false">
      <c r="A9" s="47" t="n">
        <f aca="false">$C$2</f>
        <v>37018</v>
      </c>
      <c r="B9" s="12" t="n">
        <v>3</v>
      </c>
      <c r="C9" s="48" t="n">
        <f aca="false">INDEX(DaMw,C34+2,0)</f>
        <v>25</v>
      </c>
      <c r="D9" s="60" t="n">
        <f aca="false">INDEX(DaPrice,C34+2,0)</f>
        <v>18</v>
      </c>
      <c r="E9" s="50" t="n">
        <f aca="false">VLOOKUP(A9,Gas,4,FALSE())</f>
        <v>4.76</v>
      </c>
      <c r="F9" s="50" t="n">
        <f aca="false">VLOOKUP(A9,Gas,5,FALSE())</f>
        <v>4.76</v>
      </c>
      <c r="G9" s="51" t="n">
        <f aca="false">VLOOKUP(A9,Bogey,2,FALSE())</f>
        <v>60.57</v>
      </c>
      <c r="H9" s="52" t="n">
        <f aca="false">IF(C9&gt;0,G9-D9,"")</f>
        <v>42.57</v>
      </c>
      <c r="I9" s="53" t="n">
        <f aca="false">IF(C9&gt;0,H9*ABS(C9),"")</f>
        <v>1064.25</v>
      </c>
      <c r="J9" s="54" t="n">
        <f aca="false">IF(C9=0,"",1)</f>
        <v>1</v>
      </c>
      <c r="K9" s="44" t="n">
        <f aca="false">IF(C9=0,"",G9-(D9+1))</f>
        <v>41.57</v>
      </c>
      <c r="L9" s="44" t="n">
        <f aca="false">IF(C9=0,"",C9*J9)</f>
        <v>25</v>
      </c>
      <c r="M9" s="55" t="n">
        <f aca="false">IF(C9=0,"",C9*K9)</f>
        <v>1039.25</v>
      </c>
      <c r="N9" s="56" t="n">
        <f aca="false">IF(C9=0,"",D9)</f>
        <v>18</v>
      </c>
      <c r="O9" s="57" t="n">
        <f aca="false">IF(C9=0,"",D9+1)</f>
        <v>19</v>
      </c>
      <c r="P9" s="44" t="n">
        <f aca="false">IF(C9=0,"",N9*C9)</f>
        <v>450</v>
      </c>
      <c r="Q9" s="58" t="n">
        <f aca="false">IF(C9=0,"",O9*C9)</f>
        <v>475</v>
      </c>
      <c r="R9" s="44"/>
      <c r="S9" s="59" t="n">
        <f aca="false">IF(C9=0,"",L9)</f>
        <v>25</v>
      </c>
      <c r="T9" s="60" t="n">
        <f aca="false">IF(C9=0,"",M9)</f>
        <v>1039.25</v>
      </c>
    </row>
    <row r="10" customFormat="false" ht="12.75" hidden="false" customHeight="false" outlineLevel="0" collapsed="false">
      <c r="A10" s="47" t="n">
        <f aca="false">$C$2</f>
        <v>37018</v>
      </c>
      <c r="B10" s="12" t="n">
        <v>4</v>
      </c>
      <c r="C10" s="48" t="n">
        <f aca="false">INDEX(DaMw,C34+3,0)</f>
        <v>25</v>
      </c>
      <c r="D10" s="60" t="n">
        <f aca="false">INDEX(DaPrice,C34+3,0)</f>
        <v>18</v>
      </c>
      <c r="E10" s="50" t="n">
        <f aca="false">VLOOKUP(A10,Gas,4,FALSE())</f>
        <v>4.76</v>
      </c>
      <c r="F10" s="50" t="n">
        <f aca="false">VLOOKUP(A10,Gas,5,FALSE())</f>
        <v>4.76</v>
      </c>
      <c r="G10" s="51" t="n">
        <f aca="false">VLOOKUP(A10,Bogey,2,FALSE())</f>
        <v>60.57</v>
      </c>
      <c r="H10" s="52" t="n">
        <f aca="false">IF(C10&gt;0,G10-D10,"")</f>
        <v>42.57</v>
      </c>
      <c r="I10" s="53" t="n">
        <f aca="false">IF(C10&gt;0,H10*ABS(C10),"")</f>
        <v>1064.25</v>
      </c>
      <c r="J10" s="54" t="n">
        <f aca="false">IF(C10=0,"",1)</f>
        <v>1</v>
      </c>
      <c r="K10" s="44" t="n">
        <f aca="false">IF(C10=0,"",G10-(D10+1))</f>
        <v>41.57</v>
      </c>
      <c r="L10" s="44" t="n">
        <f aca="false">IF(C10=0,"",C10*J10)</f>
        <v>25</v>
      </c>
      <c r="M10" s="55" t="n">
        <f aca="false">IF(C10=0,"",C10*K10)</f>
        <v>1039.25</v>
      </c>
      <c r="N10" s="56" t="n">
        <f aca="false">IF(C10=0,"",D10)</f>
        <v>18</v>
      </c>
      <c r="O10" s="57" t="n">
        <f aca="false">IF(C10=0,"",D10+1)</f>
        <v>19</v>
      </c>
      <c r="P10" s="44" t="n">
        <f aca="false">IF(C10=0,"",N10*C10)</f>
        <v>450</v>
      </c>
      <c r="Q10" s="58" t="n">
        <f aca="false">IF(C10=0,"",O10*C10)</f>
        <v>475</v>
      </c>
      <c r="R10" s="44"/>
      <c r="S10" s="59" t="n">
        <f aca="false">IF(C10=0,"",L10)</f>
        <v>25</v>
      </c>
      <c r="T10" s="60" t="n">
        <f aca="false">IF(C10=0,"",M10)</f>
        <v>1039.25</v>
      </c>
    </row>
    <row r="11" customFormat="false" ht="12.75" hidden="false" customHeight="false" outlineLevel="0" collapsed="false">
      <c r="A11" s="47" t="n">
        <f aca="false">$C$2</f>
        <v>37018</v>
      </c>
      <c r="B11" s="12" t="n">
        <v>5</v>
      </c>
      <c r="C11" s="48" t="n">
        <f aca="false">INDEX(DaMw,C34+4,0)</f>
        <v>25</v>
      </c>
      <c r="D11" s="60" t="n">
        <f aca="false">INDEX(DaPrice,C34+4,0)</f>
        <v>18</v>
      </c>
      <c r="E11" s="50" t="n">
        <f aca="false">VLOOKUP(A11,Gas,4,FALSE())</f>
        <v>4.76</v>
      </c>
      <c r="F11" s="50" t="n">
        <f aca="false">VLOOKUP(A11,Gas,5,FALSE())</f>
        <v>4.76</v>
      </c>
      <c r="G11" s="51" t="n">
        <f aca="false">VLOOKUP(A11,Bogey,2,FALSE())</f>
        <v>60.57</v>
      </c>
      <c r="H11" s="52" t="n">
        <f aca="false">IF(C11&gt;0,G11-D11,"")</f>
        <v>42.57</v>
      </c>
      <c r="I11" s="53" t="n">
        <f aca="false">IF(C11&gt;0,H11*ABS(C11),"")</f>
        <v>1064.25</v>
      </c>
      <c r="J11" s="54" t="n">
        <f aca="false">IF(C11=0,"",1)</f>
        <v>1</v>
      </c>
      <c r="K11" s="44" t="n">
        <f aca="false">IF(C11=0,"",G11-(D11+1))</f>
        <v>41.57</v>
      </c>
      <c r="L11" s="44" t="n">
        <f aca="false">IF(C11=0,"",C11*J11)</f>
        <v>25</v>
      </c>
      <c r="M11" s="55" t="n">
        <f aca="false">IF(C11=0,"",C11*K11)</f>
        <v>1039.25</v>
      </c>
      <c r="N11" s="56" t="n">
        <f aca="false">IF(C11=0,"",D11)</f>
        <v>18</v>
      </c>
      <c r="O11" s="57" t="n">
        <f aca="false">IF(C11=0,"",D11+1)</f>
        <v>19</v>
      </c>
      <c r="P11" s="44" t="n">
        <f aca="false">IF(C11=0,"",N11*C11)</f>
        <v>450</v>
      </c>
      <c r="Q11" s="58" t="n">
        <f aca="false">IF(C11=0,"",O11*C11)</f>
        <v>475</v>
      </c>
      <c r="R11" s="44"/>
      <c r="S11" s="59" t="n">
        <f aca="false">IF(C11=0,"",L11)</f>
        <v>25</v>
      </c>
      <c r="T11" s="60" t="n">
        <f aca="false">IF(C11=0,"",M11)</f>
        <v>1039.25</v>
      </c>
    </row>
    <row r="12" customFormat="false" ht="12.75" hidden="false" customHeight="false" outlineLevel="0" collapsed="false">
      <c r="A12" s="47" t="n">
        <f aca="false">$C$2</f>
        <v>37018</v>
      </c>
      <c r="B12" s="12" t="n">
        <v>6</v>
      </c>
      <c r="C12" s="48" t="n">
        <f aca="false">INDEX(DaMw,C34+5,0)</f>
        <v>25</v>
      </c>
      <c r="D12" s="60" t="n">
        <f aca="false">INDEX(DaPrice,C34+5,0)</f>
        <v>18</v>
      </c>
      <c r="E12" s="50" t="n">
        <f aca="false">VLOOKUP(A12,Gas,4,FALSE())</f>
        <v>4.76</v>
      </c>
      <c r="F12" s="50" t="n">
        <f aca="false">VLOOKUP(A12,Gas,5,FALSE())</f>
        <v>4.76</v>
      </c>
      <c r="G12" s="51" t="n">
        <f aca="false">VLOOKUP(A12,Bogey,2,FALSE())</f>
        <v>60.57</v>
      </c>
      <c r="H12" s="52" t="n">
        <f aca="false">IF(C12&gt;0,G12-D12,"")</f>
        <v>42.57</v>
      </c>
      <c r="I12" s="53" t="n">
        <f aca="false">IF(C12&gt;0,H12*ABS(C12),"")</f>
        <v>1064.25</v>
      </c>
      <c r="J12" s="54" t="n">
        <f aca="false">IF(C12=0,"",1)</f>
        <v>1</v>
      </c>
      <c r="K12" s="44" t="n">
        <f aca="false">IF(C12=0,"",G12-(D12+1))</f>
        <v>41.57</v>
      </c>
      <c r="L12" s="44" t="n">
        <f aca="false">IF(C12=0,"",C12*J12)</f>
        <v>25</v>
      </c>
      <c r="M12" s="55" t="n">
        <f aca="false">IF(C12=0,"",C12*K12)</f>
        <v>1039.25</v>
      </c>
      <c r="N12" s="56" t="n">
        <f aca="false">IF(C12=0,"",D12)</f>
        <v>18</v>
      </c>
      <c r="O12" s="57" t="n">
        <f aca="false">IF(C12=0,"",D12+1)</f>
        <v>19</v>
      </c>
      <c r="P12" s="44" t="n">
        <f aca="false">IF(C12=0,"",N12*C12)</f>
        <v>450</v>
      </c>
      <c r="Q12" s="58" t="n">
        <f aca="false">IF(C12=0,"",O12*C12)</f>
        <v>475</v>
      </c>
      <c r="R12" s="44"/>
      <c r="S12" s="59" t="n">
        <f aca="false">IF(C12=0,"",L12)</f>
        <v>25</v>
      </c>
      <c r="T12" s="60" t="n">
        <f aca="false">IF(C12=0,"",M12)</f>
        <v>1039.25</v>
      </c>
    </row>
    <row r="13" customFormat="false" ht="12.75" hidden="false" customHeight="false" outlineLevel="0" collapsed="false">
      <c r="A13" s="47" t="n">
        <f aca="false">$C$2</f>
        <v>37018</v>
      </c>
      <c r="B13" s="12" t="n">
        <v>7</v>
      </c>
      <c r="C13" s="48" t="n">
        <f aca="false">INDEX(DaMw,C34+6,0)</f>
        <v>22</v>
      </c>
      <c r="D13" s="60" t="n">
        <f aca="false">INDEX(DaPrice,C34+6,0)</f>
        <v>45</v>
      </c>
      <c r="E13" s="50" t="n">
        <f aca="false">VLOOKUP(A13,Gas,4,FALSE())</f>
        <v>4.76</v>
      </c>
      <c r="F13" s="50" t="n">
        <f aca="false">VLOOKUP(A13,Gas,5,FALSE())</f>
        <v>4.76</v>
      </c>
      <c r="G13" s="51" t="n">
        <f aca="false">VLOOKUP(A13,Bogey,2,FALSE())</f>
        <v>60.57</v>
      </c>
      <c r="H13" s="52" t="n">
        <f aca="false">IF(C13&gt;0,G13-D13,"")</f>
        <v>15.57</v>
      </c>
      <c r="I13" s="53" t="n">
        <f aca="false">IF(C13&gt;0,H13*ABS(C13),"")</f>
        <v>342.54</v>
      </c>
      <c r="J13" s="54" t="n">
        <f aca="false">IF($C13=0,"",$H13*0.4)</f>
        <v>6.228</v>
      </c>
      <c r="K13" s="49" t="n">
        <f aca="false">IF($C13=0,"",$H13*0.6)</f>
        <v>9.342</v>
      </c>
      <c r="L13" s="49" t="n">
        <f aca="false">IF(C13=0,"",J13*$C13)</f>
        <v>137.016</v>
      </c>
      <c r="M13" s="55" t="n">
        <f aca="false">IF(C13=0,"",C13*K13)</f>
        <v>205.524</v>
      </c>
      <c r="N13" s="56" t="n">
        <f aca="false">IF(C13=0,"",D13)</f>
        <v>45</v>
      </c>
      <c r="O13" s="57" t="n">
        <f aca="false">IF(C13=0,"",D13+J13)</f>
        <v>51.228</v>
      </c>
      <c r="P13" s="44" t="n">
        <f aca="false">IF(C13=0,"",N13*C13)</f>
        <v>990</v>
      </c>
      <c r="Q13" s="58" t="n">
        <f aca="false">IF(C13=0,"",O13*C13)</f>
        <v>1127.016</v>
      </c>
      <c r="R13" s="44"/>
      <c r="S13" s="59" t="n">
        <f aca="false">IF(C13=0,"",L13)</f>
        <v>137.016</v>
      </c>
      <c r="T13" s="60" t="n">
        <f aca="false">IF(C13=0,"",M13)</f>
        <v>205.524</v>
      </c>
    </row>
    <row r="14" customFormat="false" ht="12.75" hidden="false" customHeight="false" outlineLevel="0" collapsed="false">
      <c r="A14" s="47" t="n">
        <f aca="false">$C$2</f>
        <v>37018</v>
      </c>
      <c r="B14" s="12" t="n">
        <v>8</v>
      </c>
      <c r="C14" s="48" t="n">
        <f aca="false">INDEX(DaMw,C34+7,0)</f>
        <v>26</v>
      </c>
      <c r="D14" s="60" t="n">
        <f aca="false">INDEX(DaPrice,C34+7,0)</f>
        <v>45</v>
      </c>
      <c r="E14" s="50" t="n">
        <f aca="false">VLOOKUP(A14,Gas,4,FALSE())</f>
        <v>4.76</v>
      </c>
      <c r="F14" s="50" t="n">
        <f aca="false">VLOOKUP(A14,Gas,5,FALSE())</f>
        <v>4.76</v>
      </c>
      <c r="G14" s="51" t="n">
        <f aca="false">VLOOKUP(A14,Bogey,2,FALSE())</f>
        <v>60.57</v>
      </c>
      <c r="H14" s="52" t="n">
        <f aca="false">IF(C14&gt;0,G14-D14,"")</f>
        <v>15.57</v>
      </c>
      <c r="I14" s="53" t="n">
        <f aca="false">IF(C14&gt;0,H14*ABS(C14),"")</f>
        <v>404.82</v>
      </c>
      <c r="J14" s="54" t="n">
        <f aca="false">IF($C14=0,"",$H14*0.4)</f>
        <v>6.228</v>
      </c>
      <c r="K14" s="49" t="n">
        <f aca="false">IF($C14=0,"",$H14*0.6)</f>
        <v>9.342</v>
      </c>
      <c r="L14" s="49" t="n">
        <f aca="false">IF(C14=0,"",J14*$C14)</f>
        <v>161.928</v>
      </c>
      <c r="M14" s="55" t="n">
        <f aca="false">IF(C14=0,"",C14*K14)</f>
        <v>242.892</v>
      </c>
      <c r="N14" s="56" t="n">
        <f aca="false">IF(C14=0,"",D14)</f>
        <v>45</v>
      </c>
      <c r="O14" s="57" t="n">
        <f aca="false">IF(C14=0,"",D14+J14)</f>
        <v>51.228</v>
      </c>
      <c r="P14" s="44" t="n">
        <f aca="false">IF(C14=0,"",N14*C14)</f>
        <v>1170</v>
      </c>
      <c r="Q14" s="58" t="n">
        <f aca="false">IF(C14=0,"",O14*C14)</f>
        <v>1331.928</v>
      </c>
      <c r="R14" s="44"/>
      <c r="S14" s="59" t="n">
        <f aca="false">IF(C14=0,"",L14)</f>
        <v>161.928</v>
      </c>
      <c r="T14" s="60" t="n">
        <f aca="false">IF(C14=0,"",M14)</f>
        <v>242.892</v>
      </c>
    </row>
    <row r="15" customFormat="false" ht="12.75" hidden="false" customHeight="false" outlineLevel="0" collapsed="false">
      <c r="A15" s="47" t="n">
        <f aca="false">$C$2</f>
        <v>37018</v>
      </c>
      <c r="B15" s="12" t="n">
        <v>9</v>
      </c>
      <c r="C15" s="48" t="n">
        <f aca="false">INDEX(DaMw,C34+8,0)</f>
        <v>32</v>
      </c>
      <c r="D15" s="60" t="n">
        <f aca="false">INDEX(DaPrice,C34+8,0)</f>
        <v>45</v>
      </c>
      <c r="E15" s="50" t="n">
        <f aca="false">VLOOKUP(A15,Gas,4,FALSE())</f>
        <v>4.76</v>
      </c>
      <c r="F15" s="50" t="n">
        <f aca="false">VLOOKUP(A15,Gas,5,FALSE())</f>
        <v>4.76</v>
      </c>
      <c r="G15" s="51" t="n">
        <f aca="false">VLOOKUP(A15,Bogey,2,FALSE())</f>
        <v>60.57</v>
      </c>
      <c r="H15" s="52" t="n">
        <f aca="false">IF(C15&gt;0,G15-D15,"")</f>
        <v>15.57</v>
      </c>
      <c r="I15" s="53" t="n">
        <f aca="false">IF(C15&gt;0,H15*ABS(C15),"")</f>
        <v>498.24</v>
      </c>
      <c r="J15" s="54" t="n">
        <f aca="false">IF($C15=0,"",$H15*0.4)</f>
        <v>6.228</v>
      </c>
      <c r="K15" s="49" t="n">
        <f aca="false">IF($C15=0,"",$H15*0.6)</f>
        <v>9.342</v>
      </c>
      <c r="L15" s="49" t="n">
        <f aca="false">IF(C15=0,"",J15*$C15)</f>
        <v>199.296</v>
      </c>
      <c r="M15" s="55" t="n">
        <f aca="false">IF(C15=0,"",C15*K15)</f>
        <v>298.944</v>
      </c>
      <c r="N15" s="56" t="n">
        <f aca="false">IF(C15=0,"",D15)</f>
        <v>45</v>
      </c>
      <c r="O15" s="57" t="n">
        <f aca="false">IF(C15=0,"",D15+J15)</f>
        <v>51.228</v>
      </c>
      <c r="P15" s="44" t="n">
        <f aca="false">IF(C15=0,"",N15*C15)</f>
        <v>1440</v>
      </c>
      <c r="Q15" s="58" t="n">
        <f aca="false">IF(C15=0,"",O15*C15)</f>
        <v>1639.296</v>
      </c>
      <c r="R15" s="44"/>
      <c r="S15" s="59" t="n">
        <f aca="false">IF(C15=0,"",L15)</f>
        <v>199.296</v>
      </c>
      <c r="T15" s="60" t="n">
        <f aca="false">IF(C15=0,"",M15)</f>
        <v>298.944</v>
      </c>
    </row>
    <row r="16" customFormat="false" ht="12.75" hidden="false" customHeight="false" outlineLevel="0" collapsed="false">
      <c r="A16" s="47" t="n">
        <f aca="false">$C$2</f>
        <v>37018</v>
      </c>
      <c r="B16" s="12" t="n">
        <v>10</v>
      </c>
      <c r="C16" s="48" t="n">
        <f aca="false">INDEX(DaMw,C34+9,0)</f>
        <v>32</v>
      </c>
      <c r="D16" s="60" t="n">
        <f aca="false">INDEX(DaPrice,C34+9,0)</f>
        <v>45</v>
      </c>
      <c r="E16" s="50" t="n">
        <f aca="false">VLOOKUP(A16,Gas,4,FALSE())</f>
        <v>4.76</v>
      </c>
      <c r="F16" s="50" t="n">
        <f aca="false">VLOOKUP(A16,Gas,5,FALSE())</f>
        <v>4.76</v>
      </c>
      <c r="G16" s="51" t="n">
        <f aca="false">VLOOKUP(A16,Bogey,2,FALSE())</f>
        <v>60.57</v>
      </c>
      <c r="H16" s="52" t="n">
        <f aca="false">IF(C16&gt;0,G16-D16,"")</f>
        <v>15.57</v>
      </c>
      <c r="I16" s="53" t="n">
        <f aca="false">IF(C16&gt;0,H16*ABS(C16),"")</f>
        <v>498.24</v>
      </c>
      <c r="J16" s="54" t="n">
        <f aca="false">IF($C16=0,"",$H16*0.4)</f>
        <v>6.228</v>
      </c>
      <c r="K16" s="49" t="n">
        <f aca="false">IF($C16=0,"",$H16*0.6)</f>
        <v>9.342</v>
      </c>
      <c r="L16" s="49" t="n">
        <f aca="false">IF(C16=0,"",J16*$C16)</f>
        <v>199.296</v>
      </c>
      <c r="M16" s="55" t="n">
        <f aca="false">IF(C16=0,"",C16*K16)</f>
        <v>298.944</v>
      </c>
      <c r="N16" s="56" t="n">
        <f aca="false">IF(C16=0,"",D16)</f>
        <v>45</v>
      </c>
      <c r="O16" s="57" t="n">
        <f aca="false">IF(C16=0,"",D16+J16)</f>
        <v>51.228</v>
      </c>
      <c r="P16" s="44" t="n">
        <f aca="false">IF(C16=0,"",N16*C16)</f>
        <v>1440</v>
      </c>
      <c r="Q16" s="58" t="n">
        <f aca="false">IF(C16=0,"",O16*C16)</f>
        <v>1639.296</v>
      </c>
      <c r="R16" s="44"/>
      <c r="S16" s="59" t="n">
        <f aca="false">IF(C16=0,"",L16)</f>
        <v>199.296</v>
      </c>
      <c r="T16" s="60" t="n">
        <f aca="false">IF(C16=0,"",M16)</f>
        <v>298.944</v>
      </c>
    </row>
    <row r="17" customFormat="false" ht="12.75" hidden="false" customHeight="false" outlineLevel="0" collapsed="false">
      <c r="A17" s="47" t="n">
        <f aca="false">$C$2</f>
        <v>37018</v>
      </c>
      <c r="B17" s="12" t="n">
        <v>11</v>
      </c>
      <c r="C17" s="48" t="n">
        <f aca="false">INDEX(DaMw,C34+10,0)</f>
        <v>32</v>
      </c>
      <c r="D17" s="60" t="n">
        <f aca="false">INDEX(DaPrice,C34+10,0)</f>
        <v>45</v>
      </c>
      <c r="E17" s="50" t="n">
        <f aca="false">VLOOKUP(A17,Gas,4,FALSE())</f>
        <v>4.76</v>
      </c>
      <c r="F17" s="50" t="n">
        <f aca="false">VLOOKUP(A17,Gas,5,FALSE())</f>
        <v>4.76</v>
      </c>
      <c r="G17" s="51" t="n">
        <f aca="false">VLOOKUP(A17,Bogey,2,FALSE())</f>
        <v>60.57</v>
      </c>
      <c r="H17" s="52" t="n">
        <f aca="false">IF(C17&gt;0,G17-D17,"")</f>
        <v>15.57</v>
      </c>
      <c r="I17" s="53" t="n">
        <f aca="false">IF(C17&gt;0,H17*ABS(C17),"")</f>
        <v>498.24</v>
      </c>
      <c r="J17" s="54" t="n">
        <f aca="false">IF($C17=0,"",$H17*0.4)</f>
        <v>6.228</v>
      </c>
      <c r="K17" s="49" t="n">
        <f aca="false">IF($C17=0,"",$H17*0.6)</f>
        <v>9.342</v>
      </c>
      <c r="L17" s="49" t="n">
        <f aca="false">IF(C17=0,"",J17*$C17)</f>
        <v>199.296</v>
      </c>
      <c r="M17" s="55" t="n">
        <f aca="false">IF(C17=0,"",C17*K17)</f>
        <v>298.944</v>
      </c>
      <c r="N17" s="56" t="n">
        <f aca="false">IF(C17=0,"",D17)</f>
        <v>45</v>
      </c>
      <c r="O17" s="57" t="n">
        <f aca="false">IF(C17=0,"",D17+J17)</f>
        <v>51.228</v>
      </c>
      <c r="P17" s="44" t="n">
        <f aca="false">IF(C17=0,"",N17*C17)</f>
        <v>1440</v>
      </c>
      <c r="Q17" s="58" t="n">
        <f aca="false">IF(C17=0,"",O17*C17)</f>
        <v>1639.296</v>
      </c>
      <c r="R17" s="44"/>
      <c r="S17" s="59" t="n">
        <f aca="false">IF(C17=0,"",L17)</f>
        <v>199.296</v>
      </c>
      <c r="T17" s="60" t="n">
        <f aca="false">IF(C17=0,"",M17)</f>
        <v>298.944</v>
      </c>
    </row>
    <row r="18" customFormat="false" ht="12.75" hidden="false" customHeight="false" outlineLevel="0" collapsed="false">
      <c r="A18" s="47" t="n">
        <f aca="false">$C$2</f>
        <v>37018</v>
      </c>
      <c r="B18" s="12" t="n">
        <v>12</v>
      </c>
      <c r="C18" s="48" t="n">
        <f aca="false">INDEX(DaMw,C34+11,0)</f>
        <v>33</v>
      </c>
      <c r="D18" s="60" t="n">
        <f aca="false">INDEX(DaPrice,C34+11,0)</f>
        <v>45</v>
      </c>
      <c r="E18" s="50" t="n">
        <f aca="false">VLOOKUP(A18,Gas,4,FALSE())</f>
        <v>4.76</v>
      </c>
      <c r="F18" s="50" t="n">
        <f aca="false">VLOOKUP(A18,Gas,5,FALSE())</f>
        <v>4.76</v>
      </c>
      <c r="G18" s="51" t="n">
        <f aca="false">VLOOKUP(A18,Bogey,2,FALSE())</f>
        <v>60.57</v>
      </c>
      <c r="H18" s="52" t="n">
        <f aca="false">IF(C18&gt;0,G18-D18,"")</f>
        <v>15.57</v>
      </c>
      <c r="I18" s="53" t="n">
        <f aca="false">IF(C18&gt;0,H18*ABS(C18),"")</f>
        <v>513.81</v>
      </c>
      <c r="J18" s="54" t="n">
        <f aca="false">IF($C18=0,"",$H18*0.4)</f>
        <v>6.228</v>
      </c>
      <c r="K18" s="49" t="n">
        <f aca="false">IF($C18=0,"",$H18*0.6)</f>
        <v>9.342</v>
      </c>
      <c r="L18" s="49" t="n">
        <f aca="false">IF(C18=0,"",J18*$C18)</f>
        <v>205.524</v>
      </c>
      <c r="M18" s="55" t="n">
        <f aca="false">IF(C18=0,"",C18*K18)</f>
        <v>308.286</v>
      </c>
      <c r="N18" s="56" t="n">
        <f aca="false">IF(C18=0,"",D18)</f>
        <v>45</v>
      </c>
      <c r="O18" s="57" t="n">
        <f aca="false">IF(C18=0,"",D18+J18)</f>
        <v>51.228</v>
      </c>
      <c r="P18" s="44" t="n">
        <f aca="false">IF(C18=0,"",N18*C18)</f>
        <v>1485</v>
      </c>
      <c r="Q18" s="58" t="n">
        <f aca="false">IF(C18=0,"",O18*C18)</f>
        <v>1690.524</v>
      </c>
      <c r="R18" s="44"/>
      <c r="S18" s="59" t="n">
        <f aca="false">IF(C18=0,"",L18)</f>
        <v>205.524</v>
      </c>
      <c r="T18" s="60" t="n">
        <f aca="false">IF(C18=0,"",M18)</f>
        <v>308.286</v>
      </c>
    </row>
    <row r="19" customFormat="false" ht="12.75" hidden="false" customHeight="false" outlineLevel="0" collapsed="false">
      <c r="A19" s="47" t="n">
        <f aca="false">$C$2</f>
        <v>37018</v>
      </c>
      <c r="B19" s="12" t="n">
        <v>13</v>
      </c>
      <c r="C19" s="48" t="n">
        <f aca="false">INDEX(DaMw,C34+12,0)</f>
        <v>33</v>
      </c>
      <c r="D19" s="60" t="n">
        <f aca="false">INDEX(DaPrice,C34+12,0)</f>
        <v>45</v>
      </c>
      <c r="E19" s="50" t="n">
        <f aca="false">VLOOKUP(A19,Gas,4,FALSE())</f>
        <v>4.76</v>
      </c>
      <c r="F19" s="50" t="n">
        <f aca="false">VLOOKUP(A19,Gas,5,FALSE())</f>
        <v>4.76</v>
      </c>
      <c r="G19" s="51" t="n">
        <f aca="false">VLOOKUP(A19,Bogey,2,FALSE())</f>
        <v>60.57</v>
      </c>
      <c r="H19" s="52" t="n">
        <f aca="false">IF(C19&gt;0,G19-D19,"")</f>
        <v>15.57</v>
      </c>
      <c r="I19" s="53" t="n">
        <f aca="false">IF(C19&gt;0,H19*ABS(C19),"")</f>
        <v>513.81</v>
      </c>
      <c r="J19" s="54" t="n">
        <f aca="false">IF($C19=0,"",$H19*0.4)</f>
        <v>6.228</v>
      </c>
      <c r="K19" s="49" t="n">
        <f aca="false">IF($C19=0,"",$H19*0.6)</f>
        <v>9.342</v>
      </c>
      <c r="L19" s="49" t="n">
        <f aca="false">IF(C19=0,"",J19*$C19)</f>
        <v>205.524</v>
      </c>
      <c r="M19" s="55" t="n">
        <f aca="false">IF(C19=0,"",C19*K19)</f>
        <v>308.286</v>
      </c>
      <c r="N19" s="56" t="n">
        <f aca="false">IF(C19=0,"",D19)</f>
        <v>45</v>
      </c>
      <c r="O19" s="57" t="n">
        <f aca="false">IF(C19=0,"",D19+J19)</f>
        <v>51.228</v>
      </c>
      <c r="P19" s="44" t="n">
        <f aca="false">IF(C19=0,"",N19*C19)</f>
        <v>1485</v>
      </c>
      <c r="Q19" s="58" t="n">
        <f aca="false">IF(C19=0,"",O19*C19)</f>
        <v>1690.524</v>
      </c>
      <c r="R19" s="44"/>
      <c r="S19" s="59" t="n">
        <f aca="false">IF(C19=0,"",L19)</f>
        <v>205.524</v>
      </c>
      <c r="T19" s="60" t="n">
        <f aca="false">IF(C19=0,"",M19)</f>
        <v>308.286</v>
      </c>
    </row>
    <row r="20" customFormat="false" ht="12.75" hidden="false" customHeight="false" outlineLevel="0" collapsed="false">
      <c r="A20" s="47" t="n">
        <f aca="false">$C$2</f>
        <v>37018</v>
      </c>
      <c r="B20" s="12" t="n">
        <v>14</v>
      </c>
      <c r="C20" s="48" t="n">
        <f aca="false">INDEX(DaMw,C34+13,0)</f>
        <v>33</v>
      </c>
      <c r="D20" s="60" t="n">
        <f aca="false">INDEX(DaPrice,C34+13,0)</f>
        <v>45</v>
      </c>
      <c r="E20" s="50" t="n">
        <f aca="false">VLOOKUP(A20,Gas,4,FALSE())</f>
        <v>4.76</v>
      </c>
      <c r="F20" s="50" t="n">
        <f aca="false">VLOOKUP(A20,Gas,5,FALSE())</f>
        <v>4.76</v>
      </c>
      <c r="G20" s="51" t="n">
        <f aca="false">VLOOKUP(A20,Bogey,2,FALSE())</f>
        <v>60.57</v>
      </c>
      <c r="H20" s="52" t="n">
        <f aca="false">IF(C20&gt;0,G20-D20,"")</f>
        <v>15.57</v>
      </c>
      <c r="I20" s="53" t="n">
        <f aca="false">IF(C20&gt;0,H20*ABS(C20),"")</f>
        <v>513.81</v>
      </c>
      <c r="J20" s="54" t="n">
        <f aca="false">IF($C20=0,"",$H20*0.4)</f>
        <v>6.228</v>
      </c>
      <c r="K20" s="49" t="n">
        <f aca="false">IF($C20=0,"",$H20*0.6)</f>
        <v>9.342</v>
      </c>
      <c r="L20" s="49" t="n">
        <f aca="false">IF(C20=0,"",J20*$C20)</f>
        <v>205.524</v>
      </c>
      <c r="M20" s="55" t="n">
        <f aca="false">IF(C20=0,"",C20*K20)</f>
        <v>308.286</v>
      </c>
      <c r="N20" s="56" t="n">
        <f aca="false">IF(C20=0,"",D20)</f>
        <v>45</v>
      </c>
      <c r="O20" s="57" t="n">
        <f aca="false">IF(C20=0,"",D20+J20)</f>
        <v>51.228</v>
      </c>
      <c r="P20" s="44" t="n">
        <f aca="false">IF(C20=0,"",N20*C20)</f>
        <v>1485</v>
      </c>
      <c r="Q20" s="58" t="n">
        <f aca="false">IF(C20=0,"",O20*C20)</f>
        <v>1690.524</v>
      </c>
      <c r="R20" s="44"/>
      <c r="S20" s="59" t="n">
        <f aca="false">IF(C20=0,"",L20)</f>
        <v>205.524</v>
      </c>
      <c r="T20" s="60" t="n">
        <f aca="false">IF(C20=0,"",M20)</f>
        <v>308.286</v>
      </c>
    </row>
    <row r="21" customFormat="false" ht="12.75" hidden="false" customHeight="false" outlineLevel="0" collapsed="false">
      <c r="A21" s="47" t="n">
        <f aca="false">$C$2</f>
        <v>37018</v>
      </c>
      <c r="B21" s="12" t="n">
        <v>15</v>
      </c>
      <c r="C21" s="48" t="n">
        <f aca="false">INDEX(DaMw,C34+14,0)</f>
        <v>33</v>
      </c>
      <c r="D21" s="60" t="n">
        <f aca="false">INDEX(DaPrice,C34+14,0)</f>
        <v>45</v>
      </c>
      <c r="E21" s="50" t="n">
        <f aca="false">VLOOKUP(A21,Gas,4,FALSE())</f>
        <v>4.76</v>
      </c>
      <c r="F21" s="50" t="n">
        <f aca="false">VLOOKUP(A21,Gas,5,FALSE())</f>
        <v>4.76</v>
      </c>
      <c r="G21" s="51" t="n">
        <f aca="false">VLOOKUP(A21,Bogey,2,FALSE())</f>
        <v>60.57</v>
      </c>
      <c r="H21" s="52" t="n">
        <f aca="false">IF(C21&gt;0,G21-D21,"")</f>
        <v>15.57</v>
      </c>
      <c r="I21" s="53" t="n">
        <f aca="false">IF(C21&gt;0,H21*ABS(C21),"")</f>
        <v>513.81</v>
      </c>
      <c r="J21" s="54" t="n">
        <f aca="false">IF($C21=0,"",$H21*0.4)</f>
        <v>6.228</v>
      </c>
      <c r="K21" s="49" t="n">
        <f aca="false">IF($C21=0,"",$H21*0.6)</f>
        <v>9.342</v>
      </c>
      <c r="L21" s="49" t="n">
        <f aca="false">IF(C21=0,"",J21*$C21)</f>
        <v>205.524</v>
      </c>
      <c r="M21" s="55" t="n">
        <f aca="false">IF(C21=0,"",C21*K21)</f>
        <v>308.286</v>
      </c>
      <c r="N21" s="56" t="n">
        <f aca="false">IF(C21=0,"",D21)</f>
        <v>45</v>
      </c>
      <c r="O21" s="57" t="n">
        <f aca="false">IF(C21=0,"",D21+J21)</f>
        <v>51.228</v>
      </c>
      <c r="P21" s="44" t="n">
        <f aca="false">IF(C21=0,"",N21*C21)</f>
        <v>1485</v>
      </c>
      <c r="Q21" s="58" t="n">
        <f aca="false">IF(C21=0,"",O21*C21)</f>
        <v>1690.524</v>
      </c>
      <c r="R21" s="44"/>
      <c r="S21" s="59" t="n">
        <f aca="false">IF(C21=0,"",L21)</f>
        <v>205.524</v>
      </c>
      <c r="T21" s="60" t="n">
        <f aca="false">IF(C21=0,"",M21)</f>
        <v>308.286</v>
      </c>
    </row>
    <row r="22" customFormat="false" ht="12.75" hidden="false" customHeight="false" outlineLevel="0" collapsed="false">
      <c r="A22" s="47" t="n">
        <f aca="false">$C$2</f>
        <v>37018</v>
      </c>
      <c r="B22" s="12" t="n">
        <v>16</v>
      </c>
      <c r="C22" s="48" t="n">
        <f aca="false">INDEX(DaMw,C34+15,0)</f>
        <v>33</v>
      </c>
      <c r="D22" s="60" t="n">
        <f aca="false">INDEX(DaPrice,C34+15,0)</f>
        <v>45</v>
      </c>
      <c r="E22" s="50" t="n">
        <f aca="false">VLOOKUP(A22,Gas,4,FALSE())</f>
        <v>4.76</v>
      </c>
      <c r="F22" s="50" t="n">
        <f aca="false">VLOOKUP(A22,Gas,5,FALSE())</f>
        <v>4.76</v>
      </c>
      <c r="G22" s="51" t="n">
        <f aca="false">VLOOKUP(A22,Bogey,2,FALSE())</f>
        <v>60.57</v>
      </c>
      <c r="H22" s="52" t="n">
        <f aca="false">IF(C22&gt;0,G22-D22,"")</f>
        <v>15.57</v>
      </c>
      <c r="I22" s="53" t="n">
        <f aca="false">IF(C22&gt;0,H22*ABS(C22),"")</f>
        <v>513.81</v>
      </c>
      <c r="J22" s="54" t="n">
        <f aca="false">IF($C22=0,"",$H22*0.4)</f>
        <v>6.228</v>
      </c>
      <c r="K22" s="49" t="n">
        <f aca="false">IF($C22=0,"",$H22*0.6)</f>
        <v>9.342</v>
      </c>
      <c r="L22" s="49" t="n">
        <f aca="false">IF(C22=0,"",J22*$C22)</f>
        <v>205.524</v>
      </c>
      <c r="M22" s="55" t="n">
        <f aca="false">IF(C22=0,"",C22*K22)</f>
        <v>308.286</v>
      </c>
      <c r="N22" s="56" t="n">
        <f aca="false">IF(C22=0,"",D22)</f>
        <v>45</v>
      </c>
      <c r="O22" s="57" t="n">
        <f aca="false">IF(C22=0,"",D22+J22)</f>
        <v>51.228</v>
      </c>
      <c r="P22" s="44" t="n">
        <f aca="false">IF(C22=0,"",N22*C22)</f>
        <v>1485</v>
      </c>
      <c r="Q22" s="58" t="n">
        <f aca="false">IF(C22=0,"",O22*C22)</f>
        <v>1690.524</v>
      </c>
      <c r="R22" s="44"/>
      <c r="S22" s="59" t="n">
        <f aca="false">IF(C22=0,"",L22)</f>
        <v>205.524</v>
      </c>
      <c r="T22" s="60" t="n">
        <f aca="false">IF(C22=0,"",M22)</f>
        <v>308.286</v>
      </c>
    </row>
    <row r="23" customFormat="false" ht="12.75" hidden="false" customHeight="false" outlineLevel="0" collapsed="false">
      <c r="A23" s="47" t="n">
        <f aca="false">$C$2</f>
        <v>37018</v>
      </c>
      <c r="B23" s="12" t="n">
        <v>17</v>
      </c>
      <c r="C23" s="48" t="n">
        <f aca="false">INDEX(DaMw,C34+16,0)</f>
        <v>33</v>
      </c>
      <c r="D23" s="60" t="n">
        <f aca="false">INDEX(DaPrice,C34+16,0)</f>
        <v>45</v>
      </c>
      <c r="E23" s="50" t="n">
        <f aca="false">VLOOKUP(A23,Gas,4,FALSE())</f>
        <v>4.76</v>
      </c>
      <c r="F23" s="50" t="n">
        <f aca="false">VLOOKUP(A23,Gas,5,FALSE())</f>
        <v>4.76</v>
      </c>
      <c r="G23" s="51" t="n">
        <f aca="false">VLOOKUP(A23,Bogey,2,FALSE())</f>
        <v>60.57</v>
      </c>
      <c r="H23" s="52" t="n">
        <f aca="false">IF(C23&gt;0,G23-D23,"")</f>
        <v>15.57</v>
      </c>
      <c r="I23" s="53" t="n">
        <f aca="false">IF(C23&gt;0,H23*ABS(C23),"")</f>
        <v>513.81</v>
      </c>
      <c r="J23" s="54" t="n">
        <f aca="false">IF($C23=0,"",$H23*0.4)</f>
        <v>6.228</v>
      </c>
      <c r="K23" s="49" t="n">
        <f aca="false">IF($C23=0,"",$H23*0.6)</f>
        <v>9.342</v>
      </c>
      <c r="L23" s="49" t="n">
        <f aca="false">IF(C23=0,"",J23*$C23)</f>
        <v>205.524</v>
      </c>
      <c r="M23" s="55" t="n">
        <f aca="false">IF(C23=0,"",C23*K23)</f>
        <v>308.286</v>
      </c>
      <c r="N23" s="56" t="n">
        <f aca="false">IF(C23=0,"",D23)</f>
        <v>45</v>
      </c>
      <c r="O23" s="57" t="n">
        <f aca="false">IF(C23=0,"",D23+J23)</f>
        <v>51.228</v>
      </c>
      <c r="P23" s="44" t="n">
        <f aca="false">IF(C23=0,"",N23*C23)</f>
        <v>1485</v>
      </c>
      <c r="Q23" s="58" t="n">
        <f aca="false">IF(C23=0,"",O23*C23)</f>
        <v>1690.524</v>
      </c>
      <c r="R23" s="44"/>
      <c r="S23" s="59" t="n">
        <f aca="false">IF(C23=0,"",L23)</f>
        <v>205.524</v>
      </c>
      <c r="T23" s="60" t="n">
        <f aca="false">IF(C23=0,"",M23)</f>
        <v>308.286</v>
      </c>
    </row>
    <row r="24" customFormat="false" ht="12.75" hidden="false" customHeight="false" outlineLevel="0" collapsed="false">
      <c r="A24" s="47" t="n">
        <f aca="false">$C$2</f>
        <v>37018</v>
      </c>
      <c r="B24" s="12" t="n">
        <v>18</v>
      </c>
      <c r="C24" s="48" t="n">
        <f aca="false">INDEX(DaMw,C34+17,0)</f>
        <v>30</v>
      </c>
      <c r="D24" s="60" t="n">
        <f aca="false">INDEX(DaPrice,C34+17,0)</f>
        <v>45</v>
      </c>
      <c r="E24" s="50" t="n">
        <f aca="false">VLOOKUP(A24,Gas,4,FALSE())</f>
        <v>4.76</v>
      </c>
      <c r="F24" s="50" t="n">
        <f aca="false">VLOOKUP(A24,Gas,5,FALSE())</f>
        <v>4.76</v>
      </c>
      <c r="G24" s="51" t="n">
        <f aca="false">VLOOKUP(A24,Bogey,2,FALSE())</f>
        <v>60.57</v>
      </c>
      <c r="H24" s="52" t="n">
        <f aca="false">IF(C24&gt;0,G24-D24,"")</f>
        <v>15.57</v>
      </c>
      <c r="I24" s="53" t="n">
        <f aca="false">IF(C24&gt;0,H24*ABS(C24),"")</f>
        <v>467.1</v>
      </c>
      <c r="J24" s="54" t="n">
        <f aca="false">IF($C24=0,"",$H24*0.4)</f>
        <v>6.228</v>
      </c>
      <c r="K24" s="49" t="n">
        <f aca="false">IF($C24=0,"",$H24*0.6)</f>
        <v>9.342</v>
      </c>
      <c r="L24" s="49" t="n">
        <f aca="false">IF(C24=0,"",J24*$C24)</f>
        <v>186.84</v>
      </c>
      <c r="M24" s="55" t="n">
        <f aca="false">IF(C24=0,"",C24*K24)</f>
        <v>280.26</v>
      </c>
      <c r="N24" s="56" t="n">
        <f aca="false">IF(C24=0,"",D24)</f>
        <v>45</v>
      </c>
      <c r="O24" s="57" t="n">
        <f aca="false">IF(C24=0,"",D24+J24)</f>
        <v>51.228</v>
      </c>
      <c r="P24" s="44" t="n">
        <f aca="false">IF(C24=0,"",N24*C24)</f>
        <v>1350</v>
      </c>
      <c r="Q24" s="58" t="n">
        <f aca="false">IF(C24=0,"",O24*C24)</f>
        <v>1536.84</v>
      </c>
      <c r="R24" s="44"/>
      <c r="S24" s="59" t="n">
        <f aca="false">IF(C24=0,"",L24)</f>
        <v>186.84</v>
      </c>
      <c r="T24" s="60" t="n">
        <f aca="false">IF(C24=0,"",M24)</f>
        <v>280.26</v>
      </c>
    </row>
    <row r="25" customFormat="false" ht="12.75" hidden="false" customHeight="false" outlineLevel="0" collapsed="false">
      <c r="A25" s="47" t="n">
        <f aca="false">$C$2</f>
        <v>37018</v>
      </c>
      <c r="B25" s="12" t="n">
        <v>19</v>
      </c>
      <c r="C25" s="48" t="n">
        <f aca="false">INDEX(DaMw,C34+18,0)</f>
        <v>30</v>
      </c>
      <c r="D25" s="60" t="n">
        <f aca="false">INDEX(DaPrice,C34+18,0)</f>
        <v>45</v>
      </c>
      <c r="E25" s="50" t="n">
        <f aca="false">VLOOKUP(A25,Gas,4,FALSE())</f>
        <v>4.76</v>
      </c>
      <c r="F25" s="50" t="n">
        <f aca="false">VLOOKUP(A25,Gas,5,FALSE())</f>
        <v>4.76</v>
      </c>
      <c r="G25" s="51" t="n">
        <f aca="false">VLOOKUP(A25,Bogey,2,FALSE())</f>
        <v>60.57</v>
      </c>
      <c r="H25" s="52" t="n">
        <f aca="false">IF(C25&gt;0,G25-D25,"")</f>
        <v>15.57</v>
      </c>
      <c r="I25" s="53" t="n">
        <f aca="false">IF(C25&gt;0,H25*ABS(C25),"")</f>
        <v>467.1</v>
      </c>
      <c r="J25" s="54" t="n">
        <f aca="false">IF($C25=0,"",$H25*0.4)</f>
        <v>6.228</v>
      </c>
      <c r="K25" s="49" t="n">
        <f aca="false">IF($C25=0,"",$H25*0.6)</f>
        <v>9.342</v>
      </c>
      <c r="L25" s="49" t="n">
        <f aca="false">IF(C25=0,"",J25*$C25)</f>
        <v>186.84</v>
      </c>
      <c r="M25" s="55" t="n">
        <f aca="false">IF(C25=0,"",C25*K25)</f>
        <v>280.26</v>
      </c>
      <c r="N25" s="56" t="n">
        <f aca="false">IF(C25=0,"",D25)</f>
        <v>45</v>
      </c>
      <c r="O25" s="57" t="n">
        <f aca="false">IF(C25=0,"",D25+J25)</f>
        <v>51.228</v>
      </c>
      <c r="P25" s="44" t="n">
        <f aca="false">IF(C25=0,"",N25*C25)</f>
        <v>1350</v>
      </c>
      <c r="Q25" s="58" t="n">
        <f aca="false">IF(C25=0,"",O25*C25)</f>
        <v>1536.84</v>
      </c>
      <c r="R25" s="44"/>
      <c r="S25" s="59" t="n">
        <f aca="false">IF(C25=0,"",L25)</f>
        <v>186.84</v>
      </c>
      <c r="T25" s="60" t="n">
        <f aca="false">IF(C25=0,"",M25)</f>
        <v>280.26</v>
      </c>
    </row>
    <row r="26" customFormat="false" ht="12.75" hidden="false" customHeight="false" outlineLevel="0" collapsed="false">
      <c r="A26" s="47" t="n">
        <f aca="false">$C$2</f>
        <v>37018</v>
      </c>
      <c r="B26" s="12" t="n">
        <v>20</v>
      </c>
      <c r="C26" s="48" t="n">
        <f aca="false">INDEX(DaMw,C34+19,0)</f>
        <v>30</v>
      </c>
      <c r="D26" s="60" t="n">
        <f aca="false">INDEX(DaPrice,C34+19,0)</f>
        <v>45</v>
      </c>
      <c r="E26" s="50" t="n">
        <f aca="false">VLOOKUP(A26,Gas,4,FALSE())</f>
        <v>4.76</v>
      </c>
      <c r="F26" s="50" t="n">
        <f aca="false">VLOOKUP(A26,Gas,5,FALSE())</f>
        <v>4.76</v>
      </c>
      <c r="G26" s="51" t="n">
        <f aca="false">VLOOKUP(A26,Bogey,2,FALSE())</f>
        <v>60.57</v>
      </c>
      <c r="H26" s="52" t="n">
        <f aca="false">IF(C26&gt;0,G26-D26,"")</f>
        <v>15.57</v>
      </c>
      <c r="I26" s="53" t="n">
        <f aca="false">IF(C26&gt;0,H26*ABS(C26),"")</f>
        <v>467.1</v>
      </c>
      <c r="J26" s="54" t="n">
        <f aca="false">IF($C26=0,"",$H26*0.4)</f>
        <v>6.228</v>
      </c>
      <c r="K26" s="49" t="n">
        <f aca="false">IF($C26=0,"",$H26*0.6)</f>
        <v>9.342</v>
      </c>
      <c r="L26" s="49" t="n">
        <f aca="false">IF(C26=0,"",J26*$C26)</f>
        <v>186.84</v>
      </c>
      <c r="M26" s="55" t="n">
        <f aca="false">IF(C26=0,"",C26*K26)</f>
        <v>280.26</v>
      </c>
      <c r="N26" s="56" t="n">
        <f aca="false">IF(C26=0,"",D26)</f>
        <v>45</v>
      </c>
      <c r="O26" s="57" t="n">
        <f aca="false">IF(C26=0,"",D26+J26)</f>
        <v>51.228</v>
      </c>
      <c r="P26" s="44" t="n">
        <f aca="false">IF(C26=0,"",N26*C26)</f>
        <v>1350</v>
      </c>
      <c r="Q26" s="58" t="n">
        <f aca="false">IF(C26=0,"",O26*C26)</f>
        <v>1536.84</v>
      </c>
      <c r="R26" s="44"/>
      <c r="S26" s="59" t="n">
        <f aca="false">IF(C26=0,"",L26)</f>
        <v>186.84</v>
      </c>
      <c r="T26" s="60" t="n">
        <f aca="false">IF(C26=0,"",M26)</f>
        <v>280.26</v>
      </c>
    </row>
    <row r="27" customFormat="false" ht="12.75" hidden="false" customHeight="false" outlineLevel="0" collapsed="false">
      <c r="A27" s="47" t="n">
        <f aca="false">$C$2</f>
        <v>37018</v>
      </c>
      <c r="B27" s="12" t="n">
        <v>21</v>
      </c>
      <c r="C27" s="48" t="n">
        <f aca="false">INDEX(DaMw,C34+20,0)</f>
        <v>33</v>
      </c>
      <c r="D27" s="60" t="n">
        <f aca="false">INDEX(DaPrice,C34+20,0)</f>
        <v>45</v>
      </c>
      <c r="E27" s="50" t="n">
        <f aca="false">VLOOKUP(A27,Gas,4,FALSE())</f>
        <v>4.76</v>
      </c>
      <c r="F27" s="50" t="n">
        <f aca="false">VLOOKUP(A27,Gas,5,FALSE())</f>
        <v>4.76</v>
      </c>
      <c r="G27" s="51" t="n">
        <f aca="false">VLOOKUP(A27,Bogey,2,FALSE())</f>
        <v>60.57</v>
      </c>
      <c r="H27" s="52" t="n">
        <f aca="false">IF(C27&gt;0,G27-D27,"")</f>
        <v>15.57</v>
      </c>
      <c r="I27" s="53" t="n">
        <f aca="false">IF(C27&gt;0,H27*ABS(C27),"")</f>
        <v>513.81</v>
      </c>
      <c r="J27" s="54" t="n">
        <f aca="false">IF($C27=0,"",$H27*0.4)</f>
        <v>6.228</v>
      </c>
      <c r="K27" s="49" t="n">
        <f aca="false">IF($C27=0,"",$H27*0.6)</f>
        <v>9.342</v>
      </c>
      <c r="L27" s="49" t="n">
        <f aca="false">IF(C27=0,"",J27*$C27)</f>
        <v>205.524</v>
      </c>
      <c r="M27" s="55" t="n">
        <f aca="false">IF(C27=0,"",C27*K27)</f>
        <v>308.286</v>
      </c>
      <c r="N27" s="56" t="n">
        <f aca="false">IF(C27=0,"",D27)</f>
        <v>45</v>
      </c>
      <c r="O27" s="57" t="n">
        <f aca="false">IF(C27=0,"",D27+J27)</f>
        <v>51.228</v>
      </c>
      <c r="P27" s="44" t="n">
        <f aca="false">IF(C27=0,"",N27*C27)</f>
        <v>1485</v>
      </c>
      <c r="Q27" s="58" t="n">
        <f aca="false">IF(C27=0,"",O27*C27)</f>
        <v>1690.524</v>
      </c>
      <c r="R27" s="44"/>
      <c r="S27" s="59" t="n">
        <f aca="false">IF(C27=0,"",L27)</f>
        <v>205.524</v>
      </c>
      <c r="T27" s="60" t="n">
        <f aca="false">IF(C27=0,"",M27)</f>
        <v>308.286</v>
      </c>
    </row>
    <row r="28" customFormat="false" ht="12.75" hidden="false" customHeight="false" outlineLevel="0" collapsed="false">
      <c r="A28" s="47" t="n">
        <f aca="false">$C$2</f>
        <v>37018</v>
      </c>
      <c r="B28" s="12" t="n">
        <v>22</v>
      </c>
      <c r="C28" s="48" t="n">
        <f aca="false">INDEX(DaMw,C34+21,0)</f>
        <v>33</v>
      </c>
      <c r="D28" s="60" t="n">
        <f aca="false">INDEX(DaPrice,C34+21,0)</f>
        <v>45</v>
      </c>
      <c r="E28" s="50" t="n">
        <f aca="false">VLOOKUP(A28,Gas,4,FALSE())</f>
        <v>4.76</v>
      </c>
      <c r="F28" s="50" t="n">
        <f aca="false">VLOOKUP(A28,Gas,5,FALSE())</f>
        <v>4.76</v>
      </c>
      <c r="G28" s="51" t="n">
        <f aca="false">VLOOKUP(A28,Bogey,2,FALSE())</f>
        <v>60.57</v>
      </c>
      <c r="H28" s="52" t="n">
        <f aca="false">IF(C28&gt;0,G28-D28,"")</f>
        <v>15.57</v>
      </c>
      <c r="I28" s="53" t="n">
        <f aca="false">IF(C28&gt;0,H28*ABS(C28),"")</f>
        <v>513.81</v>
      </c>
      <c r="J28" s="54" t="n">
        <f aca="false">IF($C28=0,"",$H28*0.4)</f>
        <v>6.228</v>
      </c>
      <c r="K28" s="49" t="n">
        <f aca="false">IF($C28=0,"",$H28*0.6)</f>
        <v>9.342</v>
      </c>
      <c r="L28" s="49" t="n">
        <f aca="false">IF(C28=0,"",J28*$C28)</f>
        <v>205.524</v>
      </c>
      <c r="M28" s="55" t="n">
        <f aca="false">IF(C28=0,"",C28*K28)</f>
        <v>308.286</v>
      </c>
      <c r="N28" s="56" t="n">
        <f aca="false">IF(C28=0,"",D28)</f>
        <v>45</v>
      </c>
      <c r="O28" s="57" t="n">
        <f aca="false">IF(C28=0,"",D28+J28)</f>
        <v>51.228</v>
      </c>
      <c r="P28" s="44" t="n">
        <f aca="false">IF(C28=0,"",N28*C28)</f>
        <v>1485</v>
      </c>
      <c r="Q28" s="58" t="n">
        <f aca="false">IF(C28=0,"",O28*C28)</f>
        <v>1690.524</v>
      </c>
      <c r="R28" s="44"/>
      <c r="S28" s="59" t="n">
        <f aca="false">IF(C28=0,"",L28)</f>
        <v>205.524</v>
      </c>
      <c r="T28" s="60" t="n">
        <f aca="false">IF(C28=0,"",M28)</f>
        <v>308.286</v>
      </c>
    </row>
    <row r="29" customFormat="false" ht="12.75" hidden="false" customHeight="false" outlineLevel="0" collapsed="false">
      <c r="A29" s="47" t="n">
        <f aca="false">$C$2</f>
        <v>37018</v>
      </c>
      <c r="B29" s="12" t="n">
        <v>23</v>
      </c>
      <c r="C29" s="48" t="n">
        <f aca="false">INDEX(DaMw,C34+22,0)</f>
        <v>25</v>
      </c>
      <c r="D29" s="60" t="n">
        <f aca="false">INDEX(DaPrice,C34+22,0)</f>
        <v>18</v>
      </c>
      <c r="E29" s="50" t="n">
        <f aca="false">VLOOKUP(A29,Gas,4,FALSE())</f>
        <v>4.76</v>
      </c>
      <c r="F29" s="50" t="n">
        <f aca="false">VLOOKUP(A29,Gas,5,FALSE())</f>
        <v>4.76</v>
      </c>
      <c r="G29" s="51" t="n">
        <f aca="false">VLOOKUP(A29,Bogey,2,FALSE())</f>
        <v>60.57</v>
      </c>
      <c r="H29" s="52" t="n">
        <f aca="false">IF(C29&gt;0,G29-D29,"")</f>
        <v>42.57</v>
      </c>
      <c r="I29" s="53" t="n">
        <f aca="false">IF(C29&gt;0,H29*ABS(C29),"")</f>
        <v>1064.25</v>
      </c>
      <c r="J29" s="54" t="n">
        <f aca="false">IF(C29=0,"",1)</f>
        <v>1</v>
      </c>
      <c r="K29" s="44" t="n">
        <f aca="false">IF(C29=0,"",G29-(D29+1))</f>
        <v>41.57</v>
      </c>
      <c r="L29" s="44" t="n">
        <f aca="false">IF(C29=0,"",C29*J29)</f>
        <v>25</v>
      </c>
      <c r="M29" s="55" t="n">
        <f aca="false">IF(C29=0,"",C29*K29)</f>
        <v>1039.25</v>
      </c>
      <c r="N29" s="56" t="n">
        <f aca="false">IF(C29=0,"",D29)</f>
        <v>18</v>
      </c>
      <c r="O29" s="57" t="n">
        <f aca="false">IF(C29=0,"",D29+1)</f>
        <v>19</v>
      </c>
      <c r="P29" s="44" t="n">
        <f aca="false">IF(C29=0,"",N29*C29)</f>
        <v>450</v>
      </c>
      <c r="Q29" s="58" t="n">
        <f aca="false">IF(C29=0,"",O29*C29)</f>
        <v>475</v>
      </c>
      <c r="R29" s="44"/>
      <c r="S29" s="59" t="n">
        <f aca="false">IF(C29=0,"",L29)</f>
        <v>25</v>
      </c>
      <c r="T29" s="60" t="n">
        <f aca="false">IF(C29=0,"",M29)</f>
        <v>1039.25</v>
      </c>
    </row>
    <row r="30" customFormat="false" ht="12.75" hidden="false" customHeight="false" outlineLevel="0" collapsed="false">
      <c r="A30" s="61" t="n">
        <f aca="false">$C$2</f>
        <v>37018</v>
      </c>
      <c r="B30" s="62" t="n">
        <v>24</v>
      </c>
      <c r="C30" s="63" t="n">
        <f aca="false">INDEX(DaMw,C34+23,0)</f>
        <v>25</v>
      </c>
      <c r="D30" s="76" t="n">
        <f aca="false">INDEX(DaPrice,C34+23,0)</f>
        <v>18</v>
      </c>
      <c r="E30" s="65" t="n">
        <f aca="false">VLOOKUP(A30,Gas,4,FALSE())</f>
        <v>4.76</v>
      </c>
      <c r="F30" s="65" t="n">
        <f aca="false">VLOOKUP(A30,Gas,5,FALSE())</f>
        <v>4.76</v>
      </c>
      <c r="G30" s="66" t="n">
        <f aca="false">VLOOKUP(A30,Bogey,2,FALSE())</f>
        <v>60.57</v>
      </c>
      <c r="H30" s="67" t="n">
        <f aca="false">IF(C30&gt;0,G30-D30,"")</f>
        <v>42.57</v>
      </c>
      <c r="I30" s="68" t="n">
        <f aca="false">IF(C30&gt;0,H30*ABS(C30),"")</f>
        <v>1064.25</v>
      </c>
      <c r="J30" s="69" t="n">
        <f aca="false">IF(C30=0,"",1)</f>
        <v>1</v>
      </c>
      <c r="K30" s="70" t="n">
        <f aca="false">IF(C30=0,"",G30-(D30+1))</f>
        <v>41.57</v>
      </c>
      <c r="L30" s="70" t="n">
        <f aca="false">IF(C30=0,"",C30*J30)</f>
        <v>25</v>
      </c>
      <c r="M30" s="71" t="n">
        <f aca="false">IF(C30=0,"",C30*K30)</f>
        <v>1039.25</v>
      </c>
      <c r="N30" s="72" t="n">
        <f aca="false">IF(C30=0,"",D30)</f>
        <v>18</v>
      </c>
      <c r="O30" s="73" t="n">
        <f aca="false">IF(C30=0,"",D30+1)</f>
        <v>19</v>
      </c>
      <c r="P30" s="70" t="n">
        <f aca="false">IF(C30=0,"",N30*C30)</f>
        <v>450</v>
      </c>
      <c r="Q30" s="74" t="n">
        <f aca="false">IF(C30=0,"",O30*C30)</f>
        <v>475</v>
      </c>
      <c r="R30" s="44"/>
      <c r="S30" s="75" t="n">
        <f aca="false">IF(C30=0,"",L30)</f>
        <v>25</v>
      </c>
      <c r="T30" s="76" t="n">
        <f aca="false">IF(C30=0,"",M30)</f>
        <v>1039.25</v>
      </c>
    </row>
    <row r="31" customFormat="false" ht="4.5" hidden="false" customHeight="true" outlineLevel="0" collapsed="false">
      <c r="E31" s="77"/>
      <c r="F31" s="77"/>
      <c r="G31" s="77"/>
      <c r="I31" s="78"/>
      <c r="Q31" s="2"/>
      <c r="S31" s="2"/>
    </row>
    <row r="32" customFormat="false" ht="12.75" hidden="false" customHeight="false" outlineLevel="0" collapsed="false">
      <c r="K32" s="79"/>
      <c r="L32" s="79"/>
      <c r="M32" s="79"/>
      <c r="N32" s="80"/>
      <c r="O32" s="79"/>
      <c r="P32" s="80"/>
      <c r="Q32" s="81" t="n">
        <f aca="false">SUM(Q7:Q30)</f>
        <v>29311.544</v>
      </c>
      <c r="R32" s="82"/>
      <c r="S32" s="81" t="n">
        <f aca="false">SUM(S7:S30)</f>
        <v>3301.544</v>
      </c>
      <c r="T32" s="81" t="n">
        <f aca="false">SUM(T7:T30)</f>
        <v>12966.316</v>
      </c>
    </row>
    <row r="34" customFormat="false" ht="12.75" hidden="true" customHeight="false" outlineLevel="0" collapsed="false">
      <c r="B34" s="0" t="s">
        <v>33</v>
      </c>
      <c r="C34" s="0" t="n">
        <f aca="false">MATCH(C2,DaDate,0)</f>
        <v>145</v>
      </c>
    </row>
    <row r="37" customFormat="false" ht="12.75" hidden="false" customHeight="false" outlineLevel="0" collapsed="false">
      <c r="A37" s="6"/>
      <c r="B37" s="6"/>
      <c r="C37" s="6"/>
      <c r="D37" s="7"/>
      <c r="E37" s="8" t="s">
        <v>2</v>
      </c>
      <c r="F37" s="8"/>
      <c r="G37" s="8"/>
      <c r="H37" s="9" t="s">
        <v>3</v>
      </c>
      <c r="I37" s="9"/>
      <c r="J37" s="9" t="s">
        <v>4</v>
      </c>
      <c r="K37" s="9"/>
      <c r="L37" s="9"/>
      <c r="M37" s="9"/>
      <c r="N37" s="10" t="s">
        <v>5</v>
      </c>
      <c r="O37" s="10"/>
      <c r="P37" s="10"/>
      <c r="Q37" s="10"/>
      <c r="R37" s="11"/>
      <c r="S37" s="10" t="s">
        <v>6</v>
      </c>
      <c r="T37" s="10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2.75" hidden="false" customHeight="false" outlineLevel="0" collapsed="false">
      <c r="B38" s="85" t="s">
        <v>35</v>
      </c>
      <c r="C38" s="85"/>
      <c r="D38" s="85"/>
      <c r="E38" s="13"/>
      <c r="F38" s="14"/>
      <c r="G38" s="15"/>
      <c r="H38" s="16" t="s">
        <v>7</v>
      </c>
      <c r="I38" s="17" t="s">
        <v>7</v>
      </c>
      <c r="J38" s="16" t="s">
        <v>8</v>
      </c>
      <c r="K38" s="18" t="s">
        <v>9</v>
      </c>
      <c r="L38" s="18" t="s">
        <v>8</v>
      </c>
      <c r="M38" s="17" t="s">
        <v>9</v>
      </c>
      <c r="N38" s="19" t="s">
        <v>10</v>
      </c>
      <c r="O38" s="19"/>
      <c r="P38" s="19" t="s">
        <v>11</v>
      </c>
      <c r="Q38" s="19"/>
      <c r="R38" s="11"/>
      <c r="S38" s="20"/>
      <c r="T38" s="21"/>
    </row>
    <row r="39" customFormat="false" ht="12.75" hidden="false" customHeight="false" outlineLevel="0" collapsed="false">
      <c r="E39" s="16" t="s">
        <v>12</v>
      </c>
      <c r="F39" s="18" t="s">
        <v>12</v>
      </c>
      <c r="G39" s="17" t="s">
        <v>13</v>
      </c>
      <c r="H39" s="16" t="s">
        <v>14</v>
      </c>
      <c r="I39" s="17" t="s">
        <v>14</v>
      </c>
      <c r="J39" s="22" t="s">
        <v>15</v>
      </c>
      <c r="K39" s="18" t="s">
        <v>16</v>
      </c>
      <c r="L39" s="18" t="s">
        <v>17</v>
      </c>
      <c r="M39" s="17" t="s">
        <v>18</v>
      </c>
      <c r="N39" s="23"/>
      <c r="O39" s="15"/>
      <c r="P39" s="22"/>
      <c r="Q39" s="24" t="s">
        <v>19</v>
      </c>
      <c r="R39" s="11"/>
      <c r="S39" s="16" t="s">
        <v>20</v>
      </c>
      <c r="T39" s="25" t="s">
        <v>21</v>
      </c>
    </row>
    <row r="40" customFormat="false" ht="12.75" hidden="false" customHeight="false" outlineLevel="0" collapsed="false">
      <c r="A40" s="26" t="s">
        <v>22</v>
      </c>
      <c r="B40" s="27" t="s">
        <v>23</v>
      </c>
      <c r="C40" s="27" t="s">
        <v>24</v>
      </c>
      <c r="D40" s="28" t="s">
        <v>25</v>
      </c>
      <c r="E40" s="22" t="s">
        <v>26</v>
      </c>
      <c r="F40" s="5" t="s">
        <v>27</v>
      </c>
      <c r="G40" s="25" t="s">
        <v>28</v>
      </c>
      <c r="H40" s="22" t="s">
        <v>29</v>
      </c>
      <c r="I40" s="25" t="s">
        <v>30</v>
      </c>
      <c r="J40" s="22" t="s">
        <v>10</v>
      </c>
      <c r="K40" s="5" t="s">
        <v>10</v>
      </c>
      <c r="L40" s="5" t="s">
        <v>30</v>
      </c>
      <c r="M40" s="25" t="s">
        <v>30</v>
      </c>
      <c r="N40" s="22" t="s">
        <v>20</v>
      </c>
      <c r="O40" s="25" t="s">
        <v>21</v>
      </c>
      <c r="P40" s="22" t="s">
        <v>20</v>
      </c>
      <c r="Q40" s="29" t="s">
        <v>21</v>
      </c>
      <c r="R40" s="5"/>
      <c r="S40" s="22" t="s">
        <v>31</v>
      </c>
      <c r="T40" s="25" t="s">
        <v>32</v>
      </c>
      <c r="U40" s="30"/>
      <c r="V40" s="30"/>
    </row>
    <row r="41" customFormat="false" ht="12.75" hidden="false" customHeight="false" outlineLevel="0" collapsed="false">
      <c r="A41" s="31" t="n">
        <f aca="false">$C$2</f>
        <v>37018</v>
      </c>
      <c r="B41" s="32" t="n">
        <v>1</v>
      </c>
      <c r="C41" s="33" t="str">
        <f aca="false">INDEX(RtMw,C68,0)</f>
        <v/>
      </c>
      <c r="D41" s="34" t="str">
        <f aca="false">INDEX(RTPrice,C68,0)</f>
        <v/>
      </c>
      <c r="E41" s="35" t="n">
        <f aca="false">VLOOKUP(A41,Gas,4,FALSE())</f>
        <v>4.76</v>
      </c>
      <c r="F41" s="35" t="n">
        <f aca="false">VLOOKUP(A41,Gas,5,FALSE())</f>
        <v>4.76</v>
      </c>
      <c r="G41" s="36" t="n">
        <f aca="false">VLOOKUP(A41,Bogey,2,FALSE())</f>
        <v>60.57</v>
      </c>
      <c r="H41" s="37" t="e">
        <f aca="false">IF(C41&gt;0,G41-D41,"")</f>
        <v>#VALUE!</v>
      </c>
      <c r="I41" s="38" t="e">
        <f aca="false">IF(C41&gt;0,H41*ABS(C41),"")</f>
        <v>#VALUE!</v>
      </c>
      <c r="J41" s="39" t="n">
        <f aca="false">IF(C41=0,"",1)</f>
        <v>1</v>
      </c>
      <c r="K41" s="40" t="e">
        <f aca="false">IF(C41=0,"",G41-(D41+1))</f>
        <v>#VALUE!</v>
      </c>
      <c r="L41" s="40" t="e">
        <f aca="false">IF(C41=0,"",C41*J41)</f>
        <v>#VALUE!</v>
      </c>
      <c r="M41" s="21" t="e">
        <f aca="false">IF(C41=0,"",C41*K41)</f>
        <v>#VALUE!</v>
      </c>
      <c r="N41" s="41" t="str">
        <f aca="false">IF(C41=0,"",D41)</f>
        <v/>
      </c>
      <c r="O41" s="42" t="e">
        <f aca="false">IF(C41=0,"",D41+1)</f>
        <v>#VALUE!</v>
      </c>
      <c r="P41" s="40" t="e">
        <f aca="false">IF(C41=0,"",N41*C41)</f>
        <v>#VALUE!</v>
      </c>
      <c r="Q41" s="43" t="e">
        <f aca="false">IF(C41=0,"",O41*C41)</f>
        <v>#VALUE!</v>
      </c>
      <c r="R41" s="44"/>
      <c r="S41" s="45" t="e">
        <f aca="false">IF(C41=0,"",L41)</f>
        <v>#VALUE!</v>
      </c>
      <c r="T41" s="46" t="e">
        <f aca="false">IF(C41=0,"",M41)</f>
        <v>#VALUE!</v>
      </c>
    </row>
    <row r="42" customFormat="false" ht="12.75" hidden="false" customHeight="false" outlineLevel="0" collapsed="false">
      <c r="A42" s="47" t="n">
        <f aca="false">$C$2</f>
        <v>37018</v>
      </c>
      <c r="B42" s="12" t="n">
        <v>2</v>
      </c>
      <c r="C42" s="48" t="str">
        <f aca="false">INDEX(RtMw,C68+1,0)</f>
        <v/>
      </c>
      <c r="D42" s="49" t="str">
        <f aca="false">INDEX(RTPrice,C68+1,0)</f>
        <v/>
      </c>
      <c r="E42" s="50" t="n">
        <f aca="false">VLOOKUP(A42,Gas,4,FALSE())</f>
        <v>4.76</v>
      </c>
      <c r="F42" s="50" t="n">
        <f aca="false">VLOOKUP(A42,Gas,5,FALSE())</f>
        <v>4.76</v>
      </c>
      <c r="G42" s="51" t="n">
        <f aca="false">VLOOKUP(A42,Bogey,2,FALSE())</f>
        <v>60.57</v>
      </c>
      <c r="H42" s="52" t="e">
        <f aca="false">IF(C42&gt;0,G42-D42,"")</f>
        <v>#VALUE!</v>
      </c>
      <c r="I42" s="53" t="e">
        <f aca="false">IF(C42&gt;0,H42*ABS(C42),"")</f>
        <v>#VALUE!</v>
      </c>
      <c r="J42" s="54" t="n">
        <f aca="false">IF(C42=0,"",1)</f>
        <v>1</v>
      </c>
      <c r="K42" s="44" t="e">
        <f aca="false">IF(C42=0,"",G42-(D42+1))</f>
        <v>#VALUE!</v>
      </c>
      <c r="L42" s="44" t="e">
        <f aca="false">IF(C42=0,"",C42*J42)</f>
        <v>#VALUE!</v>
      </c>
      <c r="M42" s="55" t="e">
        <f aca="false">IF(C42=0,"",C42*K42)</f>
        <v>#VALUE!</v>
      </c>
      <c r="N42" s="56" t="str">
        <f aca="false">IF(C42=0,"",D42)</f>
        <v/>
      </c>
      <c r="O42" s="57" t="e">
        <f aca="false">IF(C42=0,"",D42+1)</f>
        <v>#VALUE!</v>
      </c>
      <c r="P42" s="44" t="e">
        <f aca="false">IF(C42=0,"",N42*C42)</f>
        <v>#VALUE!</v>
      </c>
      <c r="Q42" s="58" t="e">
        <f aca="false">IF(C42=0,"",O42*C42)</f>
        <v>#VALUE!</v>
      </c>
      <c r="R42" s="44"/>
      <c r="S42" s="59" t="e">
        <f aca="false">IF(C42=0,"",L42)</f>
        <v>#VALUE!</v>
      </c>
      <c r="T42" s="60" t="e">
        <f aca="false">IF(C42=0,"",M42)</f>
        <v>#VALUE!</v>
      </c>
    </row>
    <row r="43" customFormat="false" ht="12.75" hidden="false" customHeight="false" outlineLevel="0" collapsed="false">
      <c r="A43" s="47" t="n">
        <f aca="false">$C$2</f>
        <v>37018</v>
      </c>
      <c r="B43" s="12" t="n">
        <v>3</v>
      </c>
      <c r="C43" s="48" t="str">
        <f aca="false">INDEX(RtMw,C68+2,0)</f>
        <v/>
      </c>
      <c r="D43" s="49" t="str">
        <f aca="false">INDEX(RTPrice,C68+2,0)</f>
        <v/>
      </c>
      <c r="E43" s="50" t="n">
        <f aca="false">VLOOKUP(A43,Gas,4,FALSE())</f>
        <v>4.76</v>
      </c>
      <c r="F43" s="50" t="n">
        <f aca="false">VLOOKUP(A43,Gas,5,FALSE())</f>
        <v>4.76</v>
      </c>
      <c r="G43" s="51" t="n">
        <f aca="false">VLOOKUP(A43,Bogey,2,FALSE())</f>
        <v>60.57</v>
      </c>
      <c r="H43" s="52" t="e">
        <f aca="false">IF(C43&gt;0,G43-D43,"")</f>
        <v>#VALUE!</v>
      </c>
      <c r="I43" s="53" t="e">
        <f aca="false">IF(C43&gt;0,H43*ABS(C43),"")</f>
        <v>#VALUE!</v>
      </c>
      <c r="J43" s="54" t="n">
        <f aca="false">IF(C43=0,"",1)</f>
        <v>1</v>
      </c>
      <c r="K43" s="44" t="e">
        <f aca="false">IF(C43=0,"",G43-(D43+1))</f>
        <v>#VALUE!</v>
      </c>
      <c r="L43" s="44" t="e">
        <f aca="false">IF(C43=0,"",C43*J43)</f>
        <v>#VALUE!</v>
      </c>
      <c r="M43" s="55" t="e">
        <f aca="false">IF(C43=0,"",C43*K43)</f>
        <v>#VALUE!</v>
      </c>
      <c r="N43" s="56" t="str">
        <f aca="false">IF(C43=0,"",D43)</f>
        <v/>
      </c>
      <c r="O43" s="57" t="e">
        <f aca="false">IF(C43=0,"",D43+1)</f>
        <v>#VALUE!</v>
      </c>
      <c r="P43" s="44" t="e">
        <f aca="false">IF(C43=0,"",N43*C43)</f>
        <v>#VALUE!</v>
      </c>
      <c r="Q43" s="58" t="e">
        <f aca="false">IF(C43=0,"",O43*C43)</f>
        <v>#VALUE!</v>
      </c>
      <c r="R43" s="44"/>
      <c r="S43" s="59" t="e">
        <f aca="false">IF(C43=0,"",L43)</f>
        <v>#VALUE!</v>
      </c>
      <c r="T43" s="60" t="e">
        <f aca="false">IF(C43=0,"",M43)</f>
        <v>#VALUE!</v>
      </c>
    </row>
    <row r="44" customFormat="false" ht="12.75" hidden="false" customHeight="false" outlineLevel="0" collapsed="false">
      <c r="A44" s="47" t="n">
        <f aca="false">$C$2</f>
        <v>37018</v>
      </c>
      <c r="B44" s="12" t="n">
        <v>4</v>
      </c>
      <c r="C44" s="48" t="str">
        <f aca="false">INDEX(RtMw,C68+3,0)</f>
        <v/>
      </c>
      <c r="D44" s="49" t="str">
        <f aca="false">INDEX(RTPrice,C68+3,0)</f>
        <v/>
      </c>
      <c r="E44" s="50" t="n">
        <f aca="false">VLOOKUP(A44,Gas,4,FALSE())</f>
        <v>4.76</v>
      </c>
      <c r="F44" s="50" t="n">
        <f aca="false">VLOOKUP(A44,Gas,5,FALSE())</f>
        <v>4.76</v>
      </c>
      <c r="G44" s="51" t="n">
        <f aca="false">VLOOKUP(A44,Bogey,2,FALSE())</f>
        <v>60.57</v>
      </c>
      <c r="H44" s="52" t="e">
        <f aca="false">IF(C44&gt;0,G44-D44,"")</f>
        <v>#VALUE!</v>
      </c>
      <c r="I44" s="53" t="e">
        <f aca="false">IF(C44&gt;0,H44*ABS(C44),"")</f>
        <v>#VALUE!</v>
      </c>
      <c r="J44" s="54" t="n">
        <f aca="false">IF(C44=0,"",1)</f>
        <v>1</v>
      </c>
      <c r="K44" s="44" t="e">
        <f aca="false">IF(C44=0,"",G44-(D44+1))</f>
        <v>#VALUE!</v>
      </c>
      <c r="L44" s="44" t="e">
        <f aca="false">IF(C44=0,"",C44*J44)</f>
        <v>#VALUE!</v>
      </c>
      <c r="M44" s="55" t="e">
        <f aca="false">IF(C44=0,"",C44*K44)</f>
        <v>#VALUE!</v>
      </c>
      <c r="N44" s="56" t="str">
        <f aca="false">IF(C44=0,"",D44)</f>
        <v/>
      </c>
      <c r="O44" s="57" t="e">
        <f aca="false">IF(C44=0,"",D44+1)</f>
        <v>#VALUE!</v>
      </c>
      <c r="P44" s="44" t="e">
        <f aca="false">IF(C44=0,"",N44*C44)</f>
        <v>#VALUE!</v>
      </c>
      <c r="Q44" s="58" t="e">
        <f aca="false">IF(C44=0,"",O44*C44)</f>
        <v>#VALUE!</v>
      </c>
      <c r="R44" s="44"/>
      <c r="S44" s="59" t="e">
        <f aca="false">IF(C44=0,"",L44)</f>
        <v>#VALUE!</v>
      </c>
      <c r="T44" s="60" t="e">
        <f aca="false">IF(C44=0,"",M44)</f>
        <v>#VALUE!</v>
      </c>
    </row>
    <row r="45" customFormat="false" ht="12.75" hidden="false" customHeight="false" outlineLevel="0" collapsed="false">
      <c r="A45" s="47" t="n">
        <f aca="false">$C$2</f>
        <v>37018</v>
      </c>
      <c r="B45" s="12" t="n">
        <v>5</v>
      </c>
      <c r="C45" s="48" t="str">
        <f aca="false">INDEX(RtMw,C68+4,0)</f>
        <v/>
      </c>
      <c r="D45" s="49" t="str">
        <f aca="false">INDEX(RTPrice,C68+4,0)</f>
        <v/>
      </c>
      <c r="E45" s="50" t="n">
        <f aca="false">VLOOKUP(A45,Gas,4,FALSE())</f>
        <v>4.76</v>
      </c>
      <c r="F45" s="50" t="n">
        <f aca="false">VLOOKUP(A45,Gas,5,FALSE())</f>
        <v>4.76</v>
      </c>
      <c r="G45" s="51" t="n">
        <f aca="false">VLOOKUP(A45,Bogey,2,FALSE())</f>
        <v>60.57</v>
      </c>
      <c r="H45" s="52" t="e">
        <f aca="false">IF(C45&gt;0,G45-D45,"")</f>
        <v>#VALUE!</v>
      </c>
      <c r="I45" s="53" t="e">
        <f aca="false">IF(C45&gt;0,H45*ABS(C45),"")</f>
        <v>#VALUE!</v>
      </c>
      <c r="J45" s="54" t="n">
        <f aca="false">IF(C45=0,"",1)</f>
        <v>1</v>
      </c>
      <c r="K45" s="44" t="e">
        <f aca="false">IF(C45=0,"",G45-(D45+1))</f>
        <v>#VALUE!</v>
      </c>
      <c r="L45" s="44" t="e">
        <f aca="false">IF(C45=0,"",C45*J45)</f>
        <v>#VALUE!</v>
      </c>
      <c r="M45" s="55" t="e">
        <f aca="false">IF(C45=0,"",C45*K45)</f>
        <v>#VALUE!</v>
      </c>
      <c r="N45" s="56" t="str">
        <f aca="false">IF(C45=0,"",D45)</f>
        <v/>
      </c>
      <c r="O45" s="57" t="e">
        <f aca="false">IF(C45=0,"",D45+1)</f>
        <v>#VALUE!</v>
      </c>
      <c r="P45" s="44" t="e">
        <f aca="false">IF(C45=0,"",N45*C45)</f>
        <v>#VALUE!</v>
      </c>
      <c r="Q45" s="58" t="e">
        <f aca="false">IF(C45=0,"",O45*C45)</f>
        <v>#VALUE!</v>
      </c>
      <c r="R45" s="44"/>
      <c r="S45" s="59" t="e">
        <f aca="false">IF(C45=0,"",L45)</f>
        <v>#VALUE!</v>
      </c>
      <c r="T45" s="60" t="e">
        <f aca="false">IF(C45=0,"",M45)</f>
        <v>#VALUE!</v>
      </c>
    </row>
    <row r="46" customFormat="false" ht="12.75" hidden="false" customHeight="false" outlineLevel="0" collapsed="false">
      <c r="A46" s="47" t="n">
        <f aca="false">$C$2</f>
        <v>37018</v>
      </c>
      <c r="B46" s="12" t="n">
        <v>6</v>
      </c>
      <c r="C46" s="48" t="str">
        <f aca="false">INDEX(RtMw,C68+5,0)</f>
        <v/>
      </c>
      <c r="D46" s="49" t="str">
        <f aca="false">INDEX(RTPrice,C68+5,0)</f>
        <v/>
      </c>
      <c r="E46" s="50" t="n">
        <f aca="false">VLOOKUP(A46,Gas,4,FALSE())</f>
        <v>4.76</v>
      </c>
      <c r="F46" s="50" t="n">
        <f aca="false">VLOOKUP(A46,Gas,5,FALSE())</f>
        <v>4.76</v>
      </c>
      <c r="G46" s="51" t="n">
        <f aca="false">VLOOKUP(A46,Bogey,2,FALSE())</f>
        <v>60.57</v>
      </c>
      <c r="H46" s="52" t="e">
        <f aca="false">IF(C46&gt;0,G46-D46,"")</f>
        <v>#VALUE!</v>
      </c>
      <c r="I46" s="53" t="e">
        <f aca="false">IF(C46&gt;0,H46*ABS(C46),"")</f>
        <v>#VALUE!</v>
      </c>
      <c r="J46" s="54" t="n">
        <f aca="false">IF(C46=0,"",1)</f>
        <v>1</v>
      </c>
      <c r="K46" s="44" t="e">
        <f aca="false">IF(C46=0,"",G46-(D46+1))</f>
        <v>#VALUE!</v>
      </c>
      <c r="L46" s="44" t="e">
        <f aca="false">IF(C46=0,"",C46*J46)</f>
        <v>#VALUE!</v>
      </c>
      <c r="M46" s="55" t="e">
        <f aca="false">IF(C46=0,"",C46*K46)</f>
        <v>#VALUE!</v>
      </c>
      <c r="N46" s="56" t="str">
        <f aca="false">IF(C46=0,"",D46)</f>
        <v/>
      </c>
      <c r="O46" s="57" t="e">
        <f aca="false">IF(C46=0,"",D46+1)</f>
        <v>#VALUE!</v>
      </c>
      <c r="P46" s="44" t="e">
        <f aca="false">IF(C46=0,"",N46*C46)</f>
        <v>#VALUE!</v>
      </c>
      <c r="Q46" s="58" t="e">
        <f aca="false">IF(C46=0,"",O46*C46)</f>
        <v>#VALUE!</v>
      </c>
      <c r="R46" s="44"/>
      <c r="S46" s="59" t="e">
        <f aca="false">IF(C46=0,"",L46)</f>
        <v>#VALUE!</v>
      </c>
      <c r="T46" s="60" t="e">
        <f aca="false">IF(C46=0,"",M46)</f>
        <v>#VALUE!</v>
      </c>
    </row>
    <row r="47" customFormat="false" ht="12.75" hidden="false" customHeight="false" outlineLevel="0" collapsed="false">
      <c r="A47" s="47" t="n">
        <f aca="false">$C$2</f>
        <v>37018</v>
      </c>
      <c r="B47" s="12" t="n">
        <v>7</v>
      </c>
      <c r="C47" s="48" t="str">
        <f aca="false">INDEX(RtMw,C68+6,0)</f>
        <v/>
      </c>
      <c r="D47" s="49" t="str">
        <f aca="false">INDEX(RTPrice,C68+6,0)</f>
        <v/>
      </c>
      <c r="E47" s="50" t="n">
        <f aca="false">VLOOKUP(A47,Gas,4,FALSE())</f>
        <v>4.76</v>
      </c>
      <c r="F47" s="50" t="n">
        <f aca="false">VLOOKUP(A47,Gas,5,FALSE())</f>
        <v>4.76</v>
      </c>
      <c r="G47" s="51" t="n">
        <f aca="false">VLOOKUP(A47,Bogey,2,FALSE())</f>
        <v>60.57</v>
      </c>
      <c r="H47" s="52" t="e">
        <f aca="false">IF(C47&gt;0,G47-D47,"")</f>
        <v>#VALUE!</v>
      </c>
      <c r="I47" s="53" t="e">
        <f aca="false">IF(C47&gt;0,H47*ABS(C47),"")</f>
        <v>#VALUE!</v>
      </c>
      <c r="J47" s="54" t="e">
        <f aca="false">IF($C47=0,"",$H47*0.4)</f>
        <v>#VALUE!</v>
      </c>
      <c r="K47" s="49" t="e">
        <f aca="false">IF($C47=0,"",$H47*0.6)</f>
        <v>#VALUE!</v>
      </c>
      <c r="L47" s="49" t="e">
        <f aca="false">IF(C47=0,"",J47*$C47)</f>
        <v>#VALUE!</v>
      </c>
      <c r="M47" s="55" t="e">
        <f aca="false">IF(C47=0,"",C47*K47)</f>
        <v>#VALUE!</v>
      </c>
      <c r="N47" s="56" t="str">
        <f aca="false">IF(C47=0,"",D47)</f>
        <v/>
      </c>
      <c r="O47" s="57" t="e">
        <f aca="false">IF(C47=0,"",D47+J47)</f>
        <v>#VALUE!</v>
      </c>
      <c r="P47" s="44" t="e">
        <f aca="false">IF(C47=0,"",N47*C47)</f>
        <v>#VALUE!</v>
      </c>
      <c r="Q47" s="58" t="e">
        <f aca="false">IF(C47=0,"",O47*C47)</f>
        <v>#VALUE!</v>
      </c>
      <c r="R47" s="44"/>
      <c r="S47" s="59" t="e">
        <f aca="false">IF(C47=0,"",L47)</f>
        <v>#VALUE!</v>
      </c>
      <c r="T47" s="60" t="e">
        <f aca="false">IF(C47=0,"",M47)</f>
        <v>#VALUE!</v>
      </c>
    </row>
    <row r="48" customFormat="false" ht="12.75" hidden="false" customHeight="false" outlineLevel="0" collapsed="false">
      <c r="A48" s="47" t="n">
        <f aca="false">$C$2</f>
        <v>37018</v>
      </c>
      <c r="B48" s="12" t="n">
        <v>8</v>
      </c>
      <c r="C48" s="48" t="str">
        <f aca="false">INDEX(RtMw,C68+7,0)</f>
        <v/>
      </c>
      <c r="D48" s="49" t="str">
        <f aca="false">INDEX(RTPrice,C68+7,0)</f>
        <v/>
      </c>
      <c r="E48" s="50" t="n">
        <f aca="false">VLOOKUP(A48,Gas,4,FALSE())</f>
        <v>4.76</v>
      </c>
      <c r="F48" s="50" t="n">
        <f aca="false">VLOOKUP(A48,Gas,5,FALSE())</f>
        <v>4.76</v>
      </c>
      <c r="G48" s="51" t="n">
        <f aca="false">VLOOKUP(A48,Bogey,2,FALSE())</f>
        <v>60.57</v>
      </c>
      <c r="H48" s="52" t="e">
        <f aca="false">IF(C48&gt;0,G48-D48,"")</f>
        <v>#VALUE!</v>
      </c>
      <c r="I48" s="53" t="e">
        <f aca="false">IF(C48&gt;0,H48*ABS(C48),"")</f>
        <v>#VALUE!</v>
      </c>
      <c r="J48" s="54" t="e">
        <f aca="false">IF($C48=0,"",$H48*0.4)</f>
        <v>#VALUE!</v>
      </c>
      <c r="K48" s="49" t="e">
        <f aca="false">IF($C48=0,"",$H48*0.6)</f>
        <v>#VALUE!</v>
      </c>
      <c r="L48" s="49" t="e">
        <f aca="false">IF(C48=0,"",J48*$C48)</f>
        <v>#VALUE!</v>
      </c>
      <c r="M48" s="55" t="e">
        <f aca="false">IF(C48=0,"",C48*K48)</f>
        <v>#VALUE!</v>
      </c>
      <c r="N48" s="56" t="str">
        <f aca="false">IF(C48=0,"",D48)</f>
        <v/>
      </c>
      <c r="O48" s="57" t="e">
        <f aca="false">IF(C48=0,"",D48+J48)</f>
        <v>#VALUE!</v>
      </c>
      <c r="P48" s="44" t="e">
        <f aca="false">IF(C48=0,"",N48*C48)</f>
        <v>#VALUE!</v>
      </c>
      <c r="Q48" s="58" t="e">
        <f aca="false">IF(C48=0,"",O48*C48)</f>
        <v>#VALUE!</v>
      </c>
      <c r="R48" s="44"/>
      <c r="S48" s="59" t="e">
        <f aca="false">IF(C48=0,"",L48)</f>
        <v>#VALUE!</v>
      </c>
      <c r="T48" s="60" t="e">
        <f aca="false">IF(C48=0,"",M48)</f>
        <v>#VALUE!</v>
      </c>
    </row>
    <row r="49" customFormat="false" ht="12.75" hidden="false" customHeight="false" outlineLevel="0" collapsed="false">
      <c r="A49" s="47" t="n">
        <f aca="false">$C$2</f>
        <v>37018</v>
      </c>
      <c r="B49" s="12" t="n">
        <v>9</v>
      </c>
      <c r="C49" s="48" t="str">
        <f aca="false">INDEX(RtMw,C68+8,0)</f>
        <v/>
      </c>
      <c r="D49" s="49" t="str">
        <f aca="false">INDEX(RTPrice,C68+8,0)</f>
        <v/>
      </c>
      <c r="E49" s="50" t="n">
        <f aca="false">VLOOKUP(A49,Gas,4,FALSE())</f>
        <v>4.76</v>
      </c>
      <c r="F49" s="50" t="n">
        <f aca="false">VLOOKUP(A49,Gas,5,FALSE())</f>
        <v>4.76</v>
      </c>
      <c r="G49" s="51" t="n">
        <f aca="false">VLOOKUP(A49,Bogey,2,FALSE())</f>
        <v>60.57</v>
      </c>
      <c r="H49" s="52" t="e">
        <f aca="false">IF(C49&gt;0,G49-D49,"")</f>
        <v>#VALUE!</v>
      </c>
      <c r="I49" s="53" t="e">
        <f aca="false">IF(C49&gt;0,H49*ABS(C49),"")</f>
        <v>#VALUE!</v>
      </c>
      <c r="J49" s="54" t="e">
        <f aca="false">IF($C49=0,"",$H49*0.4)</f>
        <v>#VALUE!</v>
      </c>
      <c r="K49" s="49" t="e">
        <f aca="false">IF($C49=0,"",$H49*0.6)</f>
        <v>#VALUE!</v>
      </c>
      <c r="L49" s="49" t="e">
        <f aca="false">IF(C49=0,"",J49*$C49)</f>
        <v>#VALUE!</v>
      </c>
      <c r="M49" s="55" t="e">
        <f aca="false">IF(C49=0,"",C49*K49)</f>
        <v>#VALUE!</v>
      </c>
      <c r="N49" s="56" t="str">
        <f aca="false">IF(C49=0,"",D49)</f>
        <v/>
      </c>
      <c r="O49" s="57" t="e">
        <f aca="false">IF(C49=0,"",D49+J49)</f>
        <v>#VALUE!</v>
      </c>
      <c r="P49" s="44" t="e">
        <f aca="false">IF(C49=0,"",N49*C49)</f>
        <v>#VALUE!</v>
      </c>
      <c r="Q49" s="58" t="e">
        <f aca="false">IF(C49=0,"",O49*C49)</f>
        <v>#VALUE!</v>
      </c>
      <c r="R49" s="44"/>
      <c r="S49" s="59" t="e">
        <f aca="false">IF(C49=0,"",L49)</f>
        <v>#VALUE!</v>
      </c>
      <c r="T49" s="60" t="e">
        <f aca="false">IF(C49=0,"",M49)</f>
        <v>#VALUE!</v>
      </c>
    </row>
    <row r="50" customFormat="false" ht="12.75" hidden="false" customHeight="false" outlineLevel="0" collapsed="false">
      <c r="A50" s="47" t="n">
        <f aca="false">$C$2</f>
        <v>37018</v>
      </c>
      <c r="B50" s="12" t="n">
        <v>10</v>
      </c>
      <c r="C50" s="48" t="str">
        <f aca="false">INDEX(RtMw,C68+9,0)</f>
        <v/>
      </c>
      <c r="D50" s="49" t="str">
        <f aca="false">INDEX(RTPrice,C68+9,0)</f>
        <v/>
      </c>
      <c r="E50" s="50" t="n">
        <f aca="false">VLOOKUP(A50,Gas,4,FALSE())</f>
        <v>4.76</v>
      </c>
      <c r="F50" s="50" t="n">
        <f aca="false">VLOOKUP(A50,Gas,5,FALSE())</f>
        <v>4.76</v>
      </c>
      <c r="G50" s="51" t="n">
        <f aca="false">VLOOKUP(A50,Bogey,2,FALSE())</f>
        <v>60.57</v>
      </c>
      <c r="H50" s="52" t="e">
        <f aca="false">IF(C50&gt;0,G50-D50,"")</f>
        <v>#VALUE!</v>
      </c>
      <c r="I50" s="53" t="e">
        <f aca="false">IF(C50&gt;0,H50*ABS(C50),"")</f>
        <v>#VALUE!</v>
      </c>
      <c r="J50" s="54" t="e">
        <f aca="false">IF($C50=0,"",$H50*0.4)</f>
        <v>#VALUE!</v>
      </c>
      <c r="K50" s="49" t="e">
        <f aca="false">IF($C50=0,"",$H50*0.6)</f>
        <v>#VALUE!</v>
      </c>
      <c r="L50" s="49" t="e">
        <f aca="false">IF(C50=0,"",J50*$C50)</f>
        <v>#VALUE!</v>
      </c>
      <c r="M50" s="55" t="e">
        <f aca="false">IF(C50=0,"",C50*K50)</f>
        <v>#VALUE!</v>
      </c>
      <c r="N50" s="56" t="str">
        <f aca="false">IF(C50=0,"",D50)</f>
        <v/>
      </c>
      <c r="O50" s="57" t="e">
        <f aca="false">IF(C50=0,"",D50+J50)</f>
        <v>#VALUE!</v>
      </c>
      <c r="P50" s="44" t="e">
        <f aca="false">IF(C50=0,"",N50*C50)</f>
        <v>#VALUE!</v>
      </c>
      <c r="Q50" s="58" t="e">
        <f aca="false">IF(C50=0,"",O50*C50)</f>
        <v>#VALUE!</v>
      </c>
      <c r="R50" s="44"/>
      <c r="S50" s="59" t="e">
        <f aca="false">IF(C50=0,"",L50)</f>
        <v>#VALUE!</v>
      </c>
      <c r="T50" s="60" t="e">
        <f aca="false">IF(C50=0,"",M50)</f>
        <v>#VALUE!</v>
      </c>
    </row>
    <row r="51" customFormat="false" ht="12.75" hidden="false" customHeight="false" outlineLevel="0" collapsed="false">
      <c r="A51" s="47" t="n">
        <f aca="false">$C$2</f>
        <v>37018</v>
      </c>
      <c r="B51" s="12" t="n">
        <v>11</v>
      </c>
      <c r="C51" s="48" t="str">
        <f aca="false">INDEX(RtMw,C68+10,0)</f>
        <v/>
      </c>
      <c r="D51" s="49" t="str">
        <f aca="false">INDEX(RTPrice,C68+10,0)</f>
        <v/>
      </c>
      <c r="E51" s="50" t="n">
        <f aca="false">VLOOKUP(A51,Gas,4,FALSE())</f>
        <v>4.76</v>
      </c>
      <c r="F51" s="50" t="n">
        <f aca="false">VLOOKUP(A51,Gas,5,FALSE())</f>
        <v>4.76</v>
      </c>
      <c r="G51" s="51" t="n">
        <f aca="false">VLOOKUP(A51,Bogey,2,FALSE())</f>
        <v>60.57</v>
      </c>
      <c r="H51" s="52" t="e">
        <f aca="false">IF(C51&gt;0,G51-D51,"")</f>
        <v>#VALUE!</v>
      </c>
      <c r="I51" s="53" t="e">
        <f aca="false">IF(C51&gt;0,H51*ABS(C51),"")</f>
        <v>#VALUE!</v>
      </c>
      <c r="J51" s="54" t="e">
        <f aca="false">IF($C51=0,"",$H51*0.4)</f>
        <v>#VALUE!</v>
      </c>
      <c r="K51" s="49" t="e">
        <f aca="false">IF($C51=0,"",$H51*0.6)</f>
        <v>#VALUE!</v>
      </c>
      <c r="L51" s="49" t="e">
        <f aca="false">IF(C51=0,"",J51*$C51)</f>
        <v>#VALUE!</v>
      </c>
      <c r="M51" s="55" t="e">
        <f aca="false">IF(C51=0,"",C51*K51)</f>
        <v>#VALUE!</v>
      </c>
      <c r="N51" s="56" t="str">
        <f aca="false">IF(C51=0,"",D51)</f>
        <v/>
      </c>
      <c r="O51" s="57" t="e">
        <f aca="false">IF(C51=0,"",D51+J51)</f>
        <v>#VALUE!</v>
      </c>
      <c r="P51" s="44" t="e">
        <f aca="false">IF(C51=0,"",N51*C51)</f>
        <v>#VALUE!</v>
      </c>
      <c r="Q51" s="58" t="e">
        <f aca="false">IF(C51=0,"",O51*C51)</f>
        <v>#VALUE!</v>
      </c>
      <c r="R51" s="44"/>
      <c r="S51" s="59" t="e">
        <f aca="false">IF(C51=0,"",L51)</f>
        <v>#VALUE!</v>
      </c>
      <c r="T51" s="60" t="e">
        <f aca="false">IF(C51=0,"",M51)</f>
        <v>#VALUE!</v>
      </c>
    </row>
    <row r="52" customFormat="false" ht="12.75" hidden="false" customHeight="false" outlineLevel="0" collapsed="false">
      <c r="A52" s="47" t="n">
        <f aca="false">$C$2</f>
        <v>37018</v>
      </c>
      <c r="B52" s="12" t="n">
        <v>12</v>
      </c>
      <c r="C52" s="48" t="str">
        <f aca="false">INDEX(RtMw,C68+11,0)</f>
        <v/>
      </c>
      <c r="D52" s="49" t="str">
        <f aca="false">INDEX(RTPrice,C68+11,0)</f>
        <v/>
      </c>
      <c r="E52" s="50" t="n">
        <f aca="false">VLOOKUP(A52,Gas,4,FALSE())</f>
        <v>4.76</v>
      </c>
      <c r="F52" s="50" t="n">
        <f aca="false">VLOOKUP(A52,Gas,5,FALSE())</f>
        <v>4.76</v>
      </c>
      <c r="G52" s="51" t="n">
        <f aca="false">VLOOKUP(A52,Bogey,2,FALSE())</f>
        <v>60.57</v>
      </c>
      <c r="H52" s="52" t="e">
        <f aca="false">IF(C52&gt;0,G52-D52,"")</f>
        <v>#VALUE!</v>
      </c>
      <c r="I52" s="53" t="e">
        <f aca="false">IF(C52&gt;0,H52*ABS(C52),"")</f>
        <v>#VALUE!</v>
      </c>
      <c r="J52" s="54" t="e">
        <f aca="false">IF($C52=0,"",$H52*0.4)</f>
        <v>#VALUE!</v>
      </c>
      <c r="K52" s="49" t="e">
        <f aca="false">IF($C52=0,"",$H52*0.6)</f>
        <v>#VALUE!</v>
      </c>
      <c r="L52" s="49" t="e">
        <f aca="false">IF(C52=0,"",J52*$C52)</f>
        <v>#VALUE!</v>
      </c>
      <c r="M52" s="55" t="e">
        <f aca="false">IF(C52=0,"",C52*K52)</f>
        <v>#VALUE!</v>
      </c>
      <c r="N52" s="56" t="str">
        <f aca="false">IF(C52=0,"",D52)</f>
        <v/>
      </c>
      <c r="O52" s="57" t="e">
        <f aca="false">IF(C52=0,"",D52+J52)</f>
        <v>#VALUE!</v>
      </c>
      <c r="P52" s="44" t="e">
        <f aca="false">IF(C52=0,"",N52*C52)</f>
        <v>#VALUE!</v>
      </c>
      <c r="Q52" s="58" t="e">
        <f aca="false">IF(C52=0,"",O52*C52)</f>
        <v>#VALUE!</v>
      </c>
      <c r="R52" s="44"/>
      <c r="S52" s="59" t="e">
        <f aca="false">IF(C52=0,"",L52)</f>
        <v>#VALUE!</v>
      </c>
      <c r="T52" s="60" t="e">
        <f aca="false">IF(C52=0,"",M52)</f>
        <v>#VALUE!</v>
      </c>
    </row>
    <row r="53" customFormat="false" ht="12.75" hidden="false" customHeight="false" outlineLevel="0" collapsed="false">
      <c r="A53" s="47" t="n">
        <f aca="false">$C$2</f>
        <v>37018</v>
      </c>
      <c r="B53" s="12" t="n">
        <v>13</v>
      </c>
      <c r="C53" s="48" t="str">
        <f aca="false">INDEX(RtMw,C68+12,0)</f>
        <v/>
      </c>
      <c r="D53" s="49" t="str">
        <f aca="false">INDEX(RTPrice,C68+12,0)</f>
        <v/>
      </c>
      <c r="E53" s="50" t="n">
        <f aca="false">VLOOKUP(A53,Gas,4,FALSE())</f>
        <v>4.76</v>
      </c>
      <c r="F53" s="50" t="n">
        <f aca="false">VLOOKUP(A53,Gas,5,FALSE())</f>
        <v>4.76</v>
      </c>
      <c r="G53" s="51" t="n">
        <f aca="false">VLOOKUP(A53,Bogey,2,FALSE())</f>
        <v>60.57</v>
      </c>
      <c r="H53" s="52" t="e">
        <f aca="false">IF(C53&gt;0,G53-D53,"")</f>
        <v>#VALUE!</v>
      </c>
      <c r="I53" s="53" t="e">
        <f aca="false">IF(C53&gt;0,H53*ABS(C53),"")</f>
        <v>#VALUE!</v>
      </c>
      <c r="J53" s="54" t="e">
        <f aca="false">IF($C53=0,"",$H53*0.4)</f>
        <v>#VALUE!</v>
      </c>
      <c r="K53" s="49" t="e">
        <f aca="false">IF($C53=0,"",$H53*0.6)</f>
        <v>#VALUE!</v>
      </c>
      <c r="L53" s="49" t="e">
        <f aca="false">IF(C53=0,"",J53*$C53)</f>
        <v>#VALUE!</v>
      </c>
      <c r="M53" s="55" t="e">
        <f aca="false">IF(C53=0,"",C53*K53)</f>
        <v>#VALUE!</v>
      </c>
      <c r="N53" s="56" t="str">
        <f aca="false">IF(C53=0,"",D53)</f>
        <v/>
      </c>
      <c r="O53" s="57" t="e">
        <f aca="false">IF(C53=0,"",D53+J53)</f>
        <v>#VALUE!</v>
      </c>
      <c r="P53" s="44" t="e">
        <f aca="false">IF(C53=0,"",N53*C53)</f>
        <v>#VALUE!</v>
      </c>
      <c r="Q53" s="58" t="e">
        <f aca="false">IF(C53=0,"",O53*C53)</f>
        <v>#VALUE!</v>
      </c>
      <c r="R53" s="44"/>
      <c r="S53" s="59" t="e">
        <f aca="false">IF(C53=0,"",L53)</f>
        <v>#VALUE!</v>
      </c>
      <c r="T53" s="60" t="e">
        <f aca="false">IF(C53=0,"",M53)</f>
        <v>#VALUE!</v>
      </c>
    </row>
    <row r="54" customFormat="false" ht="12.75" hidden="false" customHeight="false" outlineLevel="0" collapsed="false">
      <c r="A54" s="47" t="n">
        <f aca="false">$C$2</f>
        <v>37018</v>
      </c>
      <c r="B54" s="12" t="n">
        <v>14</v>
      </c>
      <c r="C54" s="48" t="str">
        <f aca="false">INDEX(RtMw,C68+13,0)</f>
        <v/>
      </c>
      <c r="D54" s="49" t="str">
        <f aca="false">INDEX(RTPrice,C68+13,0)</f>
        <v/>
      </c>
      <c r="E54" s="50" t="n">
        <f aca="false">VLOOKUP(A54,Gas,4,FALSE())</f>
        <v>4.76</v>
      </c>
      <c r="F54" s="50" t="n">
        <f aca="false">VLOOKUP(A54,Gas,5,FALSE())</f>
        <v>4.76</v>
      </c>
      <c r="G54" s="51" t="n">
        <f aca="false">VLOOKUP(A54,Bogey,2,FALSE())</f>
        <v>60.57</v>
      </c>
      <c r="H54" s="52" t="e">
        <f aca="false">IF(C54&gt;0,G54-D54,"")</f>
        <v>#VALUE!</v>
      </c>
      <c r="I54" s="53" t="e">
        <f aca="false">IF(C54&gt;0,H54*ABS(C54),"")</f>
        <v>#VALUE!</v>
      </c>
      <c r="J54" s="54" t="e">
        <f aca="false">IF($C54=0,"",$H54*0.4)</f>
        <v>#VALUE!</v>
      </c>
      <c r="K54" s="49" t="e">
        <f aca="false">IF($C54=0,"",$H54*0.6)</f>
        <v>#VALUE!</v>
      </c>
      <c r="L54" s="49" t="e">
        <f aca="false">IF(C54=0,"",J54*$C54)</f>
        <v>#VALUE!</v>
      </c>
      <c r="M54" s="55" t="e">
        <f aca="false">IF(C54=0,"",C54*K54)</f>
        <v>#VALUE!</v>
      </c>
      <c r="N54" s="56" t="str">
        <f aca="false">IF(C54=0,"",D54)</f>
        <v/>
      </c>
      <c r="O54" s="57" t="e">
        <f aca="false">IF(C54=0,"",D54+J54)</f>
        <v>#VALUE!</v>
      </c>
      <c r="P54" s="44" t="e">
        <f aca="false">IF(C54=0,"",N54*C54)</f>
        <v>#VALUE!</v>
      </c>
      <c r="Q54" s="58" t="e">
        <f aca="false">IF(C54=0,"",O54*C54)</f>
        <v>#VALUE!</v>
      </c>
      <c r="R54" s="44"/>
      <c r="S54" s="59" t="e">
        <f aca="false">IF(C54=0,"",L54)</f>
        <v>#VALUE!</v>
      </c>
      <c r="T54" s="60" t="e">
        <f aca="false">IF(C54=0,"",M54)</f>
        <v>#VALUE!</v>
      </c>
    </row>
    <row r="55" customFormat="false" ht="12.75" hidden="false" customHeight="false" outlineLevel="0" collapsed="false">
      <c r="A55" s="47" t="n">
        <f aca="false">$C$2</f>
        <v>37018</v>
      </c>
      <c r="B55" s="12" t="n">
        <v>15</v>
      </c>
      <c r="C55" s="48" t="str">
        <f aca="false">INDEX(RtMw,C68+14,0)</f>
        <v/>
      </c>
      <c r="D55" s="49" t="str">
        <f aca="false">INDEX(RTPrice,C68+14,0)</f>
        <v/>
      </c>
      <c r="E55" s="50" t="n">
        <f aca="false">VLOOKUP(A55,Gas,4,FALSE())</f>
        <v>4.76</v>
      </c>
      <c r="F55" s="50" t="n">
        <f aca="false">VLOOKUP(A55,Gas,5,FALSE())</f>
        <v>4.76</v>
      </c>
      <c r="G55" s="51" t="n">
        <f aca="false">VLOOKUP(A55,Bogey,2,FALSE())</f>
        <v>60.57</v>
      </c>
      <c r="H55" s="52" t="e">
        <f aca="false">IF(C55&gt;0,G55-D55,"")</f>
        <v>#VALUE!</v>
      </c>
      <c r="I55" s="53" t="e">
        <f aca="false">IF(C55&gt;0,H55*ABS(C55),"")</f>
        <v>#VALUE!</v>
      </c>
      <c r="J55" s="54" t="e">
        <f aca="false">IF($C55=0,"",$H55*0.4)</f>
        <v>#VALUE!</v>
      </c>
      <c r="K55" s="49" t="e">
        <f aca="false">IF($C55=0,"",$H55*0.6)</f>
        <v>#VALUE!</v>
      </c>
      <c r="L55" s="49" t="e">
        <f aca="false">IF(C55=0,"",J55*$C55)</f>
        <v>#VALUE!</v>
      </c>
      <c r="M55" s="55" t="e">
        <f aca="false">IF(C55=0,"",C55*K55)</f>
        <v>#VALUE!</v>
      </c>
      <c r="N55" s="56" t="str">
        <f aca="false">IF(C55=0,"",D55)</f>
        <v/>
      </c>
      <c r="O55" s="57"/>
      <c r="P55" s="44" t="e">
        <f aca="false">IF(C55=0,"",N55*C55)</f>
        <v>#VALUE!</v>
      </c>
      <c r="Q55" s="58" t="e">
        <f aca="false">IF(C55=0,"",O55*C55)</f>
        <v>#VALUE!</v>
      </c>
      <c r="R55" s="44"/>
      <c r="S55" s="59" t="e">
        <f aca="false">IF(C55=0,"",L55)</f>
        <v>#VALUE!</v>
      </c>
      <c r="T55" s="60" t="e">
        <f aca="false">IF(C55=0,"",M55)</f>
        <v>#VALUE!</v>
      </c>
    </row>
    <row r="56" customFormat="false" ht="12.75" hidden="false" customHeight="false" outlineLevel="0" collapsed="false">
      <c r="A56" s="47" t="n">
        <f aca="false">$C$2</f>
        <v>37018</v>
      </c>
      <c r="B56" s="12" t="n">
        <v>16</v>
      </c>
      <c r="C56" s="48" t="str">
        <f aca="false">INDEX(RtMw,C68+15,0)</f>
        <v/>
      </c>
      <c r="D56" s="49" t="str">
        <f aca="false">INDEX(RTPrice,C68+15,0)</f>
        <v/>
      </c>
      <c r="E56" s="50" t="n">
        <f aca="false">VLOOKUP(A56,Gas,4,FALSE())</f>
        <v>4.76</v>
      </c>
      <c r="F56" s="50" t="n">
        <f aca="false">VLOOKUP(A56,Gas,5,FALSE())</f>
        <v>4.76</v>
      </c>
      <c r="G56" s="51" t="n">
        <f aca="false">VLOOKUP(A56,Bogey,2,FALSE())</f>
        <v>60.57</v>
      </c>
      <c r="H56" s="52" t="e">
        <f aca="false">IF(C56&gt;0,G56-D56,"")</f>
        <v>#VALUE!</v>
      </c>
      <c r="I56" s="53" t="e">
        <f aca="false">IF(C56&gt;0,H56*ABS(C56),"")</f>
        <v>#VALUE!</v>
      </c>
      <c r="J56" s="54" t="e">
        <f aca="false">IF($C56=0,"",$H56*0.4)</f>
        <v>#VALUE!</v>
      </c>
      <c r="K56" s="49" t="e">
        <f aca="false">IF($C56=0,"",$H56*0.6)</f>
        <v>#VALUE!</v>
      </c>
      <c r="L56" s="49" t="e">
        <f aca="false">IF(C56=0,"",J56*$C56)</f>
        <v>#VALUE!</v>
      </c>
      <c r="M56" s="55" t="e">
        <f aca="false">IF(C56=0,"",C56*K56)</f>
        <v>#VALUE!</v>
      </c>
      <c r="N56" s="56" t="str">
        <f aca="false">IF(C56=0,"",D56)</f>
        <v/>
      </c>
      <c r="O56" s="57"/>
      <c r="P56" s="44" t="e">
        <f aca="false">IF(C56=0,"",N56*C56)</f>
        <v>#VALUE!</v>
      </c>
      <c r="Q56" s="58" t="e">
        <f aca="false">IF(C56=0,"",O56*C56)</f>
        <v>#VALUE!</v>
      </c>
      <c r="R56" s="44"/>
      <c r="S56" s="59" t="e">
        <f aca="false">IF(C56=0,"",L56)</f>
        <v>#VALUE!</v>
      </c>
      <c r="T56" s="60" t="e">
        <f aca="false">IF(C56=0,"",M56)</f>
        <v>#VALUE!</v>
      </c>
    </row>
    <row r="57" customFormat="false" ht="12.75" hidden="false" customHeight="false" outlineLevel="0" collapsed="false">
      <c r="A57" s="47" t="n">
        <f aca="false">$C$2</f>
        <v>37018</v>
      </c>
      <c r="B57" s="12" t="n">
        <v>17</v>
      </c>
      <c r="C57" s="48" t="str">
        <f aca="false">INDEX(RtMw,C68+16,0)</f>
        <v/>
      </c>
      <c r="D57" s="49" t="str">
        <f aca="false">INDEX(RTPrice,C68+16,0)</f>
        <v/>
      </c>
      <c r="E57" s="50" t="n">
        <f aca="false">VLOOKUP(A57,Gas,4,FALSE())</f>
        <v>4.76</v>
      </c>
      <c r="F57" s="50" t="n">
        <f aca="false">VLOOKUP(A57,Gas,5,FALSE())</f>
        <v>4.76</v>
      </c>
      <c r="G57" s="51" t="n">
        <f aca="false">VLOOKUP(A57,Bogey,2,FALSE())</f>
        <v>60.57</v>
      </c>
      <c r="H57" s="52" t="e">
        <f aca="false">IF(C57&gt;0,G57-D57,"")</f>
        <v>#VALUE!</v>
      </c>
      <c r="I57" s="53" t="e">
        <f aca="false">IF(C57&gt;0,H57*ABS(C57),"")</f>
        <v>#VALUE!</v>
      </c>
      <c r="J57" s="54" t="e">
        <f aca="false">IF($C57=0,"",$H57*0.4)</f>
        <v>#VALUE!</v>
      </c>
      <c r="K57" s="49" t="e">
        <f aca="false">IF($C57=0,"",$H57*0.6)</f>
        <v>#VALUE!</v>
      </c>
      <c r="L57" s="49" t="e">
        <f aca="false">IF(C57=0,"",J57*$C57)</f>
        <v>#VALUE!</v>
      </c>
      <c r="M57" s="55" t="e">
        <f aca="false">IF(C57=0,"",C57*K57)</f>
        <v>#VALUE!</v>
      </c>
      <c r="N57" s="56" t="str">
        <f aca="false">IF(C57=0,"",D57)</f>
        <v/>
      </c>
      <c r="O57" s="57"/>
      <c r="P57" s="44" t="e">
        <f aca="false">IF(C57=0,"",N57*C57)</f>
        <v>#VALUE!</v>
      </c>
      <c r="Q57" s="58" t="e">
        <f aca="false">IF(C57=0,"",O57*C57)</f>
        <v>#VALUE!</v>
      </c>
      <c r="R57" s="44"/>
      <c r="S57" s="59" t="e">
        <f aca="false">IF(C57=0,"",L57)</f>
        <v>#VALUE!</v>
      </c>
      <c r="T57" s="60" t="e">
        <f aca="false">IF(C57=0,"",M57)</f>
        <v>#VALUE!</v>
      </c>
    </row>
    <row r="58" customFormat="false" ht="12.75" hidden="false" customHeight="false" outlineLevel="0" collapsed="false">
      <c r="A58" s="47" t="n">
        <f aca="false">$C$2</f>
        <v>37018</v>
      </c>
      <c r="B58" s="12" t="n">
        <v>18</v>
      </c>
      <c r="C58" s="48" t="str">
        <f aca="false">INDEX(RtMw,C68+17,0)</f>
        <v/>
      </c>
      <c r="D58" s="49" t="str">
        <f aca="false">INDEX(RTPrice,C68+17,0)</f>
        <v/>
      </c>
      <c r="E58" s="50" t="n">
        <f aca="false">VLOOKUP(A58,Gas,4,FALSE())</f>
        <v>4.76</v>
      </c>
      <c r="F58" s="50" t="n">
        <f aca="false">VLOOKUP(A58,Gas,5,FALSE())</f>
        <v>4.76</v>
      </c>
      <c r="G58" s="51" t="n">
        <f aca="false">VLOOKUP(A58,Bogey,2,FALSE())</f>
        <v>60.57</v>
      </c>
      <c r="H58" s="52" t="e">
        <f aca="false">IF(C58&gt;0,G58-D58,"")</f>
        <v>#VALUE!</v>
      </c>
      <c r="I58" s="53" t="e">
        <f aca="false">IF(C58&gt;0,H58*ABS(C58),"")</f>
        <v>#VALUE!</v>
      </c>
      <c r="J58" s="54" t="e">
        <f aca="false">IF($C58=0,"",$H58*0.4)</f>
        <v>#VALUE!</v>
      </c>
      <c r="K58" s="49" t="e">
        <f aca="false">IF($C58=0,"",$H58*0.6)</f>
        <v>#VALUE!</v>
      </c>
      <c r="L58" s="49" t="e">
        <f aca="false">IF(C58=0,"",J58*$C58)</f>
        <v>#VALUE!</v>
      </c>
      <c r="M58" s="55" t="e">
        <f aca="false">IF(C58=0,"",C58*K58)</f>
        <v>#VALUE!</v>
      </c>
      <c r="N58" s="56" t="str">
        <f aca="false">IF(C58=0,"",D58)</f>
        <v/>
      </c>
      <c r="O58" s="57"/>
      <c r="P58" s="44" t="e">
        <f aca="false">IF(C58=0,"",N58*C58)</f>
        <v>#VALUE!</v>
      </c>
      <c r="Q58" s="58" t="e">
        <f aca="false">IF(C58=0,"",O58*C58)</f>
        <v>#VALUE!</v>
      </c>
      <c r="R58" s="44"/>
      <c r="S58" s="59" t="e">
        <f aca="false">IF(C58=0,"",L58)</f>
        <v>#VALUE!</v>
      </c>
      <c r="T58" s="60" t="e">
        <f aca="false">IF(C58=0,"",M58)</f>
        <v>#VALUE!</v>
      </c>
    </row>
    <row r="59" customFormat="false" ht="12.75" hidden="false" customHeight="false" outlineLevel="0" collapsed="false">
      <c r="A59" s="47" t="n">
        <f aca="false">$C$2</f>
        <v>37018</v>
      </c>
      <c r="B59" s="12" t="n">
        <v>19</v>
      </c>
      <c r="C59" s="48" t="str">
        <f aca="false">INDEX(RtMw,C68+18,0)</f>
        <v/>
      </c>
      <c r="D59" s="49" t="str">
        <f aca="false">INDEX(RTPrice,C68+18,0)</f>
        <v/>
      </c>
      <c r="E59" s="50" t="n">
        <f aca="false">VLOOKUP(A59,Gas,4,FALSE())</f>
        <v>4.76</v>
      </c>
      <c r="F59" s="50" t="n">
        <f aca="false">VLOOKUP(A59,Gas,5,FALSE())</f>
        <v>4.76</v>
      </c>
      <c r="G59" s="51" t="n">
        <f aca="false">VLOOKUP(A59,Bogey,2,FALSE())</f>
        <v>60.57</v>
      </c>
      <c r="H59" s="52" t="e">
        <f aca="false">IF(C59&gt;0,G59-D59,"")</f>
        <v>#VALUE!</v>
      </c>
      <c r="I59" s="53" t="e">
        <f aca="false">IF(C59&gt;0,H59*ABS(C59),"")</f>
        <v>#VALUE!</v>
      </c>
      <c r="J59" s="54" t="e">
        <f aca="false">IF($C59=0,"",$H59*0.4)</f>
        <v>#VALUE!</v>
      </c>
      <c r="K59" s="49" t="e">
        <f aca="false">IF($C59=0,"",$H59*0.6)</f>
        <v>#VALUE!</v>
      </c>
      <c r="L59" s="49" t="e">
        <f aca="false">IF(C59=0,"",J59*$C59)</f>
        <v>#VALUE!</v>
      </c>
      <c r="M59" s="55" t="e">
        <f aca="false">IF(C59=0,"",C59*K59)</f>
        <v>#VALUE!</v>
      </c>
      <c r="N59" s="56" t="str">
        <f aca="false">IF(C59=0,"",D59)</f>
        <v/>
      </c>
      <c r="O59" s="57"/>
      <c r="P59" s="44" t="e">
        <f aca="false">IF(C59=0,"",N59*C59)</f>
        <v>#VALUE!</v>
      </c>
      <c r="Q59" s="58" t="e">
        <f aca="false">IF(C59=0,"",O59*C59)</f>
        <v>#VALUE!</v>
      </c>
      <c r="R59" s="44"/>
      <c r="S59" s="59" t="e">
        <f aca="false">IF(C59=0,"",L59)</f>
        <v>#VALUE!</v>
      </c>
      <c r="T59" s="60" t="e">
        <f aca="false">IF(C59=0,"",M59)</f>
        <v>#VALUE!</v>
      </c>
    </row>
    <row r="60" customFormat="false" ht="12.75" hidden="false" customHeight="false" outlineLevel="0" collapsed="false">
      <c r="A60" s="47" t="n">
        <f aca="false">$C$2</f>
        <v>37018</v>
      </c>
      <c r="B60" s="12" t="n">
        <v>20</v>
      </c>
      <c r="C60" s="48" t="str">
        <f aca="false">INDEX(RtMw,C68+19,0)</f>
        <v/>
      </c>
      <c r="D60" s="49" t="str">
        <f aca="false">INDEX(RTPrice,C68+19,0)</f>
        <v/>
      </c>
      <c r="E60" s="50" t="n">
        <f aca="false">VLOOKUP(A60,Gas,4,FALSE())</f>
        <v>4.76</v>
      </c>
      <c r="F60" s="50" t="n">
        <f aca="false">VLOOKUP(A60,Gas,5,FALSE())</f>
        <v>4.76</v>
      </c>
      <c r="G60" s="51" t="n">
        <f aca="false">VLOOKUP(A60,Bogey,2,FALSE())</f>
        <v>60.57</v>
      </c>
      <c r="H60" s="52" t="e">
        <f aca="false">IF(C60&gt;0,G60-D60,"")</f>
        <v>#VALUE!</v>
      </c>
      <c r="I60" s="53" t="e">
        <f aca="false">IF(C60&gt;0,H60*ABS(C60),"")</f>
        <v>#VALUE!</v>
      </c>
      <c r="J60" s="54" t="e">
        <f aca="false">IF($C60=0,"",$H60*0.4)</f>
        <v>#VALUE!</v>
      </c>
      <c r="K60" s="49" t="e">
        <f aca="false">IF($C60=0,"",$H60*0.6)</f>
        <v>#VALUE!</v>
      </c>
      <c r="L60" s="49" t="e">
        <f aca="false">IF(C60=0,"",J60*$C60)</f>
        <v>#VALUE!</v>
      </c>
      <c r="M60" s="55" t="e">
        <f aca="false">IF(C60=0,"",C60*K60)</f>
        <v>#VALUE!</v>
      </c>
      <c r="N60" s="56" t="str">
        <f aca="false">IF(C60=0,"",D60)</f>
        <v/>
      </c>
      <c r="O60" s="57"/>
      <c r="P60" s="44" t="e">
        <f aca="false">IF(C60=0,"",N60*C60)</f>
        <v>#VALUE!</v>
      </c>
      <c r="Q60" s="58" t="e">
        <f aca="false">IF(C60=0,"",O60*C60)</f>
        <v>#VALUE!</v>
      </c>
      <c r="R60" s="44"/>
      <c r="S60" s="59" t="e">
        <f aca="false">IF(C60=0,"",L60)</f>
        <v>#VALUE!</v>
      </c>
      <c r="T60" s="60" t="e">
        <f aca="false">IF(C60=0,"",M60)</f>
        <v>#VALUE!</v>
      </c>
    </row>
    <row r="61" customFormat="false" ht="12.75" hidden="false" customHeight="false" outlineLevel="0" collapsed="false">
      <c r="A61" s="47" t="n">
        <f aca="false">$C$2</f>
        <v>37018</v>
      </c>
      <c r="B61" s="12" t="n">
        <v>21</v>
      </c>
      <c r="C61" s="48" t="str">
        <f aca="false">INDEX(RtMw,C68+20,0)</f>
        <v/>
      </c>
      <c r="D61" s="49" t="str">
        <f aca="false">INDEX(RTPrice,C68+20,0)</f>
        <v/>
      </c>
      <c r="E61" s="50" t="n">
        <f aca="false">VLOOKUP(A61,Gas,4,FALSE())</f>
        <v>4.76</v>
      </c>
      <c r="F61" s="50" t="n">
        <f aca="false">VLOOKUP(A61,Gas,5,FALSE())</f>
        <v>4.76</v>
      </c>
      <c r="G61" s="51" t="n">
        <f aca="false">VLOOKUP(A61,Bogey,2,FALSE())</f>
        <v>60.57</v>
      </c>
      <c r="H61" s="52" t="e">
        <f aca="false">IF(C61&gt;0,G61-D61,"")</f>
        <v>#VALUE!</v>
      </c>
      <c r="I61" s="53" t="e">
        <f aca="false">IF(C61&gt;0,H61*ABS(C61),"")</f>
        <v>#VALUE!</v>
      </c>
      <c r="J61" s="54" t="e">
        <f aca="false">IF($C61=0,"",$H61*0.4)</f>
        <v>#VALUE!</v>
      </c>
      <c r="K61" s="49" t="e">
        <f aca="false">IF($C61=0,"",$H61*0.6)</f>
        <v>#VALUE!</v>
      </c>
      <c r="L61" s="49" t="e">
        <f aca="false">IF(C61=0,"",J61*$C61)</f>
        <v>#VALUE!</v>
      </c>
      <c r="M61" s="55" t="e">
        <f aca="false">IF(C61=0,"",C61*K61)</f>
        <v>#VALUE!</v>
      </c>
      <c r="N61" s="56" t="str">
        <f aca="false">IF(C61=0,"",D61)</f>
        <v/>
      </c>
      <c r="O61" s="57"/>
      <c r="P61" s="44" t="e">
        <f aca="false">IF(C61=0,"",N61*C61)</f>
        <v>#VALUE!</v>
      </c>
      <c r="Q61" s="58" t="e">
        <f aca="false">IF(C61=0,"",O61*C61)</f>
        <v>#VALUE!</v>
      </c>
      <c r="R61" s="44"/>
      <c r="S61" s="59" t="e">
        <f aca="false">IF(C61=0,"",L61)</f>
        <v>#VALUE!</v>
      </c>
      <c r="T61" s="60" t="e">
        <f aca="false">IF(C61=0,"",M61)</f>
        <v>#VALUE!</v>
      </c>
    </row>
    <row r="62" customFormat="false" ht="12.75" hidden="false" customHeight="false" outlineLevel="0" collapsed="false">
      <c r="A62" s="47" t="n">
        <f aca="false">$C$2</f>
        <v>37018</v>
      </c>
      <c r="B62" s="12" t="n">
        <v>22</v>
      </c>
      <c r="C62" s="48" t="str">
        <f aca="false">INDEX(RtMw,C68+21,0)</f>
        <v/>
      </c>
      <c r="D62" s="49" t="str">
        <f aca="false">INDEX(RTPrice,C68+21,0)</f>
        <v/>
      </c>
      <c r="E62" s="50" t="n">
        <f aca="false">VLOOKUP(A62,Gas,4,FALSE())</f>
        <v>4.76</v>
      </c>
      <c r="F62" s="50" t="n">
        <f aca="false">VLOOKUP(A62,Gas,5,FALSE())</f>
        <v>4.76</v>
      </c>
      <c r="G62" s="51" t="n">
        <f aca="false">VLOOKUP(A62,Bogey,2,FALSE())</f>
        <v>60.57</v>
      </c>
      <c r="H62" s="52" t="e">
        <f aca="false">IF(C62&gt;0,G62-D62,"")</f>
        <v>#VALUE!</v>
      </c>
      <c r="I62" s="53" t="e">
        <f aca="false">IF(C62&gt;0,H62*ABS(C62),"")</f>
        <v>#VALUE!</v>
      </c>
      <c r="J62" s="54" t="e">
        <f aca="false">IF($C62=0,"",$H62*0.4)</f>
        <v>#VALUE!</v>
      </c>
      <c r="K62" s="49" t="e">
        <f aca="false">IF($C62=0,"",$H62*0.6)</f>
        <v>#VALUE!</v>
      </c>
      <c r="L62" s="49" t="e">
        <f aca="false">IF(C62=0,"",J62*$C62)</f>
        <v>#VALUE!</v>
      </c>
      <c r="M62" s="55" t="e">
        <f aca="false">IF(C62=0,"",C62*K62)</f>
        <v>#VALUE!</v>
      </c>
      <c r="N62" s="56" t="str">
        <f aca="false">IF(C62=0,"",D62)</f>
        <v/>
      </c>
      <c r="O62" s="57"/>
      <c r="P62" s="44" t="e">
        <f aca="false">IF(C62=0,"",N62*C62)</f>
        <v>#VALUE!</v>
      </c>
      <c r="Q62" s="58" t="e">
        <f aca="false">IF(C62=0,"",O62*C62)</f>
        <v>#VALUE!</v>
      </c>
      <c r="R62" s="44"/>
      <c r="S62" s="59" t="e">
        <f aca="false">IF(C62=0,"",L62)</f>
        <v>#VALUE!</v>
      </c>
      <c r="T62" s="60" t="e">
        <f aca="false">IF(C62=0,"",M62)</f>
        <v>#VALUE!</v>
      </c>
    </row>
    <row r="63" customFormat="false" ht="12.75" hidden="false" customHeight="false" outlineLevel="0" collapsed="false">
      <c r="A63" s="47" t="n">
        <f aca="false">$C$2</f>
        <v>37018</v>
      </c>
      <c r="B63" s="12" t="n">
        <v>23</v>
      </c>
      <c r="C63" s="48" t="n">
        <f aca="false">INDEX(RtMw,C68+22,0)</f>
        <v>6</v>
      </c>
      <c r="D63" s="49" t="n">
        <f aca="false">INDEX(RTPrice,C68+22,0)</f>
        <v>33</v>
      </c>
      <c r="E63" s="50" t="n">
        <f aca="false">VLOOKUP(A63,Gas,4,FALSE())</f>
        <v>4.76</v>
      </c>
      <c r="F63" s="50" t="n">
        <f aca="false">VLOOKUP(A63,Gas,5,FALSE())</f>
        <v>4.76</v>
      </c>
      <c r="G63" s="51" t="n">
        <f aca="false">VLOOKUP(A63,Bogey,2,FALSE())</f>
        <v>60.57</v>
      </c>
      <c r="H63" s="52" t="n">
        <f aca="false">IF(C63&gt;0,G63-D63,"")</f>
        <v>27.57</v>
      </c>
      <c r="I63" s="53" t="n">
        <f aca="false">IF(C63&gt;0,H63*ABS(C63),"")</f>
        <v>165.42</v>
      </c>
      <c r="J63" s="54" t="n">
        <f aca="false">IF(C63=0,"",1)</f>
        <v>1</v>
      </c>
      <c r="K63" s="44" t="n">
        <f aca="false">IF(C63=0,"",G63-(D63+1))</f>
        <v>26.57</v>
      </c>
      <c r="L63" s="44" t="n">
        <f aca="false">IF(C63=0,"",C63*J63)</f>
        <v>6</v>
      </c>
      <c r="M63" s="55" t="n">
        <f aca="false">IF(C63=0,"",C63*K63)</f>
        <v>159.42</v>
      </c>
      <c r="N63" s="56" t="n">
        <f aca="false">IF(C63=0,"",D63)</f>
        <v>33</v>
      </c>
      <c r="O63" s="57" t="n">
        <f aca="false">IF(C63=0,"",D63+1)</f>
        <v>34</v>
      </c>
      <c r="P63" s="44" t="n">
        <f aca="false">IF(C63=0,"",N63*C63)</f>
        <v>198</v>
      </c>
      <c r="Q63" s="58" t="n">
        <f aca="false">IF(C63=0,"",O63*C63)</f>
        <v>204</v>
      </c>
      <c r="R63" s="44"/>
      <c r="S63" s="59" t="n">
        <f aca="false">IF(C63=0,"",L63)</f>
        <v>6</v>
      </c>
      <c r="T63" s="60" t="n">
        <f aca="false">IF(C63=0,"",M63)</f>
        <v>159.42</v>
      </c>
    </row>
    <row r="64" customFormat="false" ht="12.75" hidden="false" customHeight="false" outlineLevel="0" collapsed="false">
      <c r="A64" s="61" t="n">
        <f aca="false">$C$2</f>
        <v>37018</v>
      </c>
      <c r="B64" s="62" t="n">
        <v>24</v>
      </c>
      <c r="C64" s="63" t="n">
        <f aca="false">INDEX(RtMw,C68+23,0)</f>
        <v>5</v>
      </c>
      <c r="D64" s="64" t="n">
        <f aca="false">INDEX(RTPrice,C68+23,0)</f>
        <v>29</v>
      </c>
      <c r="E64" s="65" t="n">
        <f aca="false">VLOOKUP(A64,Gas,4,FALSE())</f>
        <v>4.76</v>
      </c>
      <c r="F64" s="65" t="n">
        <f aca="false">VLOOKUP(A64,Gas,5,FALSE())</f>
        <v>4.76</v>
      </c>
      <c r="G64" s="66" t="n">
        <f aca="false">VLOOKUP(A64,Bogey,2,FALSE())</f>
        <v>60.57</v>
      </c>
      <c r="H64" s="67" t="n">
        <f aca="false">IF(C64&gt;0,G64-D64,"")</f>
        <v>31.57</v>
      </c>
      <c r="I64" s="68" t="n">
        <f aca="false">IF(C64&gt;0,H64*ABS(C64),"")</f>
        <v>157.85</v>
      </c>
      <c r="J64" s="69" t="n">
        <f aca="false">IF(C64=0,"",1)</f>
        <v>1</v>
      </c>
      <c r="K64" s="70" t="n">
        <f aca="false">IF(C64=0,"",G64-(D64+1))</f>
        <v>30.57</v>
      </c>
      <c r="L64" s="70" t="n">
        <f aca="false">IF(C64=0,"",C64*J64)</f>
        <v>5</v>
      </c>
      <c r="M64" s="71" t="n">
        <f aca="false">IF(C64=0,"",C64*K64)</f>
        <v>152.85</v>
      </c>
      <c r="N64" s="72" t="n">
        <f aca="false">IF(C64=0,"",D64)</f>
        <v>29</v>
      </c>
      <c r="O64" s="73" t="n">
        <f aca="false">IF(C64=0,"",D64+1)</f>
        <v>30</v>
      </c>
      <c r="P64" s="70" t="n">
        <f aca="false">IF(C64=0,"",N64*C64)</f>
        <v>145</v>
      </c>
      <c r="Q64" s="74" t="n">
        <f aca="false">IF(C64=0,"",O64*C64)</f>
        <v>150</v>
      </c>
      <c r="R64" s="44"/>
      <c r="S64" s="75" t="n">
        <f aca="false">IF(C64=0,"",L64)</f>
        <v>5</v>
      </c>
      <c r="T64" s="76" t="n">
        <f aca="false">IF(C64=0,"",M64)</f>
        <v>152.85</v>
      </c>
    </row>
    <row r="66" customFormat="false" ht="12.75" hidden="false" customHeight="false" outlineLevel="0" collapsed="false">
      <c r="Q66" s="78" t="e">
        <f aca="false">SUM(Q41:Q65)</f>
        <v>#VALUE!</v>
      </c>
    </row>
    <row r="68" customFormat="false" ht="12.75" hidden="true" customHeight="false" outlineLevel="0" collapsed="false">
      <c r="B68" s="0" t="s">
        <v>33</v>
      </c>
      <c r="C68" s="0" t="n">
        <f aca="false">MATCH(C2,RTDate,0)</f>
        <v>145</v>
      </c>
    </row>
  </sheetData>
  <mergeCells count="18">
    <mergeCell ref="A1:C1"/>
    <mergeCell ref="A2:B2"/>
    <mergeCell ref="E3:G3"/>
    <mergeCell ref="H3:I3"/>
    <mergeCell ref="J3:M3"/>
    <mergeCell ref="N3:Q3"/>
    <mergeCell ref="S3:T3"/>
    <mergeCell ref="B4:D4"/>
    <mergeCell ref="N4:O4"/>
    <mergeCell ref="P4:Q4"/>
    <mergeCell ref="E37:G37"/>
    <mergeCell ref="H37:I37"/>
    <mergeCell ref="J37:M37"/>
    <mergeCell ref="N37:Q37"/>
    <mergeCell ref="S37:T37"/>
    <mergeCell ref="B38:D38"/>
    <mergeCell ref="N38:O38"/>
    <mergeCell ref="P38:Q38"/>
  </mergeCells>
  <conditionalFormatting sqref="K5:K12 H3:H5 E3:G6 I3:I30 J3:J12 L5:M30 J29:K30 K4:N4 A1:C2 D31:G36 I31:M36 N5:N36 P65:IV65536 P4:T36 U1:IV64 K39:K46 H8:H39 A39:D64 E37:G40 I37:I64 J37:J46 J63:K64 K38:N38 D5:D30 L39:N64 A5:C36 P38:T64 A65:N65536 D1:D3 D37 H42:H64">
    <cfRule type="cellIs" priority="2" operator="equal" aboveAverage="0" equalAverage="0" bottom="0" percent="0" rank="0" text="" dxfId="6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9.9921875" defaultRowHeight="12.75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3" min="3" style="0" width="11.85"/>
    <col collapsed="false" customWidth="true" hidden="false" outlineLevel="0" max="4" min="4" style="1" width="23.99"/>
    <col collapsed="false" customWidth="true" hidden="false" outlineLevel="0" max="7" min="5" style="0" width="14.41"/>
    <col collapsed="false" customWidth="true" hidden="false" outlineLevel="0" max="8" min="8" style="0" width="28.99"/>
    <col collapsed="false" customWidth="true" hidden="false" outlineLevel="0" max="9" min="9" style="0" width="26.56"/>
    <col collapsed="false" customWidth="true" hidden="false" outlineLevel="0" max="10" min="10" style="0" width="17.14"/>
    <col collapsed="false" customWidth="true" hidden="false" outlineLevel="0" max="11" min="11" style="0" width="14.28"/>
    <col collapsed="false" customWidth="true" hidden="false" outlineLevel="0" max="13" min="12" style="0" width="26.56"/>
    <col collapsed="false" customWidth="true" hidden="false" outlineLevel="0" max="14" min="14" style="2" width="15.28"/>
    <col collapsed="false" customWidth="true" hidden="false" outlineLevel="0" max="15" min="15" style="0" width="15.28"/>
    <col collapsed="false" customWidth="true" hidden="false" outlineLevel="0" max="16" min="16" style="2" width="15.28"/>
    <col collapsed="false" customWidth="true" hidden="false" outlineLevel="0" max="17" min="17" style="0" width="17.56"/>
    <col collapsed="false" customWidth="true" hidden="false" outlineLevel="0" max="18" min="18" style="2" width="2.56"/>
    <col collapsed="false" customWidth="true" hidden="false" outlineLevel="0" max="19" min="19" style="0" width="12.42"/>
    <col collapsed="false" customWidth="true" hidden="false" outlineLevel="0" max="20" min="20" style="1" width="14.56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3" t="s">
        <v>1</v>
      </c>
      <c r="B2" s="3"/>
      <c r="C2" s="83" t="n">
        <v>37019</v>
      </c>
      <c r="D2" s="5"/>
    </row>
    <row r="3" customFormat="false" ht="12.75" hidden="false" customHeight="false" outlineLevel="0" collapsed="false">
      <c r="A3" s="6"/>
      <c r="B3" s="6"/>
      <c r="C3" s="84" t="n">
        <v>37020</v>
      </c>
      <c r="D3" s="7"/>
      <c r="E3" s="8" t="s">
        <v>2</v>
      </c>
      <c r="F3" s="8"/>
      <c r="G3" s="8"/>
      <c r="H3" s="9" t="s">
        <v>3</v>
      </c>
      <c r="I3" s="9"/>
      <c r="J3" s="9" t="s">
        <v>4</v>
      </c>
      <c r="K3" s="9"/>
      <c r="L3" s="9"/>
      <c r="M3" s="9"/>
      <c r="N3" s="10" t="s">
        <v>5</v>
      </c>
      <c r="O3" s="10"/>
      <c r="P3" s="10"/>
      <c r="Q3" s="10"/>
      <c r="R3" s="11"/>
      <c r="S3" s="10" t="s">
        <v>6</v>
      </c>
      <c r="T3" s="10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B4" s="85" t="s">
        <v>34</v>
      </c>
      <c r="C4" s="85"/>
      <c r="D4" s="85"/>
      <c r="E4" s="13"/>
      <c r="F4" s="14"/>
      <c r="G4" s="15"/>
      <c r="H4" s="16" t="s">
        <v>7</v>
      </c>
      <c r="I4" s="17" t="s">
        <v>7</v>
      </c>
      <c r="J4" s="16" t="s">
        <v>8</v>
      </c>
      <c r="K4" s="18" t="s">
        <v>9</v>
      </c>
      <c r="L4" s="18" t="s">
        <v>8</v>
      </c>
      <c r="M4" s="17" t="s">
        <v>9</v>
      </c>
      <c r="N4" s="19" t="s">
        <v>10</v>
      </c>
      <c r="O4" s="19"/>
      <c r="P4" s="19" t="s">
        <v>11</v>
      </c>
      <c r="Q4" s="19"/>
      <c r="R4" s="11"/>
      <c r="S4" s="20"/>
      <c r="T4" s="21"/>
    </row>
    <row r="5" customFormat="false" ht="12.75" hidden="false" customHeight="false" outlineLevel="0" collapsed="false">
      <c r="E5" s="16" t="s">
        <v>12</v>
      </c>
      <c r="F5" s="18" t="s">
        <v>12</v>
      </c>
      <c r="G5" s="17" t="s">
        <v>13</v>
      </c>
      <c r="H5" s="16" t="s">
        <v>14</v>
      </c>
      <c r="I5" s="17" t="s">
        <v>14</v>
      </c>
      <c r="J5" s="22" t="s">
        <v>15</v>
      </c>
      <c r="K5" s="18" t="s">
        <v>16</v>
      </c>
      <c r="L5" s="18" t="s">
        <v>17</v>
      </c>
      <c r="M5" s="17" t="s">
        <v>18</v>
      </c>
      <c r="N5" s="23"/>
      <c r="O5" s="15"/>
      <c r="P5" s="22"/>
      <c r="Q5" s="24" t="s">
        <v>19</v>
      </c>
      <c r="R5" s="11"/>
      <c r="S5" s="16" t="s">
        <v>20</v>
      </c>
      <c r="T5" s="25" t="s">
        <v>21</v>
      </c>
    </row>
    <row r="6" customFormat="false" ht="12.75" hidden="false" customHeight="false" outlineLevel="0" collapsed="false">
      <c r="A6" s="26" t="s">
        <v>22</v>
      </c>
      <c r="B6" s="27" t="s">
        <v>23</v>
      </c>
      <c r="C6" s="27" t="s">
        <v>24</v>
      </c>
      <c r="D6" s="28" t="s">
        <v>25</v>
      </c>
      <c r="E6" s="22" t="s">
        <v>26</v>
      </c>
      <c r="F6" s="5" t="s">
        <v>27</v>
      </c>
      <c r="G6" s="25" t="s">
        <v>28</v>
      </c>
      <c r="H6" s="22" t="s">
        <v>29</v>
      </c>
      <c r="I6" s="25" t="s">
        <v>30</v>
      </c>
      <c r="J6" s="22" t="s">
        <v>10</v>
      </c>
      <c r="K6" s="5" t="s">
        <v>10</v>
      </c>
      <c r="L6" s="5" t="s">
        <v>30</v>
      </c>
      <c r="M6" s="25" t="s">
        <v>30</v>
      </c>
      <c r="N6" s="22" t="s">
        <v>20</v>
      </c>
      <c r="O6" s="25" t="s">
        <v>21</v>
      </c>
      <c r="P6" s="22" t="s">
        <v>20</v>
      </c>
      <c r="Q6" s="29" t="s">
        <v>21</v>
      </c>
      <c r="R6" s="5"/>
      <c r="S6" s="22" t="s">
        <v>31</v>
      </c>
      <c r="T6" s="25" t="s">
        <v>32</v>
      </c>
      <c r="U6" s="30"/>
      <c r="V6" s="30"/>
    </row>
    <row r="7" customFormat="false" ht="12.75" hidden="false" customHeight="false" outlineLevel="0" collapsed="false">
      <c r="A7" s="31" t="n">
        <f aca="false">$C$2</f>
        <v>37019</v>
      </c>
      <c r="B7" s="32" t="n">
        <v>1</v>
      </c>
      <c r="C7" s="33" t="n">
        <f aca="false">INDEX(DaMw,C34,0)</f>
        <v>15</v>
      </c>
      <c r="D7" s="46" t="n">
        <f aca="false">INDEX(DaPrice,C34,0)</f>
        <v>17</v>
      </c>
      <c r="E7" s="35" t="n">
        <f aca="false">VLOOKUP(A7,Gas,4,FALSE())</f>
        <v>4.65</v>
      </c>
      <c r="F7" s="35" t="n">
        <f aca="false">VLOOKUP(A7,Gas,5,FALSE())</f>
        <v>4.65</v>
      </c>
      <c r="G7" s="36" t="n">
        <f aca="false">VLOOKUP(A7,Bogey,2,FALSE())</f>
        <v>59.5</v>
      </c>
      <c r="H7" s="37" t="n">
        <f aca="false">IF(C7&gt;0,G7-D7,"")</f>
        <v>42.5</v>
      </c>
      <c r="I7" s="38" t="n">
        <f aca="false">IF(C7&gt;0,H7*ABS(C7),"")</f>
        <v>637.5</v>
      </c>
      <c r="J7" s="39" t="n">
        <f aca="false">IF(C7=0,"",1)</f>
        <v>1</v>
      </c>
      <c r="K7" s="40" t="n">
        <f aca="false">IF(C7=0,"",G7-(D7+1))</f>
        <v>41.5</v>
      </c>
      <c r="L7" s="40" t="n">
        <f aca="false">IF(C7=0,"",C7*J7)</f>
        <v>15</v>
      </c>
      <c r="M7" s="21" t="n">
        <f aca="false">IF(C7=0,"",C7*K7)</f>
        <v>622.5</v>
      </c>
      <c r="N7" s="41" t="n">
        <f aca="false">IF(C7=0,"",D7)</f>
        <v>17</v>
      </c>
      <c r="O7" s="42" t="n">
        <f aca="false">IF(C7=0,"",D7+1)</f>
        <v>18</v>
      </c>
      <c r="P7" s="40" t="n">
        <f aca="false">IF(C7=0,"",N7*C7)</f>
        <v>255</v>
      </c>
      <c r="Q7" s="43" t="n">
        <f aca="false">IF(C7=0,"",O7*C7)</f>
        <v>270</v>
      </c>
      <c r="R7" s="44"/>
      <c r="S7" s="45" t="n">
        <f aca="false">IF(C7=0,"",L7)</f>
        <v>15</v>
      </c>
      <c r="T7" s="46" t="n">
        <f aca="false">IF(C7=0,"",M7)</f>
        <v>622.5</v>
      </c>
    </row>
    <row r="8" customFormat="false" ht="12.75" hidden="false" customHeight="false" outlineLevel="0" collapsed="false">
      <c r="A8" s="47" t="n">
        <f aca="false">$C$2</f>
        <v>37019</v>
      </c>
      <c r="B8" s="12" t="n">
        <v>2</v>
      </c>
      <c r="C8" s="48" t="n">
        <f aca="false">INDEX(DaMw,C34+1,0)</f>
        <v>15</v>
      </c>
      <c r="D8" s="60" t="n">
        <f aca="false">INDEX(DaPrice,C34+1,0)</f>
        <v>17</v>
      </c>
      <c r="E8" s="50" t="n">
        <f aca="false">VLOOKUP(A8,Gas,4,FALSE())</f>
        <v>4.65</v>
      </c>
      <c r="F8" s="50" t="n">
        <f aca="false">VLOOKUP(A8,Gas,5,FALSE())</f>
        <v>4.65</v>
      </c>
      <c r="G8" s="51" t="n">
        <f aca="false">VLOOKUP(A8,Bogey,2,FALSE())</f>
        <v>59.5</v>
      </c>
      <c r="H8" s="52" t="n">
        <f aca="false">IF(C8&gt;0,G8-D8,"")</f>
        <v>42.5</v>
      </c>
      <c r="I8" s="53" t="n">
        <f aca="false">IF(C8&gt;0,H8*ABS(C8),"")</f>
        <v>637.5</v>
      </c>
      <c r="J8" s="54" t="n">
        <f aca="false">IF(C8=0,"",1)</f>
        <v>1</v>
      </c>
      <c r="K8" s="44" t="n">
        <f aca="false">IF(C8=0,"",G8-(D8+1))</f>
        <v>41.5</v>
      </c>
      <c r="L8" s="44" t="n">
        <f aca="false">IF(C8=0,"",C8*J8)</f>
        <v>15</v>
      </c>
      <c r="M8" s="55" t="n">
        <f aca="false">IF(C8=0,"",C8*K8)</f>
        <v>622.5</v>
      </c>
      <c r="N8" s="56" t="n">
        <f aca="false">IF(C8=0,"",D8)</f>
        <v>17</v>
      </c>
      <c r="O8" s="57" t="n">
        <f aca="false">IF(C8=0,"",D8+1)</f>
        <v>18</v>
      </c>
      <c r="P8" s="44" t="n">
        <f aca="false">IF(C8=0,"",N8*C8)</f>
        <v>255</v>
      </c>
      <c r="Q8" s="58" t="n">
        <f aca="false">IF(C8=0,"",O8*C8)</f>
        <v>270</v>
      </c>
      <c r="R8" s="44"/>
      <c r="S8" s="59" t="n">
        <f aca="false">IF(C8=0,"",L8)</f>
        <v>15</v>
      </c>
      <c r="T8" s="60" t="n">
        <f aca="false">IF(C8=0,"",M8)</f>
        <v>622.5</v>
      </c>
    </row>
    <row r="9" customFormat="false" ht="12.75" hidden="false" customHeight="false" outlineLevel="0" collapsed="false">
      <c r="A9" s="47" t="n">
        <f aca="false">$C$2</f>
        <v>37019</v>
      </c>
      <c r="B9" s="12" t="n">
        <v>3</v>
      </c>
      <c r="C9" s="48" t="n">
        <f aca="false">INDEX(DaMw,C34+2,0)</f>
        <v>15</v>
      </c>
      <c r="D9" s="60" t="n">
        <f aca="false">INDEX(DaPrice,C34+2,0)</f>
        <v>17</v>
      </c>
      <c r="E9" s="50" t="n">
        <f aca="false">VLOOKUP(A9,Gas,4,FALSE())</f>
        <v>4.65</v>
      </c>
      <c r="F9" s="50" t="n">
        <f aca="false">VLOOKUP(A9,Gas,5,FALSE())</f>
        <v>4.65</v>
      </c>
      <c r="G9" s="51" t="n">
        <f aca="false">VLOOKUP(A9,Bogey,2,FALSE())</f>
        <v>59.5</v>
      </c>
      <c r="H9" s="52" t="n">
        <f aca="false">IF(C9&gt;0,G9-D9,"")</f>
        <v>42.5</v>
      </c>
      <c r="I9" s="53" t="n">
        <f aca="false">IF(C9&gt;0,H9*ABS(C9),"")</f>
        <v>637.5</v>
      </c>
      <c r="J9" s="54" t="n">
        <f aca="false">IF(C9=0,"",1)</f>
        <v>1</v>
      </c>
      <c r="K9" s="44" t="n">
        <f aca="false">IF(C9=0,"",G9-(D9+1))</f>
        <v>41.5</v>
      </c>
      <c r="L9" s="44" t="n">
        <f aca="false">IF(C9=0,"",C9*J9)</f>
        <v>15</v>
      </c>
      <c r="M9" s="55" t="n">
        <f aca="false">IF(C9=0,"",C9*K9)</f>
        <v>622.5</v>
      </c>
      <c r="N9" s="56" t="n">
        <f aca="false">IF(C9=0,"",D9)</f>
        <v>17</v>
      </c>
      <c r="O9" s="57" t="n">
        <f aca="false">IF(C9=0,"",D9+1)</f>
        <v>18</v>
      </c>
      <c r="P9" s="44" t="n">
        <f aca="false">IF(C9=0,"",N9*C9)</f>
        <v>255</v>
      </c>
      <c r="Q9" s="58" t="n">
        <f aca="false">IF(C9=0,"",O9*C9)</f>
        <v>270</v>
      </c>
      <c r="R9" s="44"/>
      <c r="S9" s="59" t="n">
        <f aca="false">IF(C9=0,"",L9)</f>
        <v>15</v>
      </c>
      <c r="T9" s="60" t="n">
        <f aca="false">IF(C9=0,"",M9)</f>
        <v>622.5</v>
      </c>
    </row>
    <row r="10" customFormat="false" ht="12.75" hidden="false" customHeight="false" outlineLevel="0" collapsed="false">
      <c r="A10" s="47" t="n">
        <f aca="false">$C$2</f>
        <v>37019</v>
      </c>
      <c r="B10" s="12" t="n">
        <v>4</v>
      </c>
      <c r="C10" s="48" t="n">
        <f aca="false">INDEX(DaMw,C34+3,0)</f>
        <v>15</v>
      </c>
      <c r="D10" s="60" t="n">
        <f aca="false">INDEX(DaPrice,C34+3,0)</f>
        <v>17</v>
      </c>
      <c r="E10" s="50" t="n">
        <f aca="false">VLOOKUP(A10,Gas,4,FALSE())</f>
        <v>4.65</v>
      </c>
      <c r="F10" s="50" t="n">
        <f aca="false">VLOOKUP(A10,Gas,5,FALSE())</f>
        <v>4.65</v>
      </c>
      <c r="G10" s="51" t="n">
        <f aca="false">VLOOKUP(A10,Bogey,2,FALSE())</f>
        <v>59.5</v>
      </c>
      <c r="H10" s="52" t="n">
        <f aca="false">IF(C10&gt;0,G10-D10,"")</f>
        <v>42.5</v>
      </c>
      <c r="I10" s="53" t="n">
        <f aca="false">IF(C10&gt;0,H10*ABS(C10),"")</f>
        <v>637.5</v>
      </c>
      <c r="J10" s="54" t="n">
        <f aca="false">IF(C10=0,"",1)</f>
        <v>1</v>
      </c>
      <c r="K10" s="44" t="n">
        <f aca="false">IF(C10=0,"",G10-(D10+1))</f>
        <v>41.5</v>
      </c>
      <c r="L10" s="44" t="n">
        <f aca="false">IF(C10=0,"",C10*J10)</f>
        <v>15</v>
      </c>
      <c r="M10" s="55" t="n">
        <f aca="false">IF(C10=0,"",C10*K10)</f>
        <v>622.5</v>
      </c>
      <c r="N10" s="56" t="n">
        <f aca="false">IF(C10=0,"",D10)</f>
        <v>17</v>
      </c>
      <c r="O10" s="57" t="n">
        <f aca="false">IF(C10=0,"",D10+1)</f>
        <v>18</v>
      </c>
      <c r="P10" s="44" t="n">
        <f aca="false">IF(C10=0,"",N10*C10)</f>
        <v>255</v>
      </c>
      <c r="Q10" s="58" t="n">
        <f aca="false">IF(C10=0,"",O10*C10)</f>
        <v>270</v>
      </c>
      <c r="R10" s="44"/>
      <c r="S10" s="59" t="n">
        <f aca="false">IF(C10=0,"",L10)</f>
        <v>15</v>
      </c>
      <c r="T10" s="60" t="n">
        <f aca="false">IF(C10=0,"",M10)</f>
        <v>622.5</v>
      </c>
    </row>
    <row r="11" customFormat="false" ht="12.75" hidden="false" customHeight="false" outlineLevel="0" collapsed="false">
      <c r="A11" s="47" t="n">
        <f aca="false">$C$2</f>
        <v>37019</v>
      </c>
      <c r="B11" s="12" t="n">
        <v>5</v>
      </c>
      <c r="C11" s="48" t="n">
        <f aca="false">INDEX(DaMw,C34+4,0)</f>
        <v>15</v>
      </c>
      <c r="D11" s="60" t="n">
        <f aca="false">INDEX(DaPrice,C34+4,0)</f>
        <v>17</v>
      </c>
      <c r="E11" s="50" t="n">
        <f aca="false">VLOOKUP(A11,Gas,4,FALSE())</f>
        <v>4.65</v>
      </c>
      <c r="F11" s="50" t="n">
        <f aca="false">VLOOKUP(A11,Gas,5,FALSE())</f>
        <v>4.65</v>
      </c>
      <c r="G11" s="51" t="n">
        <f aca="false">VLOOKUP(A11,Bogey,2,FALSE())</f>
        <v>59.5</v>
      </c>
      <c r="H11" s="52" t="n">
        <f aca="false">IF(C11&gt;0,G11-D11,"")</f>
        <v>42.5</v>
      </c>
      <c r="I11" s="53" t="n">
        <f aca="false">IF(C11&gt;0,H11*ABS(C11),"")</f>
        <v>637.5</v>
      </c>
      <c r="J11" s="54" t="n">
        <f aca="false">IF(C11=0,"",1)</f>
        <v>1</v>
      </c>
      <c r="K11" s="44" t="n">
        <f aca="false">IF(C11=0,"",G11-(D11+1))</f>
        <v>41.5</v>
      </c>
      <c r="L11" s="44" t="n">
        <f aca="false">IF(C11=0,"",C11*J11)</f>
        <v>15</v>
      </c>
      <c r="M11" s="55" t="n">
        <f aca="false">IF(C11=0,"",C11*K11)</f>
        <v>622.5</v>
      </c>
      <c r="N11" s="56" t="n">
        <f aca="false">IF(C11=0,"",D11)</f>
        <v>17</v>
      </c>
      <c r="O11" s="57" t="n">
        <f aca="false">IF(C11=0,"",D11+1)</f>
        <v>18</v>
      </c>
      <c r="P11" s="44" t="n">
        <f aca="false">IF(C11=0,"",N11*C11)</f>
        <v>255</v>
      </c>
      <c r="Q11" s="58" t="n">
        <f aca="false">IF(C11=0,"",O11*C11)</f>
        <v>270</v>
      </c>
      <c r="R11" s="44"/>
      <c r="S11" s="59" t="n">
        <f aca="false">IF(C11=0,"",L11)</f>
        <v>15</v>
      </c>
      <c r="T11" s="60" t="n">
        <f aca="false">IF(C11=0,"",M11)</f>
        <v>622.5</v>
      </c>
    </row>
    <row r="12" customFormat="false" ht="12.75" hidden="false" customHeight="false" outlineLevel="0" collapsed="false">
      <c r="A12" s="47" t="n">
        <f aca="false">$C$2</f>
        <v>37019</v>
      </c>
      <c r="B12" s="12" t="n">
        <v>6</v>
      </c>
      <c r="C12" s="48" t="n">
        <f aca="false">INDEX(DaMw,C34+5,0)</f>
        <v>15</v>
      </c>
      <c r="D12" s="60" t="n">
        <f aca="false">INDEX(DaPrice,C34+5,0)</f>
        <v>17</v>
      </c>
      <c r="E12" s="50" t="n">
        <f aca="false">VLOOKUP(A12,Gas,4,FALSE())</f>
        <v>4.65</v>
      </c>
      <c r="F12" s="50" t="n">
        <f aca="false">VLOOKUP(A12,Gas,5,FALSE())</f>
        <v>4.65</v>
      </c>
      <c r="G12" s="51" t="n">
        <f aca="false">VLOOKUP(A12,Bogey,2,FALSE())</f>
        <v>59.5</v>
      </c>
      <c r="H12" s="52" t="n">
        <f aca="false">IF(C12&gt;0,G12-D12,"")</f>
        <v>42.5</v>
      </c>
      <c r="I12" s="53" t="n">
        <f aca="false">IF(C12&gt;0,H12*ABS(C12),"")</f>
        <v>637.5</v>
      </c>
      <c r="J12" s="54" t="n">
        <f aca="false">IF(C12=0,"",1)</f>
        <v>1</v>
      </c>
      <c r="K12" s="44" t="n">
        <f aca="false">IF(C12=0,"",G12-(D12+1))</f>
        <v>41.5</v>
      </c>
      <c r="L12" s="44" t="n">
        <f aca="false">IF(C12=0,"",C12*J12)</f>
        <v>15</v>
      </c>
      <c r="M12" s="55" t="n">
        <f aca="false">IF(C12=0,"",C12*K12)</f>
        <v>622.5</v>
      </c>
      <c r="N12" s="56" t="n">
        <f aca="false">IF(C12=0,"",D12)</f>
        <v>17</v>
      </c>
      <c r="O12" s="57" t="n">
        <f aca="false">IF(C12=0,"",D12+1)</f>
        <v>18</v>
      </c>
      <c r="P12" s="44" t="n">
        <f aca="false">IF(C12=0,"",N12*C12)</f>
        <v>255</v>
      </c>
      <c r="Q12" s="58" t="n">
        <f aca="false">IF(C12=0,"",O12*C12)</f>
        <v>270</v>
      </c>
      <c r="R12" s="44"/>
      <c r="S12" s="59" t="n">
        <f aca="false">IF(C12=0,"",L12)</f>
        <v>15</v>
      </c>
      <c r="T12" s="60" t="n">
        <f aca="false">IF(C12=0,"",M12)</f>
        <v>622.5</v>
      </c>
    </row>
    <row r="13" customFormat="false" ht="12.75" hidden="false" customHeight="false" outlineLevel="0" collapsed="false">
      <c r="A13" s="47" t="n">
        <f aca="false">$C$2</f>
        <v>37019</v>
      </c>
      <c r="B13" s="12" t="n">
        <v>7</v>
      </c>
      <c r="C13" s="48" t="n">
        <f aca="false">INDEX(DaMw,C34+6,0)</f>
        <v>20</v>
      </c>
      <c r="D13" s="60" t="n">
        <f aca="false">INDEX(DaPrice,C34+6,0)</f>
        <v>36.5</v>
      </c>
      <c r="E13" s="50" t="n">
        <f aca="false">VLOOKUP(A13,Gas,4,FALSE())</f>
        <v>4.65</v>
      </c>
      <c r="F13" s="50" t="n">
        <f aca="false">VLOOKUP(A13,Gas,5,FALSE())</f>
        <v>4.65</v>
      </c>
      <c r="G13" s="51" t="n">
        <f aca="false">VLOOKUP(A13,Bogey,2,FALSE())</f>
        <v>59.5</v>
      </c>
      <c r="H13" s="52" t="n">
        <f aca="false">IF(C13&gt;0,G13-D13,"")</f>
        <v>23</v>
      </c>
      <c r="I13" s="53" t="n">
        <f aca="false">IF(C13&gt;0,H13*ABS(C13),"")</f>
        <v>460</v>
      </c>
      <c r="J13" s="54" t="n">
        <f aca="false">IF($C13=0,"",$H13*0.4)</f>
        <v>9.2</v>
      </c>
      <c r="K13" s="49" t="n">
        <f aca="false">IF($C13=0,"",$H13*0.6)</f>
        <v>13.8</v>
      </c>
      <c r="L13" s="49" t="n">
        <f aca="false">IF(C13=0,"",J13*$C13)</f>
        <v>184</v>
      </c>
      <c r="M13" s="55" t="n">
        <f aca="false">IF(C13=0,"",C13*K13)</f>
        <v>276</v>
      </c>
      <c r="N13" s="56" t="n">
        <f aca="false">IF(C13=0,"",D13)</f>
        <v>36.5</v>
      </c>
      <c r="O13" s="57" t="n">
        <f aca="false">IF(C13=0,"",D13+J13)</f>
        <v>45.7</v>
      </c>
      <c r="P13" s="44" t="n">
        <f aca="false">IF(C13=0,"",N13*C13)</f>
        <v>730</v>
      </c>
      <c r="Q13" s="58" t="n">
        <f aca="false">IF(C13=0,"",O13*C13)</f>
        <v>914</v>
      </c>
      <c r="R13" s="44"/>
      <c r="S13" s="59" t="n">
        <f aca="false">IF(C13=0,"",L13)</f>
        <v>184</v>
      </c>
      <c r="T13" s="60" t="n">
        <f aca="false">IF(C13=0,"",M13)</f>
        <v>276</v>
      </c>
    </row>
    <row r="14" customFormat="false" ht="12.75" hidden="false" customHeight="false" outlineLevel="0" collapsed="false">
      <c r="A14" s="47" t="n">
        <f aca="false">$C$2</f>
        <v>37019</v>
      </c>
      <c r="B14" s="12" t="n">
        <v>8</v>
      </c>
      <c r="C14" s="48" t="n">
        <f aca="false">INDEX(DaMw,C34+7,0)</f>
        <v>25</v>
      </c>
      <c r="D14" s="60" t="n">
        <f aca="false">INDEX(DaPrice,C34+7,0)</f>
        <v>36.5</v>
      </c>
      <c r="E14" s="50" t="n">
        <f aca="false">VLOOKUP(A14,Gas,4,FALSE())</f>
        <v>4.65</v>
      </c>
      <c r="F14" s="50" t="n">
        <f aca="false">VLOOKUP(A14,Gas,5,FALSE())</f>
        <v>4.65</v>
      </c>
      <c r="G14" s="51" t="n">
        <f aca="false">VLOOKUP(A14,Bogey,2,FALSE())</f>
        <v>59.5</v>
      </c>
      <c r="H14" s="52" t="n">
        <f aca="false">IF(C14&gt;0,G14-D14,"")</f>
        <v>23</v>
      </c>
      <c r="I14" s="53" t="n">
        <f aca="false">IF(C14&gt;0,H14*ABS(C14),"")</f>
        <v>575</v>
      </c>
      <c r="J14" s="54" t="n">
        <f aca="false">IF($C14=0,"",$H14*0.4)</f>
        <v>9.2</v>
      </c>
      <c r="K14" s="49" t="n">
        <f aca="false">IF($C14=0,"",$H14*0.6)</f>
        <v>13.8</v>
      </c>
      <c r="L14" s="49" t="n">
        <f aca="false">IF(C14=0,"",J14*$C14)</f>
        <v>230</v>
      </c>
      <c r="M14" s="55" t="n">
        <f aca="false">IF(C14=0,"",C14*K14)</f>
        <v>345</v>
      </c>
      <c r="N14" s="56" t="n">
        <f aca="false">IF(C14=0,"",D14)</f>
        <v>36.5</v>
      </c>
      <c r="O14" s="57" t="n">
        <f aca="false">IF(C14=0,"",D14+J14)</f>
        <v>45.7</v>
      </c>
      <c r="P14" s="44" t="n">
        <f aca="false">IF(C14=0,"",N14*C14)</f>
        <v>912.5</v>
      </c>
      <c r="Q14" s="58" t="n">
        <f aca="false">IF(C14=0,"",O14*C14)</f>
        <v>1142.5</v>
      </c>
      <c r="R14" s="44"/>
      <c r="S14" s="59" t="n">
        <f aca="false">IF(C14=0,"",L14)</f>
        <v>230</v>
      </c>
      <c r="T14" s="60" t="n">
        <f aca="false">IF(C14=0,"",M14)</f>
        <v>345</v>
      </c>
    </row>
    <row r="15" customFormat="false" ht="12.75" hidden="false" customHeight="false" outlineLevel="0" collapsed="false">
      <c r="A15" s="47" t="n">
        <f aca="false">$C$2</f>
        <v>37019</v>
      </c>
      <c r="B15" s="12" t="n">
        <v>9</v>
      </c>
      <c r="C15" s="48" t="n">
        <f aca="false">INDEX(DaMw,C34+8,0)</f>
        <v>30</v>
      </c>
      <c r="D15" s="60" t="n">
        <f aca="false">INDEX(DaPrice,C34+8,0)</f>
        <v>36.5</v>
      </c>
      <c r="E15" s="50" t="n">
        <f aca="false">VLOOKUP(A15,Gas,4,FALSE())</f>
        <v>4.65</v>
      </c>
      <c r="F15" s="50" t="n">
        <f aca="false">VLOOKUP(A15,Gas,5,FALSE())</f>
        <v>4.65</v>
      </c>
      <c r="G15" s="51" t="n">
        <f aca="false">VLOOKUP(A15,Bogey,2,FALSE())</f>
        <v>59.5</v>
      </c>
      <c r="H15" s="52" t="n">
        <f aca="false">IF(C15&gt;0,G15-D15,"")</f>
        <v>23</v>
      </c>
      <c r="I15" s="53" t="n">
        <f aca="false">IF(C15&gt;0,H15*ABS(C15),"")</f>
        <v>690</v>
      </c>
      <c r="J15" s="54" t="n">
        <f aca="false">IF($C15=0,"",$H15*0.4)</f>
        <v>9.2</v>
      </c>
      <c r="K15" s="49" t="n">
        <f aca="false">IF($C15=0,"",$H15*0.6)</f>
        <v>13.8</v>
      </c>
      <c r="L15" s="49" t="n">
        <f aca="false">IF(C15=0,"",J15*$C15)</f>
        <v>276</v>
      </c>
      <c r="M15" s="55" t="n">
        <f aca="false">IF(C15=0,"",C15*K15)</f>
        <v>414</v>
      </c>
      <c r="N15" s="56" t="n">
        <f aca="false">IF(C15=0,"",D15)</f>
        <v>36.5</v>
      </c>
      <c r="O15" s="57" t="n">
        <f aca="false">IF(C15=0,"",D15+J15)</f>
        <v>45.7</v>
      </c>
      <c r="P15" s="44" t="n">
        <f aca="false">IF(C15=0,"",N15*C15)</f>
        <v>1095</v>
      </c>
      <c r="Q15" s="58" t="n">
        <f aca="false">IF(C15=0,"",O15*C15)</f>
        <v>1371</v>
      </c>
      <c r="R15" s="44"/>
      <c r="S15" s="59" t="n">
        <f aca="false">IF(C15=0,"",L15)</f>
        <v>276</v>
      </c>
      <c r="T15" s="60" t="n">
        <f aca="false">IF(C15=0,"",M15)</f>
        <v>414</v>
      </c>
    </row>
    <row r="16" customFormat="false" ht="12.75" hidden="false" customHeight="false" outlineLevel="0" collapsed="false">
      <c r="A16" s="47" t="n">
        <f aca="false">$C$2</f>
        <v>37019</v>
      </c>
      <c r="B16" s="12" t="n">
        <v>10</v>
      </c>
      <c r="C16" s="48" t="n">
        <f aca="false">INDEX(DaMw,C34+9,0)</f>
        <v>30</v>
      </c>
      <c r="D16" s="60" t="n">
        <f aca="false">INDEX(DaPrice,C34+9,0)</f>
        <v>36.5</v>
      </c>
      <c r="E16" s="50" t="n">
        <f aca="false">VLOOKUP(A16,Gas,4,FALSE())</f>
        <v>4.65</v>
      </c>
      <c r="F16" s="50" t="n">
        <f aca="false">VLOOKUP(A16,Gas,5,FALSE())</f>
        <v>4.65</v>
      </c>
      <c r="G16" s="51" t="n">
        <f aca="false">VLOOKUP(A16,Bogey,2,FALSE())</f>
        <v>59.5</v>
      </c>
      <c r="H16" s="52" t="n">
        <f aca="false">IF(C16&gt;0,G16-D16,"")</f>
        <v>23</v>
      </c>
      <c r="I16" s="53" t="n">
        <f aca="false">IF(C16&gt;0,H16*ABS(C16),"")</f>
        <v>690</v>
      </c>
      <c r="J16" s="54" t="n">
        <f aca="false">IF($C16=0,"",$H16*0.4)</f>
        <v>9.2</v>
      </c>
      <c r="K16" s="49" t="n">
        <f aca="false">IF($C16=0,"",$H16*0.6)</f>
        <v>13.8</v>
      </c>
      <c r="L16" s="49" t="n">
        <f aca="false">IF(C16=0,"",J16*$C16)</f>
        <v>276</v>
      </c>
      <c r="M16" s="55" t="n">
        <f aca="false">IF(C16=0,"",C16*K16)</f>
        <v>414</v>
      </c>
      <c r="N16" s="56" t="n">
        <f aca="false">IF(C16=0,"",D16)</f>
        <v>36.5</v>
      </c>
      <c r="O16" s="57" t="n">
        <f aca="false">IF(C16=0,"",D16+J16)</f>
        <v>45.7</v>
      </c>
      <c r="P16" s="44" t="n">
        <f aca="false">IF(C16=0,"",N16*C16)</f>
        <v>1095</v>
      </c>
      <c r="Q16" s="58" t="n">
        <f aca="false">IF(C16=0,"",O16*C16)</f>
        <v>1371</v>
      </c>
      <c r="R16" s="44"/>
      <c r="S16" s="59" t="n">
        <f aca="false">IF(C16=0,"",L16)</f>
        <v>276</v>
      </c>
      <c r="T16" s="60" t="n">
        <f aca="false">IF(C16=0,"",M16)</f>
        <v>414</v>
      </c>
    </row>
    <row r="17" customFormat="false" ht="12.75" hidden="false" customHeight="false" outlineLevel="0" collapsed="false">
      <c r="A17" s="47" t="n">
        <f aca="false">$C$2</f>
        <v>37019</v>
      </c>
      <c r="B17" s="12" t="n">
        <v>11</v>
      </c>
      <c r="C17" s="48" t="n">
        <f aca="false">INDEX(DaMw,C34+10,0)</f>
        <v>30</v>
      </c>
      <c r="D17" s="60" t="n">
        <f aca="false">INDEX(DaPrice,C34+10,0)</f>
        <v>36.5</v>
      </c>
      <c r="E17" s="50" t="n">
        <f aca="false">VLOOKUP(A17,Gas,4,FALSE())</f>
        <v>4.65</v>
      </c>
      <c r="F17" s="50" t="n">
        <f aca="false">VLOOKUP(A17,Gas,5,FALSE())</f>
        <v>4.65</v>
      </c>
      <c r="G17" s="51" t="n">
        <f aca="false">VLOOKUP(A17,Bogey,2,FALSE())</f>
        <v>59.5</v>
      </c>
      <c r="H17" s="52" t="n">
        <f aca="false">IF(C17&gt;0,G17-D17,"")</f>
        <v>23</v>
      </c>
      <c r="I17" s="53" t="n">
        <f aca="false">IF(C17&gt;0,H17*ABS(C17),"")</f>
        <v>690</v>
      </c>
      <c r="J17" s="54" t="n">
        <f aca="false">IF($C17=0,"",$H17*0.4)</f>
        <v>9.2</v>
      </c>
      <c r="K17" s="49" t="n">
        <f aca="false">IF($C17=0,"",$H17*0.6)</f>
        <v>13.8</v>
      </c>
      <c r="L17" s="49" t="n">
        <f aca="false">IF(C17=0,"",J17*$C17)</f>
        <v>276</v>
      </c>
      <c r="M17" s="55" t="n">
        <f aca="false">IF(C17=0,"",C17*K17)</f>
        <v>414</v>
      </c>
      <c r="N17" s="56" t="n">
        <f aca="false">IF(C17=0,"",D17)</f>
        <v>36.5</v>
      </c>
      <c r="O17" s="57" t="n">
        <f aca="false">IF(C17=0,"",D17+J17)</f>
        <v>45.7</v>
      </c>
      <c r="P17" s="44" t="n">
        <f aca="false">IF(C17=0,"",N17*C17)</f>
        <v>1095</v>
      </c>
      <c r="Q17" s="58" t="n">
        <f aca="false">IF(C17=0,"",O17*C17)</f>
        <v>1371</v>
      </c>
      <c r="R17" s="44"/>
      <c r="S17" s="59" t="n">
        <f aca="false">IF(C17=0,"",L17)</f>
        <v>276</v>
      </c>
      <c r="T17" s="60" t="n">
        <f aca="false">IF(C17=0,"",M17)</f>
        <v>414</v>
      </c>
    </row>
    <row r="18" customFormat="false" ht="12.75" hidden="false" customHeight="false" outlineLevel="0" collapsed="false">
      <c r="A18" s="47" t="n">
        <f aca="false">$C$2</f>
        <v>37019</v>
      </c>
      <c r="B18" s="12" t="n">
        <v>12</v>
      </c>
      <c r="C18" s="48" t="n">
        <f aca="false">INDEX(DaMw,C34+11,0)</f>
        <v>30</v>
      </c>
      <c r="D18" s="60" t="n">
        <f aca="false">INDEX(DaPrice,C34+11,0)</f>
        <v>36.5</v>
      </c>
      <c r="E18" s="50" t="n">
        <f aca="false">VLOOKUP(A18,Gas,4,FALSE())</f>
        <v>4.65</v>
      </c>
      <c r="F18" s="50" t="n">
        <f aca="false">VLOOKUP(A18,Gas,5,FALSE())</f>
        <v>4.65</v>
      </c>
      <c r="G18" s="51" t="n">
        <f aca="false">VLOOKUP(A18,Bogey,2,FALSE())</f>
        <v>59.5</v>
      </c>
      <c r="H18" s="52" t="n">
        <f aca="false">IF(C18&gt;0,G18-D18,"")</f>
        <v>23</v>
      </c>
      <c r="I18" s="53" t="n">
        <f aca="false">IF(C18&gt;0,H18*ABS(C18),"")</f>
        <v>690</v>
      </c>
      <c r="J18" s="54" t="n">
        <f aca="false">IF($C18=0,"",$H18*0.4)</f>
        <v>9.2</v>
      </c>
      <c r="K18" s="49" t="n">
        <f aca="false">IF($C18=0,"",$H18*0.6)</f>
        <v>13.8</v>
      </c>
      <c r="L18" s="49" t="n">
        <f aca="false">IF(C18=0,"",J18*$C18)</f>
        <v>276</v>
      </c>
      <c r="M18" s="55" t="n">
        <f aca="false">IF(C18=0,"",C18*K18)</f>
        <v>414</v>
      </c>
      <c r="N18" s="56" t="n">
        <f aca="false">IF(C18=0,"",D18)</f>
        <v>36.5</v>
      </c>
      <c r="O18" s="57" t="n">
        <f aca="false">IF(C18=0,"",D18+J18)</f>
        <v>45.7</v>
      </c>
      <c r="P18" s="44" t="n">
        <f aca="false">IF(C18=0,"",N18*C18)</f>
        <v>1095</v>
      </c>
      <c r="Q18" s="58" t="n">
        <f aca="false">IF(C18=0,"",O18*C18)</f>
        <v>1371</v>
      </c>
      <c r="R18" s="44"/>
      <c r="S18" s="59" t="n">
        <f aca="false">IF(C18=0,"",L18)</f>
        <v>276</v>
      </c>
      <c r="T18" s="60" t="n">
        <f aca="false">IF(C18=0,"",M18)</f>
        <v>414</v>
      </c>
    </row>
    <row r="19" customFormat="false" ht="12.75" hidden="false" customHeight="false" outlineLevel="0" collapsed="false">
      <c r="A19" s="47" t="n">
        <f aca="false">$C$2</f>
        <v>37019</v>
      </c>
      <c r="B19" s="12" t="n">
        <v>13</v>
      </c>
      <c r="C19" s="48" t="n">
        <f aca="false">INDEX(DaMw,C34+12,0)</f>
        <v>30</v>
      </c>
      <c r="D19" s="60" t="n">
        <f aca="false">INDEX(DaPrice,C34+12,0)</f>
        <v>36.5</v>
      </c>
      <c r="E19" s="50" t="n">
        <f aca="false">VLOOKUP(A19,Gas,4,FALSE())</f>
        <v>4.65</v>
      </c>
      <c r="F19" s="50" t="n">
        <f aca="false">VLOOKUP(A19,Gas,5,FALSE())</f>
        <v>4.65</v>
      </c>
      <c r="G19" s="51" t="n">
        <f aca="false">VLOOKUP(A19,Bogey,2,FALSE())</f>
        <v>59.5</v>
      </c>
      <c r="H19" s="52" t="n">
        <f aca="false">IF(C19&gt;0,G19-D19,"")</f>
        <v>23</v>
      </c>
      <c r="I19" s="53" t="n">
        <f aca="false">IF(C19&gt;0,H19*ABS(C19),"")</f>
        <v>690</v>
      </c>
      <c r="J19" s="54" t="n">
        <f aca="false">IF($C19=0,"",$H19*0.4)</f>
        <v>9.2</v>
      </c>
      <c r="K19" s="49" t="n">
        <f aca="false">IF($C19=0,"",$H19*0.6)</f>
        <v>13.8</v>
      </c>
      <c r="L19" s="49" t="n">
        <f aca="false">IF(C19=0,"",J19*$C19)</f>
        <v>276</v>
      </c>
      <c r="M19" s="55" t="n">
        <f aca="false">IF(C19=0,"",C19*K19)</f>
        <v>414</v>
      </c>
      <c r="N19" s="56" t="n">
        <f aca="false">IF(C19=0,"",D19)</f>
        <v>36.5</v>
      </c>
      <c r="O19" s="57" t="n">
        <f aca="false">IF(C19=0,"",D19+J19)</f>
        <v>45.7</v>
      </c>
      <c r="P19" s="44" t="n">
        <f aca="false">IF(C19=0,"",N19*C19)</f>
        <v>1095</v>
      </c>
      <c r="Q19" s="58" t="n">
        <f aca="false">IF(C19=0,"",O19*C19)</f>
        <v>1371</v>
      </c>
      <c r="R19" s="44"/>
      <c r="S19" s="59" t="n">
        <f aca="false">IF(C19=0,"",L19)</f>
        <v>276</v>
      </c>
      <c r="T19" s="60" t="n">
        <f aca="false">IF(C19=0,"",M19)</f>
        <v>414</v>
      </c>
    </row>
    <row r="20" customFormat="false" ht="12.75" hidden="false" customHeight="false" outlineLevel="0" collapsed="false">
      <c r="A20" s="47" t="n">
        <f aca="false">$C$2</f>
        <v>37019</v>
      </c>
      <c r="B20" s="12" t="n">
        <v>14</v>
      </c>
      <c r="C20" s="48" t="n">
        <f aca="false">INDEX(DaMw,C34+13,0)</f>
        <v>30</v>
      </c>
      <c r="D20" s="60" t="n">
        <f aca="false">INDEX(DaPrice,C34+13,0)</f>
        <v>36.5</v>
      </c>
      <c r="E20" s="50" t="n">
        <f aca="false">VLOOKUP(A20,Gas,4,FALSE())</f>
        <v>4.65</v>
      </c>
      <c r="F20" s="50" t="n">
        <f aca="false">VLOOKUP(A20,Gas,5,FALSE())</f>
        <v>4.65</v>
      </c>
      <c r="G20" s="51" t="n">
        <f aca="false">VLOOKUP(A20,Bogey,2,FALSE())</f>
        <v>59.5</v>
      </c>
      <c r="H20" s="52" t="n">
        <f aca="false">IF(C20&gt;0,G20-D20,"")</f>
        <v>23</v>
      </c>
      <c r="I20" s="53" t="n">
        <f aca="false">IF(C20&gt;0,H20*ABS(C20),"")</f>
        <v>690</v>
      </c>
      <c r="J20" s="54" t="n">
        <f aca="false">IF($C20=0,"",$H20*0.4)</f>
        <v>9.2</v>
      </c>
      <c r="K20" s="49" t="n">
        <f aca="false">IF($C20=0,"",$H20*0.6)</f>
        <v>13.8</v>
      </c>
      <c r="L20" s="49" t="n">
        <f aca="false">IF(C20=0,"",J20*$C20)</f>
        <v>276</v>
      </c>
      <c r="M20" s="55" t="n">
        <f aca="false">IF(C20=0,"",C20*K20)</f>
        <v>414</v>
      </c>
      <c r="N20" s="56" t="n">
        <f aca="false">IF(C20=0,"",D20)</f>
        <v>36.5</v>
      </c>
      <c r="O20" s="57" t="n">
        <f aca="false">IF(C20=0,"",D20+J20)</f>
        <v>45.7</v>
      </c>
      <c r="P20" s="44" t="n">
        <f aca="false">IF(C20=0,"",N20*C20)</f>
        <v>1095</v>
      </c>
      <c r="Q20" s="58" t="n">
        <f aca="false">IF(C20=0,"",O20*C20)</f>
        <v>1371</v>
      </c>
      <c r="R20" s="44"/>
      <c r="S20" s="59" t="n">
        <f aca="false">IF(C20=0,"",L20)</f>
        <v>276</v>
      </c>
      <c r="T20" s="60" t="n">
        <f aca="false">IF(C20=0,"",M20)</f>
        <v>414</v>
      </c>
    </row>
    <row r="21" customFormat="false" ht="12.75" hidden="false" customHeight="false" outlineLevel="0" collapsed="false">
      <c r="A21" s="47" t="n">
        <f aca="false">$C$2</f>
        <v>37019</v>
      </c>
      <c r="B21" s="12" t="n">
        <v>15</v>
      </c>
      <c r="C21" s="48" t="n">
        <f aca="false">INDEX(DaMw,C34+14,0)</f>
        <v>30</v>
      </c>
      <c r="D21" s="60" t="n">
        <f aca="false">INDEX(DaPrice,C34+14,0)</f>
        <v>36.5</v>
      </c>
      <c r="E21" s="50" t="n">
        <f aca="false">VLOOKUP(A21,Gas,4,FALSE())</f>
        <v>4.65</v>
      </c>
      <c r="F21" s="50" t="n">
        <f aca="false">VLOOKUP(A21,Gas,5,FALSE())</f>
        <v>4.65</v>
      </c>
      <c r="G21" s="51" t="n">
        <f aca="false">VLOOKUP(A21,Bogey,2,FALSE())</f>
        <v>59.5</v>
      </c>
      <c r="H21" s="52" t="n">
        <f aca="false">IF(C21&gt;0,G21-D21,"")</f>
        <v>23</v>
      </c>
      <c r="I21" s="53" t="n">
        <f aca="false">IF(C21&gt;0,H21*ABS(C21),"")</f>
        <v>690</v>
      </c>
      <c r="J21" s="54" t="n">
        <f aca="false">IF($C21=0,"",$H21*0.4)</f>
        <v>9.2</v>
      </c>
      <c r="K21" s="49" t="n">
        <f aca="false">IF($C21=0,"",$H21*0.6)</f>
        <v>13.8</v>
      </c>
      <c r="L21" s="49" t="n">
        <f aca="false">IF(C21=0,"",J21*$C21)</f>
        <v>276</v>
      </c>
      <c r="M21" s="55" t="n">
        <f aca="false">IF(C21=0,"",C21*K21)</f>
        <v>414</v>
      </c>
      <c r="N21" s="56" t="n">
        <f aca="false">IF(C21=0,"",D21)</f>
        <v>36.5</v>
      </c>
      <c r="O21" s="57" t="n">
        <f aca="false">IF(C21=0,"",D21+J21)</f>
        <v>45.7</v>
      </c>
      <c r="P21" s="44" t="n">
        <f aca="false">IF(C21=0,"",N21*C21)</f>
        <v>1095</v>
      </c>
      <c r="Q21" s="58" t="n">
        <f aca="false">IF(C21=0,"",O21*C21)</f>
        <v>1371</v>
      </c>
      <c r="R21" s="44"/>
      <c r="S21" s="59" t="n">
        <f aca="false">IF(C21=0,"",L21)</f>
        <v>276</v>
      </c>
      <c r="T21" s="60" t="n">
        <f aca="false">IF(C21=0,"",M21)</f>
        <v>414</v>
      </c>
    </row>
    <row r="22" customFormat="false" ht="12.75" hidden="false" customHeight="false" outlineLevel="0" collapsed="false">
      <c r="A22" s="47" t="n">
        <f aca="false">$C$2</f>
        <v>37019</v>
      </c>
      <c r="B22" s="12" t="n">
        <v>16</v>
      </c>
      <c r="C22" s="48" t="n">
        <f aca="false">INDEX(DaMw,C34+15,0)</f>
        <v>30</v>
      </c>
      <c r="D22" s="60" t="n">
        <f aca="false">INDEX(DaPrice,C34+15,0)</f>
        <v>36.5</v>
      </c>
      <c r="E22" s="50" t="n">
        <f aca="false">VLOOKUP(A22,Gas,4,FALSE())</f>
        <v>4.65</v>
      </c>
      <c r="F22" s="50" t="n">
        <f aca="false">VLOOKUP(A22,Gas,5,FALSE())</f>
        <v>4.65</v>
      </c>
      <c r="G22" s="51" t="n">
        <f aca="false">VLOOKUP(A22,Bogey,2,FALSE())</f>
        <v>59.5</v>
      </c>
      <c r="H22" s="52" t="n">
        <f aca="false">IF(C22&gt;0,G22-D22,"")</f>
        <v>23</v>
      </c>
      <c r="I22" s="53" t="n">
        <f aca="false">IF(C22&gt;0,H22*ABS(C22),"")</f>
        <v>690</v>
      </c>
      <c r="J22" s="54" t="n">
        <f aca="false">IF($C22=0,"",$H22*0.4)</f>
        <v>9.2</v>
      </c>
      <c r="K22" s="49" t="n">
        <f aca="false">IF($C22=0,"",$H22*0.6)</f>
        <v>13.8</v>
      </c>
      <c r="L22" s="49" t="n">
        <f aca="false">IF(C22=0,"",J22*$C22)</f>
        <v>276</v>
      </c>
      <c r="M22" s="55" t="n">
        <f aca="false">IF(C22=0,"",C22*K22)</f>
        <v>414</v>
      </c>
      <c r="N22" s="56" t="n">
        <f aca="false">IF(C22=0,"",D22)</f>
        <v>36.5</v>
      </c>
      <c r="O22" s="57" t="n">
        <f aca="false">IF(C22=0,"",D22+J22)</f>
        <v>45.7</v>
      </c>
      <c r="P22" s="44" t="n">
        <f aca="false">IF(C22=0,"",N22*C22)</f>
        <v>1095</v>
      </c>
      <c r="Q22" s="58" t="n">
        <f aca="false">IF(C22=0,"",O22*C22)</f>
        <v>1371</v>
      </c>
      <c r="R22" s="44"/>
      <c r="S22" s="59" t="n">
        <f aca="false">IF(C22=0,"",L22)</f>
        <v>276</v>
      </c>
      <c r="T22" s="60" t="n">
        <f aca="false">IF(C22=0,"",M22)</f>
        <v>414</v>
      </c>
    </row>
    <row r="23" customFormat="false" ht="12.75" hidden="false" customHeight="false" outlineLevel="0" collapsed="false">
      <c r="A23" s="47" t="n">
        <f aca="false">$C$2</f>
        <v>37019</v>
      </c>
      <c r="B23" s="12" t="n">
        <v>17</v>
      </c>
      <c r="C23" s="48" t="n">
        <f aca="false">INDEX(DaMw,C34+16,0)</f>
        <v>30</v>
      </c>
      <c r="D23" s="60" t="n">
        <f aca="false">INDEX(DaPrice,C34+16,0)</f>
        <v>36.5</v>
      </c>
      <c r="E23" s="50" t="n">
        <f aca="false">VLOOKUP(A23,Gas,4,FALSE())</f>
        <v>4.65</v>
      </c>
      <c r="F23" s="50" t="n">
        <f aca="false">VLOOKUP(A23,Gas,5,FALSE())</f>
        <v>4.65</v>
      </c>
      <c r="G23" s="51" t="n">
        <f aca="false">VLOOKUP(A23,Bogey,2,FALSE())</f>
        <v>59.5</v>
      </c>
      <c r="H23" s="52" t="n">
        <f aca="false">IF(C23&gt;0,G23-D23,"")</f>
        <v>23</v>
      </c>
      <c r="I23" s="53" t="n">
        <f aca="false">IF(C23&gt;0,H23*ABS(C23),"")</f>
        <v>690</v>
      </c>
      <c r="J23" s="54" t="n">
        <f aca="false">IF($C23=0,"",$H23*0.4)</f>
        <v>9.2</v>
      </c>
      <c r="K23" s="49" t="n">
        <f aca="false">IF($C23=0,"",$H23*0.6)</f>
        <v>13.8</v>
      </c>
      <c r="L23" s="49" t="n">
        <f aca="false">IF(C23=0,"",J23*$C23)</f>
        <v>276</v>
      </c>
      <c r="M23" s="55" t="n">
        <f aca="false">IF(C23=0,"",C23*K23)</f>
        <v>414</v>
      </c>
      <c r="N23" s="56" t="n">
        <f aca="false">IF(C23=0,"",D23)</f>
        <v>36.5</v>
      </c>
      <c r="O23" s="57" t="n">
        <f aca="false">IF(C23=0,"",D23+J23)</f>
        <v>45.7</v>
      </c>
      <c r="P23" s="44" t="n">
        <f aca="false">IF(C23=0,"",N23*C23)</f>
        <v>1095</v>
      </c>
      <c r="Q23" s="58" t="n">
        <f aca="false">IF(C23=0,"",O23*C23)</f>
        <v>1371</v>
      </c>
      <c r="R23" s="44"/>
      <c r="S23" s="59" t="n">
        <f aca="false">IF(C23=0,"",L23)</f>
        <v>276</v>
      </c>
      <c r="T23" s="60" t="n">
        <f aca="false">IF(C23=0,"",M23)</f>
        <v>414</v>
      </c>
    </row>
    <row r="24" customFormat="false" ht="12.75" hidden="false" customHeight="false" outlineLevel="0" collapsed="false">
      <c r="A24" s="47" t="n">
        <f aca="false">$C$2</f>
        <v>37019</v>
      </c>
      <c r="B24" s="12" t="n">
        <v>18</v>
      </c>
      <c r="C24" s="48" t="n">
        <f aca="false">INDEX(DaMw,C34+17,0)</f>
        <v>30</v>
      </c>
      <c r="D24" s="60" t="n">
        <f aca="false">INDEX(DaPrice,C34+17,0)</f>
        <v>36.5</v>
      </c>
      <c r="E24" s="50" t="n">
        <f aca="false">VLOOKUP(A24,Gas,4,FALSE())</f>
        <v>4.65</v>
      </c>
      <c r="F24" s="50" t="n">
        <f aca="false">VLOOKUP(A24,Gas,5,FALSE())</f>
        <v>4.65</v>
      </c>
      <c r="G24" s="51" t="n">
        <f aca="false">VLOOKUP(A24,Bogey,2,FALSE())</f>
        <v>59.5</v>
      </c>
      <c r="H24" s="52" t="n">
        <f aca="false">IF(C24&gt;0,G24-D24,"")</f>
        <v>23</v>
      </c>
      <c r="I24" s="53" t="n">
        <f aca="false">IF(C24&gt;0,H24*ABS(C24),"")</f>
        <v>690</v>
      </c>
      <c r="J24" s="54" t="n">
        <f aca="false">IF($C24=0,"",$H24*0.4)</f>
        <v>9.2</v>
      </c>
      <c r="K24" s="49" t="n">
        <f aca="false">IF($C24=0,"",$H24*0.6)</f>
        <v>13.8</v>
      </c>
      <c r="L24" s="49" t="n">
        <f aca="false">IF(C24=0,"",J24*$C24)</f>
        <v>276</v>
      </c>
      <c r="M24" s="55" t="n">
        <f aca="false">IF(C24=0,"",C24*K24)</f>
        <v>414</v>
      </c>
      <c r="N24" s="56" t="n">
        <f aca="false">IF(C24=0,"",D24)</f>
        <v>36.5</v>
      </c>
      <c r="O24" s="57" t="n">
        <f aca="false">IF(C24=0,"",D24+J24)</f>
        <v>45.7</v>
      </c>
      <c r="P24" s="44" t="n">
        <f aca="false">IF(C24=0,"",N24*C24)</f>
        <v>1095</v>
      </c>
      <c r="Q24" s="58" t="n">
        <f aca="false">IF(C24=0,"",O24*C24)</f>
        <v>1371</v>
      </c>
      <c r="R24" s="44"/>
      <c r="S24" s="59" t="n">
        <f aca="false">IF(C24=0,"",L24)</f>
        <v>276</v>
      </c>
      <c r="T24" s="60" t="n">
        <f aca="false">IF(C24=0,"",M24)</f>
        <v>414</v>
      </c>
    </row>
    <row r="25" customFormat="false" ht="12.75" hidden="false" customHeight="false" outlineLevel="0" collapsed="false">
      <c r="A25" s="47" t="n">
        <f aca="false">$C$2</f>
        <v>37019</v>
      </c>
      <c r="B25" s="12" t="n">
        <v>19</v>
      </c>
      <c r="C25" s="48" t="n">
        <f aca="false">INDEX(DaMw,C34+18,0)</f>
        <v>30</v>
      </c>
      <c r="D25" s="60" t="n">
        <f aca="false">INDEX(DaPrice,C34+18,0)</f>
        <v>36.5</v>
      </c>
      <c r="E25" s="50" t="n">
        <f aca="false">VLOOKUP(A25,Gas,4,FALSE())</f>
        <v>4.65</v>
      </c>
      <c r="F25" s="50" t="n">
        <f aca="false">VLOOKUP(A25,Gas,5,FALSE())</f>
        <v>4.65</v>
      </c>
      <c r="G25" s="51" t="n">
        <f aca="false">VLOOKUP(A25,Bogey,2,FALSE())</f>
        <v>59.5</v>
      </c>
      <c r="H25" s="52" t="n">
        <f aca="false">IF(C25&gt;0,G25-D25,"")</f>
        <v>23</v>
      </c>
      <c r="I25" s="53" t="n">
        <f aca="false">IF(C25&gt;0,H25*ABS(C25),"")</f>
        <v>690</v>
      </c>
      <c r="J25" s="54" t="n">
        <f aca="false">IF($C25=0,"",$H25*0.4)</f>
        <v>9.2</v>
      </c>
      <c r="K25" s="49" t="n">
        <f aca="false">IF($C25=0,"",$H25*0.6)</f>
        <v>13.8</v>
      </c>
      <c r="L25" s="49" t="n">
        <f aca="false">IF(C25=0,"",J25*$C25)</f>
        <v>276</v>
      </c>
      <c r="M25" s="55" t="n">
        <f aca="false">IF(C25=0,"",C25*K25)</f>
        <v>414</v>
      </c>
      <c r="N25" s="56" t="n">
        <f aca="false">IF(C25=0,"",D25)</f>
        <v>36.5</v>
      </c>
      <c r="O25" s="57" t="n">
        <f aca="false">IF(C25=0,"",D25+J25)</f>
        <v>45.7</v>
      </c>
      <c r="P25" s="44" t="n">
        <f aca="false">IF(C25=0,"",N25*C25)</f>
        <v>1095</v>
      </c>
      <c r="Q25" s="58" t="n">
        <f aca="false">IF(C25=0,"",O25*C25)</f>
        <v>1371</v>
      </c>
      <c r="R25" s="44"/>
      <c r="S25" s="59" t="n">
        <f aca="false">IF(C25=0,"",L25)</f>
        <v>276</v>
      </c>
      <c r="T25" s="60" t="n">
        <f aca="false">IF(C25=0,"",M25)</f>
        <v>414</v>
      </c>
    </row>
    <row r="26" customFormat="false" ht="12.75" hidden="false" customHeight="false" outlineLevel="0" collapsed="false">
      <c r="A26" s="47" t="n">
        <f aca="false">$C$2</f>
        <v>37019</v>
      </c>
      <c r="B26" s="12" t="n">
        <v>20</v>
      </c>
      <c r="C26" s="48" t="n">
        <f aca="false">INDEX(DaMw,C34+19,0)</f>
        <v>30</v>
      </c>
      <c r="D26" s="60" t="n">
        <f aca="false">INDEX(DaPrice,C34+19,0)</f>
        <v>36.5</v>
      </c>
      <c r="E26" s="50" t="n">
        <f aca="false">VLOOKUP(A26,Gas,4,FALSE())</f>
        <v>4.65</v>
      </c>
      <c r="F26" s="50" t="n">
        <f aca="false">VLOOKUP(A26,Gas,5,FALSE())</f>
        <v>4.65</v>
      </c>
      <c r="G26" s="51" t="n">
        <f aca="false">VLOOKUP(A26,Bogey,2,FALSE())</f>
        <v>59.5</v>
      </c>
      <c r="H26" s="52" t="n">
        <f aca="false">IF(C26&gt;0,G26-D26,"")</f>
        <v>23</v>
      </c>
      <c r="I26" s="53" t="n">
        <f aca="false">IF(C26&gt;0,H26*ABS(C26),"")</f>
        <v>690</v>
      </c>
      <c r="J26" s="54" t="n">
        <f aca="false">IF($C26=0,"",$H26*0.4)</f>
        <v>9.2</v>
      </c>
      <c r="K26" s="49" t="n">
        <f aca="false">IF($C26=0,"",$H26*0.6)</f>
        <v>13.8</v>
      </c>
      <c r="L26" s="49" t="n">
        <f aca="false">IF(C26=0,"",J26*$C26)</f>
        <v>276</v>
      </c>
      <c r="M26" s="55" t="n">
        <f aca="false">IF(C26=0,"",C26*K26)</f>
        <v>414</v>
      </c>
      <c r="N26" s="56" t="n">
        <f aca="false">IF(C26=0,"",D26)</f>
        <v>36.5</v>
      </c>
      <c r="O26" s="57" t="n">
        <f aca="false">IF(C26=0,"",D26+J26)</f>
        <v>45.7</v>
      </c>
      <c r="P26" s="44" t="n">
        <f aca="false">IF(C26=0,"",N26*C26)</f>
        <v>1095</v>
      </c>
      <c r="Q26" s="58" t="n">
        <f aca="false">IF(C26=0,"",O26*C26)</f>
        <v>1371</v>
      </c>
      <c r="R26" s="44"/>
      <c r="S26" s="59" t="n">
        <f aca="false">IF(C26=0,"",L26)</f>
        <v>276</v>
      </c>
      <c r="T26" s="60" t="n">
        <f aca="false">IF(C26=0,"",M26)</f>
        <v>414</v>
      </c>
    </row>
    <row r="27" customFormat="false" ht="12.75" hidden="false" customHeight="false" outlineLevel="0" collapsed="false">
      <c r="A27" s="47" t="n">
        <f aca="false">$C$2</f>
        <v>37019</v>
      </c>
      <c r="B27" s="12" t="n">
        <v>21</v>
      </c>
      <c r="C27" s="48" t="n">
        <f aca="false">INDEX(DaMw,C34+20,0)</f>
        <v>30</v>
      </c>
      <c r="D27" s="60" t="n">
        <f aca="false">INDEX(DaPrice,C34+20,0)</f>
        <v>36.5</v>
      </c>
      <c r="E27" s="50" t="n">
        <f aca="false">VLOOKUP(A27,Gas,4,FALSE())</f>
        <v>4.65</v>
      </c>
      <c r="F27" s="50" t="n">
        <f aca="false">VLOOKUP(A27,Gas,5,FALSE())</f>
        <v>4.65</v>
      </c>
      <c r="G27" s="51" t="n">
        <f aca="false">VLOOKUP(A27,Bogey,2,FALSE())</f>
        <v>59.5</v>
      </c>
      <c r="H27" s="52" t="n">
        <f aca="false">IF(C27&gt;0,G27-D27,"")</f>
        <v>23</v>
      </c>
      <c r="I27" s="53" t="n">
        <f aca="false">IF(C27&gt;0,H27*ABS(C27),"")</f>
        <v>690</v>
      </c>
      <c r="J27" s="54" t="n">
        <f aca="false">IF($C27=0,"",$H27*0.4)</f>
        <v>9.2</v>
      </c>
      <c r="K27" s="49" t="n">
        <f aca="false">IF($C27=0,"",$H27*0.6)</f>
        <v>13.8</v>
      </c>
      <c r="L27" s="49" t="n">
        <f aca="false">IF(C27=0,"",J27*$C27)</f>
        <v>276</v>
      </c>
      <c r="M27" s="55" t="n">
        <f aca="false">IF(C27=0,"",C27*K27)</f>
        <v>414</v>
      </c>
      <c r="N27" s="56" t="n">
        <f aca="false">IF(C27=0,"",D27)</f>
        <v>36.5</v>
      </c>
      <c r="O27" s="57" t="n">
        <f aca="false">IF(C27=0,"",D27+J27)</f>
        <v>45.7</v>
      </c>
      <c r="P27" s="44" t="n">
        <f aca="false">IF(C27=0,"",N27*C27)</f>
        <v>1095</v>
      </c>
      <c r="Q27" s="58" t="n">
        <f aca="false">IF(C27=0,"",O27*C27)</f>
        <v>1371</v>
      </c>
      <c r="R27" s="44"/>
      <c r="S27" s="59" t="n">
        <f aca="false">IF(C27=0,"",L27)</f>
        <v>276</v>
      </c>
      <c r="T27" s="60" t="n">
        <f aca="false">IF(C27=0,"",M27)</f>
        <v>414</v>
      </c>
    </row>
    <row r="28" customFormat="false" ht="12.75" hidden="false" customHeight="false" outlineLevel="0" collapsed="false">
      <c r="A28" s="47" t="n">
        <f aca="false">$C$2</f>
        <v>37019</v>
      </c>
      <c r="B28" s="12" t="n">
        <v>22</v>
      </c>
      <c r="C28" s="48" t="n">
        <f aca="false">INDEX(DaMw,C34+21,0)</f>
        <v>30</v>
      </c>
      <c r="D28" s="60" t="n">
        <f aca="false">INDEX(DaPrice,C34+21,0)</f>
        <v>36.5</v>
      </c>
      <c r="E28" s="50" t="n">
        <f aca="false">VLOOKUP(A28,Gas,4,FALSE())</f>
        <v>4.65</v>
      </c>
      <c r="F28" s="50" t="n">
        <f aca="false">VLOOKUP(A28,Gas,5,FALSE())</f>
        <v>4.65</v>
      </c>
      <c r="G28" s="51" t="n">
        <f aca="false">VLOOKUP(A28,Bogey,2,FALSE())</f>
        <v>59.5</v>
      </c>
      <c r="H28" s="52" t="n">
        <f aca="false">IF(C28&gt;0,G28-D28,"")</f>
        <v>23</v>
      </c>
      <c r="I28" s="53" t="n">
        <f aca="false">IF(C28&gt;0,H28*ABS(C28),"")</f>
        <v>690</v>
      </c>
      <c r="J28" s="54" t="n">
        <f aca="false">IF($C28=0,"",$H28*0.4)</f>
        <v>9.2</v>
      </c>
      <c r="K28" s="49" t="n">
        <f aca="false">IF($C28=0,"",$H28*0.6)</f>
        <v>13.8</v>
      </c>
      <c r="L28" s="49" t="n">
        <f aca="false">IF(C28=0,"",J28*$C28)</f>
        <v>276</v>
      </c>
      <c r="M28" s="55" t="n">
        <f aca="false">IF(C28=0,"",C28*K28)</f>
        <v>414</v>
      </c>
      <c r="N28" s="56" t="n">
        <f aca="false">IF(C28=0,"",D28)</f>
        <v>36.5</v>
      </c>
      <c r="O28" s="57" t="n">
        <f aca="false">IF(C28=0,"",D28+J28)</f>
        <v>45.7</v>
      </c>
      <c r="P28" s="44" t="n">
        <f aca="false">IF(C28=0,"",N28*C28)</f>
        <v>1095</v>
      </c>
      <c r="Q28" s="58" t="n">
        <f aca="false">IF(C28=0,"",O28*C28)</f>
        <v>1371</v>
      </c>
      <c r="R28" s="44"/>
      <c r="S28" s="59" t="n">
        <f aca="false">IF(C28=0,"",L28)</f>
        <v>276</v>
      </c>
      <c r="T28" s="60" t="n">
        <f aca="false">IF(C28=0,"",M28)</f>
        <v>414</v>
      </c>
    </row>
    <row r="29" customFormat="false" ht="12.75" hidden="false" customHeight="false" outlineLevel="0" collapsed="false">
      <c r="A29" s="47" t="n">
        <f aca="false">$C$2</f>
        <v>37019</v>
      </c>
      <c r="B29" s="12" t="n">
        <v>23</v>
      </c>
      <c r="C29" s="48" t="n">
        <f aca="false">INDEX(DaMw,C34+22,0)</f>
        <v>15</v>
      </c>
      <c r="D29" s="60" t="n">
        <f aca="false">INDEX(DaPrice,C34+22,0)</f>
        <v>17</v>
      </c>
      <c r="E29" s="50" t="n">
        <f aca="false">VLOOKUP(A29,Gas,4,FALSE())</f>
        <v>4.65</v>
      </c>
      <c r="F29" s="50" t="n">
        <f aca="false">VLOOKUP(A29,Gas,5,FALSE())</f>
        <v>4.65</v>
      </c>
      <c r="G29" s="51" t="n">
        <f aca="false">VLOOKUP(A29,Bogey,2,FALSE())</f>
        <v>59.5</v>
      </c>
      <c r="H29" s="52" t="n">
        <f aca="false">IF(C29&gt;0,G29-D29,"")</f>
        <v>42.5</v>
      </c>
      <c r="I29" s="53" t="n">
        <f aca="false">IF(C29&gt;0,H29*ABS(C29),"")</f>
        <v>637.5</v>
      </c>
      <c r="J29" s="54" t="n">
        <f aca="false">IF(C29=0,"",1)</f>
        <v>1</v>
      </c>
      <c r="K29" s="44" t="n">
        <f aca="false">IF(C29=0,"",G29-(D29+1))</f>
        <v>41.5</v>
      </c>
      <c r="L29" s="44" t="n">
        <f aca="false">IF(C29=0,"",C29*J29)</f>
        <v>15</v>
      </c>
      <c r="M29" s="55" t="n">
        <f aca="false">IF(C29=0,"",C29*K29)</f>
        <v>622.5</v>
      </c>
      <c r="N29" s="56" t="n">
        <f aca="false">IF(C29=0,"",D29)</f>
        <v>17</v>
      </c>
      <c r="O29" s="57" t="n">
        <f aca="false">IF(C29=0,"",D29+1)</f>
        <v>18</v>
      </c>
      <c r="P29" s="44" t="n">
        <f aca="false">IF(C29=0,"",N29*C29)</f>
        <v>255</v>
      </c>
      <c r="Q29" s="58" t="n">
        <f aca="false">IF(C29=0,"",O29*C29)</f>
        <v>270</v>
      </c>
      <c r="R29" s="44"/>
      <c r="S29" s="59" t="n">
        <f aca="false">IF(C29=0,"",L29)</f>
        <v>15</v>
      </c>
      <c r="T29" s="60" t="n">
        <f aca="false">IF(C29=0,"",M29)</f>
        <v>622.5</v>
      </c>
    </row>
    <row r="30" customFormat="false" ht="12.75" hidden="false" customHeight="false" outlineLevel="0" collapsed="false">
      <c r="A30" s="61" t="n">
        <f aca="false">$C$2</f>
        <v>37019</v>
      </c>
      <c r="B30" s="62" t="n">
        <v>24</v>
      </c>
      <c r="C30" s="63" t="n">
        <f aca="false">INDEX(DaMw,C34+23,0)</f>
        <v>15</v>
      </c>
      <c r="D30" s="76" t="n">
        <f aca="false">INDEX(DaPrice,C34+23,0)</f>
        <v>17</v>
      </c>
      <c r="E30" s="65" t="n">
        <f aca="false">VLOOKUP(A30,Gas,4,FALSE())</f>
        <v>4.65</v>
      </c>
      <c r="F30" s="65" t="n">
        <f aca="false">VLOOKUP(A30,Gas,5,FALSE())</f>
        <v>4.65</v>
      </c>
      <c r="G30" s="66" t="n">
        <f aca="false">VLOOKUP(A30,Bogey,2,FALSE())</f>
        <v>59.5</v>
      </c>
      <c r="H30" s="67" t="n">
        <f aca="false">IF(C30&gt;0,G30-D30,"")</f>
        <v>42.5</v>
      </c>
      <c r="I30" s="68" t="n">
        <f aca="false">IF(C30&gt;0,H30*ABS(C30),"")</f>
        <v>637.5</v>
      </c>
      <c r="J30" s="69" t="n">
        <f aca="false">IF(C30=0,"",1)</f>
        <v>1</v>
      </c>
      <c r="K30" s="70" t="n">
        <f aca="false">IF(C30=0,"",G30-(D30+1))</f>
        <v>41.5</v>
      </c>
      <c r="L30" s="70" t="n">
        <f aca="false">IF(C30=0,"",C30*J30)</f>
        <v>15</v>
      </c>
      <c r="M30" s="71" t="n">
        <f aca="false">IF(C30=0,"",C30*K30)</f>
        <v>622.5</v>
      </c>
      <c r="N30" s="72" t="n">
        <f aca="false">IF(C30=0,"",D30)</f>
        <v>17</v>
      </c>
      <c r="O30" s="73" t="n">
        <f aca="false">IF(C30=0,"",D30+1)</f>
        <v>18</v>
      </c>
      <c r="P30" s="70" t="n">
        <f aca="false">IF(C30=0,"",N30*C30)</f>
        <v>255</v>
      </c>
      <c r="Q30" s="74" t="n">
        <f aca="false">IF(C30=0,"",O30*C30)</f>
        <v>270</v>
      </c>
      <c r="R30" s="44"/>
      <c r="S30" s="75" t="n">
        <f aca="false">IF(C30=0,"",L30)</f>
        <v>15</v>
      </c>
      <c r="T30" s="76" t="n">
        <f aca="false">IF(C30=0,"",M30)</f>
        <v>622.5</v>
      </c>
    </row>
    <row r="31" customFormat="false" ht="4.5" hidden="false" customHeight="true" outlineLevel="0" collapsed="false">
      <c r="E31" s="77"/>
      <c r="F31" s="77"/>
      <c r="G31" s="77"/>
      <c r="I31" s="78"/>
      <c r="Q31" s="2"/>
      <c r="S31" s="2"/>
    </row>
    <row r="32" customFormat="false" ht="12.75" hidden="false" customHeight="false" outlineLevel="0" collapsed="false">
      <c r="K32" s="79"/>
      <c r="L32" s="79"/>
      <c r="M32" s="79"/>
      <c r="N32" s="80"/>
      <c r="O32" s="79"/>
      <c r="P32" s="80"/>
      <c r="Q32" s="81" t="n">
        <f aca="false">SUM(Q7:Q30)</f>
        <v>23410.5</v>
      </c>
      <c r="R32" s="82"/>
      <c r="S32" s="81" t="n">
        <f aca="false">SUM(S7:S30)</f>
        <v>4398</v>
      </c>
      <c r="T32" s="81" t="n">
        <f aca="false">SUM(T7:T30)</f>
        <v>11397</v>
      </c>
    </row>
    <row r="34" customFormat="false" ht="12.75" hidden="true" customHeight="false" outlineLevel="0" collapsed="false">
      <c r="B34" s="0" t="s">
        <v>33</v>
      </c>
      <c r="C34" s="0" t="n">
        <f aca="false">MATCH(C2,DaDate,0)</f>
        <v>169</v>
      </c>
    </row>
    <row r="37" customFormat="false" ht="12.75" hidden="false" customHeight="false" outlineLevel="0" collapsed="false">
      <c r="A37" s="6"/>
      <c r="B37" s="6"/>
      <c r="C37" s="6"/>
      <c r="D37" s="7"/>
      <c r="E37" s="8" t="s">
        <v>2</v>
      </c>
      <c r="F37" s="8"/>
      <c r="G37" s="8"/>
      <c r="H37" s="9" t="s">
        <v>3</v>
      </c>
      <c r="I37" s="9"/>
      <c r="J37" s="9" t="s">
        <v>4</v>
      </c>
      <c r="K37" s="9"/>
      <c r="L37" s="9"/>
      <c r="M37" s="9"/>
      <c r="N37" s="10" t="s">
        <v>5</v>
      </c>
      <c r="O37" s="10"/>
      <c r="P37" s="10"/>
      <c r="Q37" s="10"/>
      <c r="R37" s="11"/>
      <c r="S37" s="10" t="s">
        <v>6</v>
      </c>
      <c r="T37" s="10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2.75" hidden="false" customHeight="false" outlineLevel="0" collapsed="false">
      <c r="B38" s="85" t="s">
        <v>35</v>
      </c>
      <c r="C38" s="85"/>
      <c r="D38" s="85"/>
      <c r="E38" s="13"/>
      <c r="F38" s="14"/>
      <c r="G38" s="15"/>
      <c r="H38" s="16" t="s">
        <v>7</v>
      </c>
      <c r="I38" s="17" t="s">
        <v>7</v>
      </c>
      <c r="J38" s="16" t="s">
        <v>8</v>
      </c>
      <c r="K38" s="18" t="s">
        <v>9</v>
      </c>
      <c r="L38" s="18" t="s">
        <v>8</v>
      </c>
      <c r="M38" s="17" t="s">
        <v>9</v>
      </c>
      <c r="N38" s="19" t="s">
        <v>10</v>
      </c>
      <c r="O38" s="19"/>
      <c r="P38" s="19" t="s">
        <v>11</v>
      </c>
      <c r="Q38" s="19"/>
      <c r="R38" s="11"/>
      <c r="S38" s="20"/>
      <c r="T38" s="21"/>
    </row>
    <row r="39" customFormat="false" ht="12.75" hidden="false" customHeight="false" outlineLevel="0" collapsed="false">
      <c r="E39" s="16" t="s">
        <v>12</v>
      </c>
      <c r="F39" s="18" t="s">
        <v>12</v>
      </c>
      <c r="G39" s="17" t="s">
        <v>13</v>
      </c>
      <c r="H39" s="16" t="s">
        <v>14</v>
      </c>
      <c r="I39" s="17" t="s">
        <v>14</v>
      </c>
      <c r="J39" s="22" t="s">
        <v>15</v>
      </c>
      <c r="K39" s="18" t="s">
        <v>16</v>
      </c>
      <c r="L39" s="18" t="s">
        <v>17</v>
      </c>
      <c r="M39" s="17" t="s">
        <v>18</v>
      </c>
      <c r="N39" s="23"/>
      <c r="O39" s="15"/>
      <c r="P39" s="22"/>
      <c r="Q39" s="24" t="s">
        <v>19</v>
      </c>
      <c r="R39" s="11"/>
      <c r="S39" s="16" t="s">
        <v>20</v>
      </c>
      <c r="T39" s="25" t="s">
        <v>21</v>
      </c>
    </row>
    <row r="40" customFormat="false" ht="12.75" hidden="false" customHeight="false" outlineLevel="0" collapsed="false">
      <c r="A40" s="26" t="s">
        <v>22</v>
      </c>
      <c r="B40" s="27" t="s">
        <v>23</v>
      </c>
      <c r="C40" s="27" t="s">
        <v>24</v>
      </c>
      <c r="D40" s="28" t="s">
        <v>25</v>
      </c>
      <c r="E40" s="22" t="s">
        <v>26</v>
      </c>
      <c r="F40" s="5" t="s">
        <v>27</v>
      </c>
      <c r="G40" s="25" t="s">
        <v>28</v>
      </c>
      <c r="H40" s="22" t="s">
        <v>29</v>
      </c>
      <c r="I40" s="25" t="s">
        <v>30</v>
      </c>
      <c r="J40" s="22" t="s">
        <v>10</v>
      </c>
      <c r="K40" s="5" t="s">
        <v>10</v>
      </c>
      <c r="L40" s="5" t="s">
        <v>30</v>
      </c>
      <c r="M40" s="25" t="s">
        <v>30</v>
      </c>
      <c r="N40" s="22" t="s">
        <v>20</v>
      </c>
      <c r="O40" s="25" t="s">
        <v>21</v>
      </c>
      <c r="P40" s="22" t="s">
        <v>20</v>
      </c>
      <c r="Q40" s="29" t="s">
        <v>21</v>
      </c>
      <c r="R40" s="5"/>
      <c r="S40" s="22" t="s">
        <v>31</v>
      </c>
      <c r="T40" s="25" t="s">
        <v>32</v>
      </c>
      <c r="U40" s="30"/>
      <c r="V40" s="30"/>
    </row>
    <row r="41" customFormat="false" ht="12.75" hidden="false" customHeight="false" outlineLevel="0" collapsed="false">
      <c r="A41" s="31" t="n">
        <f aca="false">$C$2</f>
        <v>37019</v>
      </c>
      <c r="B41" s="32" t="n">
        <v>1</v>
      </c>
      <c r="C41" s="33" t="n">
        <f aca="false">INDEX(RtMw,C68,0)</f>
        <v>13</v>
      </c>
      <c r="D41" s="34" t="n">
        <f aca="false">INDEX(RTPrice,C68,0)</f>
        <v>18</v>
      </c>
      <c r="E41" s="35" t="n">
        <f aca="false">VLOOKUP(A41,Gas,4,FALSE())</f>
        <v>4.65</v>
      </c>
      <c r="F41" s="35" t="n">
        <f aca="false">VLOOKUP(A41,Gas,5,FALSE())</f>
        <v>4.65</v>
      </c>
      <c r="G41" s="36" t="n">
        <f aca="false">VLOOKUP(A41,Bogey,2,FALSE())</f>
        <v>59.5</v>
      </c>
      <c r="H41" s="37" t="n">
        <f aca="false">IF(C41&gt;0,G41-D41,"")</f>
        <v>41.5</v>
      </c>
      <c r="I41" s="38" t="n">
        <f aca="false">IF(C41&gt;0,H41*ABS(C41),"")</f>
        <v>539.5</v>
      </c>
      <c r="J41" s="39" t="n">
        <f aca="false">IF(C41=0,"",1)</f>
        <v>1</v>
      </c>
      <c r="K41" s="40" t="n">
        <f aca="false">IF(C41=0,"",G41-(D41+1))</f>
        <v>40.5</v>
      </c>
      <c r="L41" s="40" t="n">
        <f aca="false">IF(C41=0,"",C41*J41)</f>
        <v>13</v>
      </c>
      <c r="M41" s="21" t="n">
        <f aca="false">IF(C41=0,"",C41*K41)</f>
        <v>526.5</v>
      </c>
      <c r="N41" s="41" t="n">
        <f aca="false">IF(C41=0,"",D41)</f>
        <v>18</v>
      </c>
      <c r="O41" s="42" t="n">
        <f aca="false">IF(C41=0,"",D41+1)</f>
        <v>19</v>
      </c>
      <c r="P41" s="40" t="n">
        <f aca="false">IF(C41=0,"",N41*C41)</f>
        <v>234</v>
      </c>
      <c r="Q41" s="43" t="n">
        <f aca="false">IF(C41=0,"",O41*C41)</f>
        <v>247</v>
      </c>
      <c r="R41" s="44"/>
      <c r="S41" s="45" t="n">
        <f aca="false">IF(C41=0,"",L41)</f>
        <v>13</v>
      </c>
      <c r="T41" s="46" t="n">
        <f aca="false">IF(C41=0,"",M41)</f>
        <v>526.5</v>
      </c>
    </row>
    <row r="42" customFormat="false" ht="12.75" hidden="false" customHeight="false" outlineLevel="0" collapsed="false">
      <c r="A42" s="47" t="n">
        <f aca="false">$C$2</f>
        <v>37019</v>
      </c>
      <c r="B42" s="12" t="n">
        <v>2</v>
      </c>
      <c r="C42" s="48" t="n">
        <f aca="false">INDEX(RtMw,C68+1,0)</f>
        <v>8</v>
      </c>
      <c r="D42" s="49" t="n">
        <f aca="false">INDEX(RTPrice,C68+1,0)</f>
        <v>18</v>
      </c>
      <c r="E42" s="50" t="n">
        <f aca="false">VLOOKUP(A42,Gas,4,FALSE())</f>
        <v>4.65</v>
      </c>
      <c r="F42" s="50" t="n">
        <f aca="false">VLOOKUP(A42,Gas,5,FALSE())</f>
        <v>4.65</v>
      </c>
      <c r="G42" s="51" t="n">
        <f aca="false">VLOOKUP(A42,Bogey,2,FALSE())</f>
        <v>59.5</v>
      </c>
      <c r="H42" s="52" t="n">
        <f aca="false">IF(C42&gt;0,G42-D42,"")</f>
        <v>41.5</v>
      </c>
      <c r="I42" s="53" t="n">
        <f aca="false">IF(C42&gt;0,H42*ABS(C42),"")</f>
        <v>332</v>
      </c>
      <c r="J42" s="54" t="n">
        <f aca="false">IF(C42=0,"",1)</f>
        <v>1</v>
      </c>
      <c r="K42" s="44" t="n">
        <f aca="false">IF(C42=0,"",G42-(D42+1))</f>
        <v>40.5</v>
      </c>
      <c r="L42" s="44" t="n">
        <f aca="false">IF(C42=0,"",C42*J42)</f>
        <v>8</v>
      </c>
      <c r="M42" s="55" t="n">
        <f aca="false">IF(C42=0,"",C42*K42)</f>
        <v>324</v>
      </c>
      <c r="N42" s="56" t="n">
        <f aca="false">IF(C42=0,"",D42)</f>
        <v>18</v>
      </c>
      <c r="O42" s="57" t="n">
        <f aca="false">IF(C42=0,"",D42+1)</f>
        <v>19</v>
      </c>
      <c r="P42" s="44" t="n">
        <f aca="false">IF(C42=0,"",N42*C42)</f>
        <v>144</v>
      </c>
      <c r="Q42" s="58" t="n">
        <f aca="false">IF(C42=0,"",O42*C42)</f>
        <v>152</v>
      </c>
      <c r="R42" s="44"/>
      <c r="S42" s="59" t="n">
        <f aca="false">IF(C42=0,"",L42)</f>
        <v>8</v>
      </c>
      <c r="T42" s="60" t="n">
        <f aca="false">IF(C42=0,"",M42)</f>
        <v>324</v>
      </c>
    </row>
    <row r="43" customFormat="false" ht="12.75" hidden="false" customHeight="false" outlineLevel="0" collapsed="false">
      <c r="A43" s="47" t="n">
        <f aca="false">$C$2</f>
        <v>37019</v>
      </c>
      <c r="B43" s="12" t="n">
        <v>3</v>
      </c>
      <c r="C43" s="48" t="n">
        <f aca="false">INDEX(RtMw,C68+2,0)</f>
        <v>4</v>
      </c>
      <c r="D43" s="49" t="n">
        <f aca="false">INDEX(RTPrice,C68+2,0)</f>
        <v>18</v>
      </c>
      <c r="E43" s="50" t="n">
        <f aca="false">VLOOKUP(A43,Gas,4,FALSE())</f>
        <v>4.65</v>
      </c>
      <c r="F43" s="50" t="n">
        <f aca="false">VLOOKUP(A43,Gas,5,FALSE())</f>
        <v>4.65</v>
      </c>
      <c r="G43" s="51" t="n">
        <f aca="false">VLOOKUP(A43,Bogey,2,FALSE())</f>
        <v>59.5</v>
      </c>
      <c r="H43" s="52" t="n">
        <f aca="false">IF(C43&gt;0,G43-D43,"")</f>
        <v>41.5</v>
      </c>
      <c r="I43" s="53" t="n">
        <f aca="false">IF(C43&gt;0,H43*ABS(C43),"")</f>
        <v>166</v>
      </c>
      <c r="J43" s="54" t="n">
        <f aca="false">IF(C43=0,"",1)</f>
        <v>1</v>
      </c>
      <c r="K43" s="44" t="n">
        <f aca="false">IF(C43=0,"",G43-(D43+1))</f>
        <v>40.5</v>
      </c>
      <c r="L43" s="44" t="n">
        <f aca="false">IF(C43=0,"",C43*J43)</f>
        <v>4</v>
      </c>
      <c r="M43" s="55" t="n">
        <f aca="false">IF(C43=0,"",C43*K43)</f>
        <v>162</v>
      </c>
      <c r="N43" s="56" t="n">
        <f aca="false">IF(C43=0,"",D43)</f>
        <v>18</v>
      </c>
      <c r="O43" s="57" t="n">
        <f aca="false">IF(C43=0,"",D43+1)</f>
        <v>19</v>
      </c>
      <c r="P43" s="44" t="n">
        <f aca="false">IF(C43=0,"",N43*C43)</f>
        <v>72</v>
      </c>
      <c r="Q43" s="58" t="n">
        <f aca="false">IF(C43=0,"",O43*C43)</f>
        <v>76</v>
      </c>
      <c r="R43" s="44"/>
      <c r="S43" s="59" t="n">
        <f aca="false">IF(C43=0,"",L43)</f>
        <v>4</v>
      </c>
      <c r="T43" s="60" t="n">
        <f aca="false">IF(C43=0,"",M43)</f>
        <v>162</v>
      </c>
    </row>
    <row r="44" customFormat="false" ht="12.75" hidden="false" customHeight="false" outlineLevel="0" collapsed="false">
      <c r="A44" s="47" t="n">
        <f aca="false">$C$2</f>
        <v>37019</v>
      </c>
      <c r="B44" s="12" t="n">
        <v>4</v>
      </c>
      <c r="C44" s="48" t="n">
        <f aca="false">INDEX(RtMw,C68+3,0)</f>
        <v>3</v>
      </c>
      <c r="D44" s="49" t="n">
        <f aca="false">INDEX(RTPrice,C68+3,0)</f>
        <v>18</v>
      </c>
      <c r="E44" s="50" t="n">
        <f aca="false">VLOOKUP(A44,Gas,4,FALSE())</f>
        <v>4.65</v>
      </c>
      <c r="F44" s="50" t="n">
        <f aca="false">VLOOKUP(A44,Gas,5,FALSE())</f>
        <v>4.65</v>
      </c>
      <c r="G44" s="51" t="n">
        <f aca="false">VLOOKUP(A44,Bogey,2,FALSE())</f>
        <v>59.5</v>
      </c>
      <c r="H44" s="52" t="n">
        <f aca="false">IF(C44&gt;0,G44-D44,"")</f>
        <v>41.5</v>
      </c>
      <c r="I44" s="53" t="n">
        <f aca="false">IF(C44&gt;0,H44*ABS(C44),"")</f>
        <v>124.5</v>
      </c>
      <c r="J44" s="54" t="n">
        <f aca="false">IF(C44=0,"",1)</f>
        <v>1</v>
      </c>
      <c r="K44" s="44" t="n">
        <f aca="false">IF(C44=0,"",G44-(D44+1))</f>
        <v>40.5</v>
      </c>
      <c r="L44" s="44" t="n">
        <f aca="false">IF(C44=0,"",C44*J44)</f>
        <v>3</v>
      </c>
      <c r="M44" s="55" t="n">
        <f aca="false">IF(C44=0,"",C44*K44)</f>
        <v>121.5</v>
      </c>
      <c r="N44" s="56" t="n">
        <f aca="false">IF(C44=0,"",D44)</f>
        <v>18</v>
      </c>
      <c r="O44" s="57" t="n">
        <f aca="false">IF(C44=0,"",D44+1)</f>
        <v>19</v>
      </c>
      <c r="P44" s="44" t="n">
        <f aca="false">IF(C44=0,"",N44*C44)</f>
        <v>54</v>
      </c>
      <c r="Q44" s="58" t="n">
        <f aca="false">IF(C44=0,"",O44*C44)</f>
        <v>57</v>
      </c>
      <c r="R44" s="44"/>
      <c r="S44" s="59" t="n">
        <f aca="false">IF(C44=0,"",L44)</f>
        <v>3</v>
      </c>
      <c r="T44" s="60" t="n">
        <f aca="false">IF(C44=0,"",M44)</f>
        <v>121.5</v>
      </c>
    </row>
    <row r="45" customFormat="false" ht="12.75" hidden="false" customHeight="false" outlineLevel="0" collapsed="false">
      <c r="A45" s="47" t="n">
        <f aca="false">$C$2</f>
        <v>37019</v>
      </c>
      <c r="B45" s="12" t="n">
        <v>5</v>
      </c>
      <c r="C45" s="48" t="n">
        <f aca="false">INDEX(RtMw,C68+4,0)</f>
        <v>3</v>
      </c>
      <c r="D45" s="49" t="n">
        <f aca="false">INDEX(RTPrice,C68+4,0)</f>
        <v>17</v>
      </c>
      <c r="E45" s="50" t="n">
        <f aca="false">VLOOKUP(A45,Gas,4,FALSE())</f>
        <v>4.65</v>
      </c>
      <c r="F45" s="50" t="n">
        <f aca="false">VLOOKUP(A45,Gas,5,FALSE())</f>
        <v>4.65</v>
      </c>
      <c r="G45" s="51" t="n">
        <f aca="false">VLOOKUP(A45,Bogey,2,FALSE())</f>
        <v>59.5</v>
      </c>
      <c r="H45" s="52" t="n">
        <f aca="false">IF(C45&gt;0,G45-D45,"")</f>
        <v>42.5</v>
      </c>
      <c r="I45" s="53" t="n">
        <f aca="false">IF(C45&gt;0,H45*ABS(C45),"")</f>
        <v>127.5</v>
      </c>
      <c r="J45" s="54" t="n">
        <f aca="false">IF(C45=0,"",1)</f>
        <v>1</v>
      </c>
      <c r="K45" s="44" t="n">
        <f aca="false">IF(C45=0,"",G45-(D45+1))</f>
        <v>41.5</v>
      </c>
      <c r="L45" s="44" t="n">
        <f aca="false">IF(C45=0,"",C45*J45)</f>
        <v>3</v>
      </c>
      <c r="M45" s="55" t="n">
        <f aca="false">IF(C45=0,"",C45*K45)</f>
        <v>124.5</v>
      </c>
      <c r="N45" s="56" t="n">
        <f aca="false">IF(C45=0,"",D45)</f>
        <v>17</v>
      </c>
      <c r="O45" s="57" t="n">
        <f aca="false">IF(C45=0,"",D45+1)</f>
        <v>18</v>
      </c>
      <c r="P45" s="44" t="n">
        <f aca="false">IF(C45=0,"",N45*C45)</f>
        <v>51</v>
      </c>
      <c r="Q45" s="58" t="n">
        <f aca="false">IF(C45=0,"",O45*C45)</f>
        <v>54</v>
      </c>
      <c r="R45" s="44"/>
      <c r="S45" s="59" t="n">
        <f aca="false">IF(C45=0,"",L45)</f>
        <v>3</v>
      </c>
      <c r="T45" s="60" t="n">
        <f aca="false">IF(C45=0,"",M45)</f>
        <v>124.5</v>
      </c>
    </row>
    <row r="46" customFormat="false" ht="12.75" hidden="false" customHeight="false" outlineLevel="0" collapsed="false">
      <c r="A46" s="47" t="n">
        <f aca="false">$C$2</f>
        <v>37019</v>
      </c>
      <c r="B46" s="12" t="n">
        <v>6</v>
      </c>
      <c r="C46" s="48" t="n">
        <f aca="false">INDEX(RtMw,C68+5,0)</f>
        <v>4</v>
      </c>
      <c r="D46" s="49" t="n">
        <f aca="false">INDEX(RTPrice,C68+5,0)</f>
        <v>18</v>
      </c>
      <c r="E46" s="50" t="n">
        <f aca="false">VLOOKUP(A46,Gas,4,FALSE())</f>
        <v>4.65</v>
      </c>
      <c r="F46" s="50" t="n">
        <f aca="false">VLOOKUP(A46,Gas,5,FALSE())</f>
        <v>4.65</v>
      </c>
      <c r="G46" s="51" t="n">
        <f aca="false">VLOOKUP(A46,Bogey,2,FALSE())</f>
        <v>59.5</v>
      </c>
      <c r="H46" s="52" t="n">
        <f aca="false">IF(C46&gt;0,G46-D46,"")</f>
        <v>41.5</v>
      </c>
      <c r="I46" s="53" t="n">
        <f aca="false">IF(C46&gt;0,H46*ABS(C46),"")</f>
        <v>166</v>
      </c>
      <c r="J46" s="54" t="n">
        <f aca="false">IF(C46=0,"",1)</f>
        <v>1</v>
      </c>
      <c r="K46" s="44" t="n">
        <f aca="false">IF(C46=0,"",G46-(D46+1))</f>
        <v>40.5</v>
      </c>
      <c r="L46" s="44" t="n">
        <f aca="false">IF(C46=0,"",C46*J46)</f>
        <v>4</v>
      </c>
      <c r="M46" s="55" t="n">
        <f aca="false">IF(C46=0,"",C46*K46)</f>
        <v>162</v>
      </c>
      <c r="N46" s="56" t="n">
        <f aca="false">IF(C46=0,"",D46)</f>
        <v>18</v>
      </c>
      <c r="O46" s="57" t="n">
        <f aca="false">IF(C46=0,"",D46+1)</f>
        <v>19</v>
      </c>
      <c r="P46" s="44" t="n">
        <f aca="false">IF(C46=0,"",N46*C46)</f>
        <v>72</v>
      </c>
      <c r="Q46" s="58" t="n">
        <f aca="false">IF(C46=0,"",O46*C46)</f>
        <v>76</v>
      </c>
      <c r="R46" s="44"/>
      <c r="S46" s="59" t="n">
        <f aca="false">IF(C46=0,"",L46)</f>
        <v>4</v>
      </c>
      <c r="T46" s="60" t="n">
        <f aca="false">IF(C46=0,"",M46)</f>
        <v>162</v>
      </c>
    </row>
    <row r="47" customFormat="false" ht="12.75" hidden="false" customHeight="false" outlineLevel="0" collapsed="false">
      <c r="A47" s="47" t="n">
        <f aca="false">$C$2</f>
        <v>37019</v>
      </c>
      <c r="B47" s="12" t="n">
        <v>7</v>
      </c>
      <c r="C47" s="48" t="str">
        <f aca="false">INDEX(RtMw,C68+6,0)</f>
        <v/>
      </c>
      <c r="D47" s="49" t="str">
        <f aca="false">INDEX(RTPrice,C68+6,0)</f>
        <v/>
      </c>
      <c r="E47" s="50" t="n">
        <f aca="false">VLOOKUP(A47,Gas,4,FALSE())</f>
        <v>4.65</v>
      </c>
      <c r="F47" s="50" t="n">
        <f aca="false">VLOOKUP(A47,Gas,5,FALSE())</f>
        <v>4.65</v>
      </c>
      <c r="G47" s="51" t="n">
        <f aca="false">VLOOKUP(A47,Bogey,2,FALSE())</f>
        <v>59.5</v>
      </c>
      <c r="H47" s="52" t="e">
        <f aca="false">IF(C47&gt;0,G47-D47,"")</f>
        <v>#VALUE!</v>
      </c>
      <c r="I47" s="53" t="e">
        <f aca="false">IF(C47&gt;0,H47*ABS(C47),"")</f>
        <v>#VALUE!</v>
      </c>
      <c r="J47" s="54" t="e">
        <f aca="false">IF($C47=0,"",$H47*0.4)</f>
        <v>#VALUE!</v>
      </c>
      <c r="K47" s="49" t="e">
        <f aca="false">IF($C47=0,"",$H47*0.6)</f>
        <v>#VALUE!</v>
      </c>
      <c r="L47" s="49" t="e">
        <f aca="false">IF(C47=0,"",J47*$C47)</f>
        <v>#VALUE!</v>
      </c>
      <c r="M47" s="55" t="e">
        <f aca="false">IF(C47=0,"",C47*K47)</f>
        <v>#VALUE!</v>
      </c>
      <c r="N47" s="56" t="str">
        <f aca="false">IF(C47=0,"",D47)</f>
        <v/>
      </c>
      <c r="O47" s="57" t="e">
        <f aca="false">IF(C47=0,"",D47+J47)</f>
        <v>#VALUE!</v>
      </c>
      <c r="P47" s="44" t="e">
        <f aca="false">IF(C47=0,"",N47*C47)</f>
        <v>#VALUE!</v>
      </c>
      <c r="Q47" s="58" t="e">
        <f aca="false">IF(C47=0,"",O47*C47)</f>
        <v>#VALUE!</v>
      </c>
      <c r="R47" s="44"/>
      <c r="S47" s="59" t="e">
        <f aca="false">IF(C47=0,"",L47)</f>
        <v>#VALUE!</v>
      </c>
      <c r="T47" s="60" t="e">
        <f aca="false">IF(C47=0,"",M47)</f>
        <v>#VALUE!</v>
      </c>
    </row>
    <row r="48" customFormat="false" ht="12.75" hidden="false" customHeight="false" outlineLevel="0" collapsed="false">
      <c r="A48" s="47" t="n">
        <f aca="false">$C$2</f>
        <v>37019</v>
      </c>
      <c r="B48" s="12" t="n">
        <v>8</v>
      </c>
      <c r="C48" s="48" t="str">
        <f aca="false">INDEX(RtMw,C68+7,0)</f>
        <v/>
      </c>
      <c r="D48" s="49" t="str">
        <f aca="false">INDEX(RTPrice,C68+7,0)</f>
        <v/>
      </c>
      <c r="E48" s="50" t="n">
        <f aca="false">VLOOKUP(A48,Gas,4,FALSE())</f>
        <v>4.65</v>
      </c>
      <c r="F48" s="50" t="n">
        <f aca="false">VLOOKUP(A48,Gas,5,FALSE())</f>
        <v>4.65</v>
      </c>
      <c r="G48" s="51" t="n">
        <f aca="false">VLOOKUP(A48,Bogey,2,FALSE())</f>
        <v>59.5</v>
      </c>
      <c r="H48" s="52" t="e">
        <f aca="false">IF(C48&gt;0,G48-D48,"")</f>
        <v>#VALUE!</v>
      </c>
      <c r="I48" s="53" t="e">
        <f aca="false">IF(C48&gt;0,H48*ABS(C48),"")</f>
        <v>#VALUE!</v>
      </c>
      <c r="J48" s="54" t="e">
        <f aca="false">IF($C48=0,"",$H48*0.4)</f>
        <v>#VALUE!</v>
      </c>
      <c r="K48" s="49" t="e">
        <f aca="false">IF($C48=0,"",$H48*0.6)</f>
        <v>#VALUE!</v>
      </c>
      <c r="L48" s="49" t="e">
        <f aca="false">IF(C48=0,"",J48*$C48)</f>
        <v>#VALUE!</v>
      </c>
      <c r="M48" s="55" t="e">
        <f aca="false">IF(C48=0,"",C48*K48)</f>
        <v>#VALUE!</v>
      </c>
      <c r="N48" s="56" t="str">
        <f aca="false">IF(C48=0,"",D48)</f>
        <v/>
      </c>
      <c r="O48" s="57" t="e">
        <f aca="false">IF(C48=0,"",D48+J48)</f>
        <v>#VALUE!</v>
      </c>
      <c r="P48" s="44" t="e">
        <f aca="false">IF(C48=0,"",N48*C48)</f>
        <v>#VALUE!</v>
      </c>
      <c r="Q48" s="58" t="e">
        <f aca="false">IF(C48=0,"",O48*C48)</f>
        <v>#VALUE!</v>
      </c>
      <c r="R48" s="44"/>
      <c r="S48" s="59" t="e">
        <f aca="false">IF(C48=0,"",L48)</f>
        <v>#VALUE!</v>
      </c>
      <c r="T48" s="60" t="e">
        <f aca="false">IF(C48=0,"",M48)</f>
        <v>#VALUE!</v>
      </c>
    </row>
    <row r="49" customFormat="false" ht="12.75" hidden="false" customHeight="false" outlineLevel="0" collapsed="false">
      <c r="A49" s="47" t="n">
        <f aca="false">$C$2</f>
        <v>37019</v>
      </c>
      <c r="B49" s="12" t="n">
        <v>9</v>
      </c>
      <c r="C49" s="48" t="str">
        <f aca="false">INDEX(RtMw,C68+8,0)</f>
        <v/>
      </c>
      <c r="D49" s="49" t="str">
        <f aca="false">INDEX(RTPrice,C68+8,0)</f>
        <v/>
      </c>
      <c r="E49" s="50" t="n">
        <f aca="false">VLOOKUP(A49,Gas,4,FALSE())</f>
        <v>4.65</v>
      </c>
      <c r="F49" s="50" t="n">
        <f aca="false">VLOOKUP(A49,Gas,5,FALSE())</f>
        <v>4.65</v>
      </c>
      <c r="G49" s="51" t="n">
        <f aca="false">VLOOKUP(A49,Bogey,2,FALSE())</f>
        <v>59.5</v>
      </c>
      <c r="H49" s="52" t="e">
        <f aca="false">IF(C49&gt;0,G49-D49,"")</f>
        <v>#VALUE!</v>
      </c>
      <c r="I49" s="53" t="e">
        <f aca="false">IF(C49&gt;0,H49*ABS(C49),"")</f>
        <v>#VALUE!</v>
      </c>
      <c r="J49" s="54" t="e">
        <f aca="false">IF($C49=0,"",$H49*0.4)</f>
        <v>#VALUE!</v>
      </c>
      <c r="K49" s="49" t="e">
        <f aca="false">IF($C49=0,"",$H49*0.6)</f>
        <v>#VALUE!</v>
      </c>
      <c r="L49" s="49" t="e">
        <f aca="false">IF(C49=0,"",J49*$C49)</f>
        <v>#VALUE!</v>
      </c>
      <c r="M49" s="55" t="e">
        <f aca="false">IF(C49=0,"",C49*K49)</f>
        <v>#VALUE!</v>
      </c>
      <c r="N49" s="56" t="str">
        <f aca="false">IF(C49=0,"",D49)</f>
        <v/>
      </c>
      <c r="O49" s="57" t="e">
        <f aca="false">IF(C49=0,"",D49+J49)</f>
        <v>#VALUE!</v>
      </c>
      <c r="P49" s="44" t="e">
        <f aca="false">IF(C49=0,"",N49*C49)</f>
        <v>#VALUE!</v>
      </c>
      <c r="Q49" s="58" t="e">
        <f aca="false">IF(C49=0,"",O49*C49)</f>
        <v>#VALUE!</v>
      </c>
      <c r="R49" s="44"/>
      <c r="S49" s="59" t="e">
        <f aca="false">IF(C49=0,"",L49)</f>
        <v>#VALUE!</v>
      </c>
      <c r="T49" s="60" t="e">
        <f aca="false">IF(C49=0,"",M49)</f>
        <v>#VALUE!</v>
      </c>
    </row>
    <row r="50" customFormat="false" ht="12.75" hidden="false" customHeight="false" outlineLevel="0" collapsed="false">
      <c r="A50" s="47" t="n">
        <f aca="false">$C$2</f>
        <v>37019</v>
      </c>
      <c r="B50" s="12" t="n">
        <v>10</v>
      </c>
      <c r="C50" s="48" t="str">
        <f aca="false">INDEX(RtMw,C68+9,0)</f>
        <v/>
      </c>
      <c r="D50" s="49" t="str">
        <f aca="false">INDEX(RTPrice,C68+9,0)</f>
        <v/>
      </c>
      <c r="E50" s="50" t="n">
        <f aca="false">VLOOKUP(A50,Gas,4,FALSE())</f>
        <v>4.65</v>
      </c>
      <c r="F50" s="50" t="n">
        <f aca="false">VLOOKUP(A50,Gas,5,FALSE())</f>
        <v>4.65</v>
      </c>
      <c r="G50" s="51" t="n">
        <f aca="false">VLOOKUP(A50,Bogey,2,FALSE())</f>
        <v>59.5</v>
      </c>
      <c r="H50" s="52" t="e">
        <f aca="false">IF(C50&gt;0,G50-D50,"")</f>
        <v>#VALUE!</v>
      </c>
      <c r="I50" s="53" t="e">
        <f aca="false">IF(C50&gt;0,H50*ABS(C50),"")</f>
        <v>#VALUE!</v>
      </c>
      <c r="J50" s="54" t="e">
        <f aca="false">IF($C50=0,"",$H50*0.4)</f>
        <v>#VALUE!</v>
      </c>
      <c r="K50" s="49" t="e">
        <f aca="false">IF($C50=0,"",$H50*0.6)</f>
        <v>#VALUE!</v>
      </c>
      <c r="L50" s="49" t="e">
        <f aca="false">IF(C50=0,"",J50*$C50)</f>
        <v>#VALUE!</v>
      </c>
      <c r="M50" s="55" t="e">
        <f aca="false">IF(C50=0,"",C50*K50)</f>
        <v>#VALUE!</v>
      </c>
      <c r="N50" s="56" t="str">
        <f aca="false">IF(C50=0,"",D50)</f>
        <v/>
      </c>
      <c r="O50" s="57" t="e">
        <f aca="false">IF(C50=0,"",D50+J50)</f>
        <v>#VALUE!</v>
      </c>
      <c r="P50" s="44" t="e">
        <f aca="false">IF(C50=0,"",N50*C50)</f>
        <v>#VALUE!</v>
      </c>
      <c r="Q50" s="58" t="e">
        <f aca="false">IF(C50=0,"",O50*C50)</f>
        <v>#VALUE!</v>
      </c>
      <c r="R50" s="44"/>
      <c r="S50" s="59" t="e">
        <f aca="false">IF(C50=0,"",L50)</f>
        <v>#VALUE!</v>
      </c>
      <c r="T50" s="60" t="e">
        <f aca="false">IF(C50=0,"",M50)</f>
        <v>#VALUE!</v>
      </c>
    </row>
    <row r="51" customFormat="false" ht="12.75" hidden="false" customHeight="false" outlineLevel="0" collapsed="false">
      <c r="A51" s="47" t="n">
        <f aca="false">$C$2</f>
        <v>37019</v>
      </c>
      <c r="B51" s="12" t="n">
        <v>11</v>
      </c>
      <c r="C51" s="48" t="str">
        <f aca="false">INDEX(RtMw,C68+10,0)</f>
        <v/>
      </c>
      <c r="D51" s="49" t="str">
        <f aca="false">INDEX(RTPrice,C68+10,0)</f>
        <v/>
      </c>
      <c r="E51" s="50" t="n">
        <f aca="false">VLOOKUP(A51,Gas,4,FALSE())</f>
        <v>4.65</v>
      </c>
      <c r="F51" s="50" t="n">
        <f aca="false">VLOOKUP(A51,Gas,5,FALSE())</f>
        <v>4.65</v>
      </c>
      <c r="G51" s="51" t="n">
        <f aca="false">VLOOKUP(A51,Bogey,2,FALSE())</f>
        <v>59.5</v>
      </c>
      <c r="H51" s="52" t="e">
        <f aca="false">IF(C51&gt;0,G51-D51,"")</f>
        <v>#VALUE!</v>
      </c>
      <c r="I51" s="53" t="e">
        <f aca="false">IF(C51&gt;0,H51*ABS(C51),"")</f>
        <v>#VALUE!</v>
      </c>
      <c r="J51" s="54" t="e">
        <f aca="false">IF($C51=0,"",$H51*0.4)</f>
        <v>#VALUE!</v>
      </c>
      <c r="K51" s="49" t="e">
        <f aca="false">IF($C51=0,"",$H51*0.6)</f>
        <v>#VALUE!</v>
      </c>
      <c r="L51" s="49" t="e">
        <f aca="false">IF(C51=0,"",J51*$C51)</f>
        <v>#VALUE!</v>
      </c>
      <c r="M51" s="55" t="e">
        <f aca="false">IF(C51=0,"",C51*K51)</f>
        <v>#VALUE!</v>
      </c>
      <c r="N51" s="56" t="str">
        <f aca="false">IF(C51=0,"",D51)</f>
        <v/>
      </c>
      <c r="O51" s="57" t="e">
        <f aca="false">IF(C51=0,"",D51+J51)</f>
        <v>#VALUE!</v>
      </c>
      <c r="P51" s="44" t="e">
        <f aca="false">IF(C51=0,"",N51*C51)</f>
        <v>#VALUE!</v>
      </c>
      <c r="Q51" s="58" t="e">
        <f aca="false">IF(C51=0,"",O51*C51)</f>
        <v>#VALUE!</v>
      </c>
      <c r="R51" s="44"/>
      <c r="S51" s="59" t="e">
        <f aca="false">IF(C51=0,"",L51)</f>
        <v>#VALUE!</v>
      </c>
      <c r="T51" s="60" t="e">
        <f aca="false">IF(C51=0,"",M51)</f>
        <v>#VALUE!</v>
      </c>
    </row>
    <row r="52" customFormat="false" ht="12.75" hidden="false" customHeight="false" outlineLevel="0" collapsed="false">
      <c r="A52" s="47" t="n">
        <f aca="false">$C$2</f>
        <v>37019</v>
      </c>
      <c r="B52" s="12" t="n">
        <v>12</v>
      </c>
      <c r="C52" s="48" t="str">
        <f aca="false">INDEX(RtMw,C68+11,0)</f>
        <v/>
      </c>
      <c r="D52" s="49" t="str">
        <f aca="false">INDEX(RTPrice,C68+11,0)</f>
        <v/>
      </c>
      <c r="E52" s="50" t="n">
        <f aca="false">VLOOKUP(A52,Gas,4,FALSE())</f>
        <v>4.65</v>
      </c>
      <c r="F52" s="50" t="n">
        <f aca="false">VLOOKUP(A52,Gas,5,FALSE())</f>
        <v>4.65</v>
      </c>
      <c r="G52" s="51" t="n">
        <f aca="false">VLOOKUP(A52,Bogey,2,FALSE())</f>
        <v>59.5</v>
      </c>
      <c r="H52" s="52" t="e">
        <f aca="false">IF(C52&gt;0,G52-D52,"")</f>
        <v>#VALUE!</v>
      </c>
      <c r="I52" s="53" t="e">
        <f aca="false">IF(C52&gt;0,H52*ABS(C52),"")</f>
        <v>#VALUE!</v>
      </c>
      <c r="J52" s="54" t="e">
        <f aca="false">IF($C52=0,"",$H52*0.4)</f>
        <v>#VALUE!</v>
      </c>
      <c r="K52" s="49" t="e">
        <f aca="false">IF($C52=0,"",$H52*0.6)</f>
        <v>#VALUE!</v>
      </c>
      <c r="L52" s="49" t="e">
        <f aca="false">IF(C52=0,"",J52*$C52)</f>
        <v>#VALUE!</v>
      </c>
      <c r="M52" s="55" t="e">
        <f aca="false">IF(C52=0,"",C52*K52)</f>
        <v>#VALUE!</v>
      </c>
      <c r="N52" s="56" t="str">
        <f aca="false">IF(C52=0,"",D52)</f>
        <v/>
      </c>
      <c r="O52" s="57" t="e">
        <f aca="false">IF(C52=0,"",D52+J52)</f>
        <v>#VALUE!</v>
      </c>
      <c r="P52" s="44" t="e">
        <f aca="false">IF(C52=0,"",N52*C52)</f>
        <v>#VALUE!</v>
      </c>
      <c r="Q52" s="58" t="e">
        <f aca="false">IF(C52=0,"",O52*C52)</f>
        <v>#VALUE!</v>
      </c>
      <c r="R52" s="44"/>
      <c r="S52" s="59" t="e">
        <f aca="false">IF(C52=0,"",L52)</f>
        <v>#VALUE!</v>
      </c>
      <c r="T52" s="60" t="e">
        <f aca="false">IF(C52=0,"",M52)</f>
        <v>#VALUE!</v>
      </c>
    </row>
    <row r="53" customFormat="false" ht="12.75" hidden="false" customHeight="false" outlineLevel="0" collapsed="false">
      <c r="A53" s="47" t="n">
        <f aca="false">$C$2</f>
        <v>37019</v>
      </c>
      <c r="B53" s="12" t="n">
        <v>13</v>
      </c>
      <c r="C53" s="48" t="str">
        <f aca="false">INDEX(RtMw,C68+12,0)</f>
        <v/>
      </c>
      <c r="D53" s="49" t="str">
        <f aca="false">INDEX(RTPrice,C68+12,0)</f>
        <v/>
      </c>
      <c r="E53" s="50" t="n">
        <f aca="false">VLOOKUP(A53,Gas,4,FALSE())</f>
        <v>4.65</v>
      </c>
      <c r="F53" s="50" t="n">
        <f aca="false">VLOOKUP(A53,Gas,5,FALSE())</f>
        <v>4.65</v>
      </c>
      <c r="G53" s="51" t="n">
        <f aca="false">VLOOKUP(A53,Bogey,2,FALSE())</f>
        <v>59.5</v>
      </c>
      <c r="H53" s="52" t="e">
        <f aca="false">IF(C53&gt;0,G53-D53,"")</f>
        <v>#VALUE!</v>
      </c>
      <c r="I53" s="53" t="e">
        <f aca="false">IF(C53&gt;0,H53*ABS(C53),"")</f>
        <v>#VALUE!</v>
      </c>
      <c r="J53" s="54" t="e">
        <f aca="false">IF($C53=0,"",$H53*0.4)</f>
        <v>#VALUE!</v>
      </c>
      <c r="K53" s="49" t="e">
        <f aca="false">IF($C53=0,"",$H53*0.6)</f>
        <v>#VALUE!</v>
      </c>
      <c r="L53" s="49" t="e">
        <f aca="false">IF(C53=0,"",J53*$C53)</f>
        <v>#VALUE!</v>
      </c>
      <c r="M53" s="55" t="e">
        <f aca="false">IF(C53=0,"",C53*K53)</f>
        <v>#VALUE!</v>
      </c>
      <c r="N53" s="56" t="str">
        <f aca="false">IF(C53=0,"",D53)</f>
        <v/>
      </c>
      <c r="O53" s="57" t="e">
        <f aca="false">IF(C53=0,"",D53+J53)</f>
        <v>#VALUE!</v>
      </c>
      <c r="P53" s="44" t="e">
        <f aca="false">IF(C53=0,"",N53*C53)</f>
        <v>#VALUE!</v>
      </c>
      <c r="Q53" s="58" t="e">
        <f aca="false">IF(C53=0,"",O53*C53)</f>
        <v>#VALUE!</v>
      </c>
      <c r="R53" s="44"/>
      <c r="S53" s="59" t="e">
        <f aca="false">IF(C53=0,"",L53)</f>
        <v>#VALUE!</v>
      </c>
      <c r="T53" s="60" t="e">
        <f aca="false">IF(C53=0,"",M53)</f>
        <v>#VALUE!</v>
      </c>
    </row>
    <row r="54" customFormat="false" ht="12.75" hidden="false" customHeight="false" outlineLevel="0" collapsed="false">
      <c r="A54" s="47" t="n">
        <f aca="false">$C$2</f>
        <v>37019</v>
      </c>
      <c r="B54" s="12" t="n">
        <v>14</v>
      </c>
      <c r="C54" s="48" t="str">
        <f aca="false">INDEX(RtMw,C68+13,0)</f>
        <v/>
      </c>
      <c r="D54" s="49" t="str">
        <f aca="false">INDEX(RTPrice,C68+13,0)</f>
        <v/>
      </c>
      <c r="E54" s="50" t="n">
        <f aca="false">VLOOKUP(A54,Gas,4,FALSE())</f>
        <v>4.65</v>
      </c>
      <c r="F54" s="50" t="n">
        <f aca="false">VLOOKUP(A54,Gas,5,FALSE())</f>
        <v>4.65</v>
      </c>
      <c r="G54" s="51" t="n">
        <f aca="false">VLOOKUP(A54,Bogey,2,FALSE())</f>
        <v>59.5</v>
      </c>
      <c r="H54" s="52" t="e">
        <f aca="false">IF(C54&gt;0,G54-D54,"")</f>
        <v>#VALUE!</v>
      </c>
      <c r="I54" s="53" t="e">
        <f aca="false">IF(C54&gt;0,H54*ABS(C54),"")</f>
        <v>#VALUE!</v>
      </c>
      <c r="J54" s="54" t="e">
        <f aca="false">IF($C54=0,"",$H54*0.4)</f>
        <v>#VALUE!</v>
      </c>
      <c r="K54" s="49" t="e">
        <f aca="false">IF($C54=0,"",$H54*0.6)</f>
        <v>#VALUE!</v>
      </c>
      <c r="L54" s="49" t="e">
        <f aca="false">IF(C54=0,"",J54*$C54)</f>
        <v>#VALUE!</v>
      </c>
      <c r="M54" s="55" t="e">
        <f aca="false">IF(C54=0,"",C54*K54)</f>
        <v>#VALUE!</v>
      </c>
      <c r="N54" s="56" t="str">
        <f aca="false">IF(C54=0,"",D54)</f>
        <v/>
      </c>
      <c r="O54" s="57" t="e">
        <f aca="false">IF(C54=0,"",D54+J54)</f>
        <v>#VALUE!</v>
      </c>
      <c r="P54" s="44" t="e">
        <f aca="false">IF(C54=0,"",N54*C54)</f>
        <v>#VALUE!</v>
      </c>
      <c r="Q54" s="58" t="e">
        <f aca="false">IF(C54=0,"",O54*C54)</f>
        <v>#VALUE!</v>
      </c>
      <c r="R54" s="44"/>
      <c r="S54" s="59" t="e">
        <f aca="false">IF(C54=0,"",L54)</f>
        <v>#VALUE!</v>
      </c>
      <c r="T54" s="60" t="e">
        <f aca="false">IF(C54=0,"",M54)</f>
        <v>#VALUE!</v>
      </c>
    </row>
    <row r="55" customFormat="false" ht="12.75" hidden="false" customHeight="false" outlineLevel="0" collapsed="false">
      <c r="A55" s="47" t="n">
        <f aca="false">$C$2</f>
        <v>37019</v>
      </c>
      <c r="B55" s="12" t="n">
        <v>15</v>
      </c>
      <c r="C55" s="48" t="str">
        <f aca="false">INDEX(RtMw,C68+14,0)</f>
        <v/>
      </c>
      <c r="D55" s="49" t="str">
        <f aca="false">INDEX(RTPrice,C68+14,0)</f>
        <v/>
      </c>
      <c r="E55" s="50" t="n">
        <f aca="false">VLOOKUP(A55,Gas,4,FALSE())</f>
        <v>4.65</v>
      </c>
      <c r="F55" s="50" t="n">
        <f aca="false">VLOOKUP(A55,Gas,5,FALSE())</f>
        <v>4.65</v>
      </c>
      <c r="G55" s="51" t="n">
        <f aca="false">VLOOKUP(A55,Bogey,2,FALSE())</f>
        <v>59.5</v>
      </c>
      <c r="H55" s="52" t="e">
        <f aca="false">IF(C55&gt;0,G55-D55,"")</f>
        <v>#VALUE!</v>
      </c>
      <c r="I55" s="53" t="e">
        <f aca="false">IF(C55&gt;0,H55*ABS(C55),"")</f>
        <v>#VALUE!</v>
      </c>
      <c r="J55" s="54" t="e">
        <f aca="false">IF($C55=0,"",$H55*0.4)</f>
        <v>#VALUE!</v>
      </c>
      <c r="K55" s="49" t="e">
        <f aca="false">IF($C55=0,"",$H55*0.6)</f>
        <v>#VALUE!</v>
      </c>
      <c r="L55" s="49" t="e">
        <f aca="false">IF(C55=0,"",J55*$C55)</f>
        <v>#VALUE!</v>
      </c>
      <c r="M55" s="55" t="e">
        <f aca="false">IF(C55=0,"",C55*K55)</f>
        <v>#VALUE!</v>
      </c>
      <c r="N55" s="56" t="str">
        <f aca="false">IF(C55=0,"",D55)</f>
        <v/>
      </c>
      <c r="O55" s="57"/>
      <c r="P55" s="44" t="e">
        <f aca="false">IF(C55=0,"",N55*C55)</f>
        <v>#VALUE!</v>
      </c>
      <c r="Q55" s="58" t="e">
        <f aca="false">IF(C55=0,"",O55*C55)</f>
        <v>#VALUE!</v>
      </c>
      <c r="R55" s="44"/>
      <c r="S55" s="59" t="e">
        <f aca="false">IF(C55=0,"",L55)</f>
        <v>#VALUE!</v>
      </c>
      <c r="T55" s="60" t="e">
        <f aca="false">IF(C55=0,"",M55)</f>
        <v>#VALUE!</v>
      </c>
    </row>
    <row r="56" customFormat="false" ht="12.75" hidden="false" customHeight="false" outlineLevel="0" collapsed="false">
      <c r="A56" s="47" t="n">
        <f aca="false">$C$2</f>
        <v>37019</v>
      </c>
      <c r="B56" s="12" t="n">
        <v>16</v>
      </c>
      <c r="C56" s="48" t="str">
        <f aca="false">INDEX(RtMw,C68+15,0)</f>
        <v/>
      </c>
      <c r="D56" s="49" t="str">
        <f aca="false">INDEX(RTPrice,C68+15,0)</f>
        <v/>
      </c>
      <c r="E56" s="50" t="n">
        <f aca="false">VLOOKUP(A56,Gas,4,FALSE())</f>
        <v>4.65</v>
      </c>
      <c r="F56" s="50" t="n">
        <f aca="false">VLOOKUP(A56,Gas,5,FALSE())</f>
        <v>4.65</v>
      </c>
      <c r="G56" s="51" t="n">
        <f aca="false">VLOOKUP(A56,Bogey,2,FALSE())</f>
        <v>59.5</v>
      </c>
      <c r="H56" s="52" t="e">
        <f aca="false">IF(C56&gt;0,G56-D56,"")</f>
        <v>#VALUE!</v>
      </c>
      <c r="I56" s="53" t="e">
        <f aca="false">IF(C56&gt;0,H56*ABS(C56),"")</f>
        <v>#VALUE!</v>
      </c>
      <c r="J56" s="54" t="e">
        <f aca="false">IF($C56=0,"",$H56*0.4)</f>
        <v>#VALUE!</v>
      </c>
      <c r="K56" s="49" t="e">
        <f aca="false">IF($C56=0,"",$H56*0.6)</f>
        <v>#VALUE!</v>
      </c>
      <c r="L56" s="49" t="e">
        <f aca="false">IF(C56=0,"",J56*$C56)</f>
        <v>#VALUE!</v>
      </c>
      <c r="M56" s="55" t="e">
        <f aca="false">IF(C56=0,"",C56*K56)</f>
        <v>#VALUE!</v>
      </c>
      <c r="N56" s="56" t="str">
        <f aca="false">IF(C56=0,"",D56)</f>
        <v/>
      </c>
      <c r="O56" s="57"/>
      <c r="P56" s="44" t="e">
        <f aca="false">IF(C56=0,"",N56*C56)</f>
        <v>#VALUE!</v>
      </c>
      <c r="Q56" s="58" t="e">
        <f aca="false">IF(C56=0,"",O56*C56)</f>
        <v>#VALUE!</v>
      </c>
      <c r="R56" s="44"/>
      <c r="S56" s="59" t="e">
        <f aca="false">IF(C56=0,"",L56)</f>
        <v>#VALUE!</v>
      </c>
      <c r="T56" s="60" t="e">
        <f aca="false">IF(C56=0,"",M56)</f>
        <v>#VALUE!</v>
      </c>
    </row>
    <row r="57" customFormat="false" ht="12.75" hidden="false" customHeight="false" outlineLevel="0" collapsed="false">
      <c r="A57" s="47" t="n">
        <f aca="false">$C$2</f>
        <v>37019</v>
      </c>
      <c r="B57" s="12" t="n">
        <v>17</v>
      </c>
      <c r="C57" s="48" t="str">
        <f aca="false">INDEX(RtMw,C68+16,0)</f>
        <v/>
      </c>
      <c r="D57" s="49" t="str">
        <f aca="false">INDEX(RTPrice,C68+16,0)</f>
        <v/>
      </c>
      <c r="E57" s="50" t="n">
        <f aca="false">VLOOKUP(A57,Gas,4,FALSE())</f>
        <v>4.65</v>
      </c>
      <c r="F57" s="50" t="n">
        <f aca="false">VLOOKUP(A57,Gas,5,FALSE())</f>
        <v>4.65</v>
      </c>
      <c r="G57" s="51" t="n">
        <f aca="false">VLOOKUP(A57,Bogey,2,FALSE())</f>
        <v>59.5</v>
      </c>
      <c r="H57" s="52" t="e">
        <f aca="false">IF(C57&gt;0,G57-D57,"")</f>
        <v>#VALUE!</v>
      </c>
      <c r="I57" s="53" t="e">
        <f aca="false">IF(C57&gt;0,H57*ABS(C57),"")</f>
        <v>#VALUE!</v>
      </c>
      <c r="J57" s="54" t="e">
        <f aca="false">IF($C57=0,"",$H57*0.4)</f>
        <v>#VALUE!</v>
      </c>
      <c r="K57" s="49" t="e">
        <f aca="false">IF($C57=0,"",$H57*0.6)</f>
        <v>#VALUE!</v>
      </c>
      <c r="L57" s="49" t="e">
        <f aca="false">IF(C57=0,"",J57*$C57)</f>
        <v>#VALUE!</v>
      </c>
      <c r="M57" s="55" t="e">
        <f aca="false">IF(C57=0,"",C57*K57)</f>
        <v>#VALUE!</v>
      </c>
      <c r="N57" s="56" t="str">
        <f aca="false">IF(C57=0,"",D57)</f>
        <v/>
      </c>
      <c r="O57" s="57"/>
      <c r="P57" s="44" t="e">
        <f aca="false">IF(C57=0,"",N57*C57)</f>
        <v>#VALUE!</v>
      </c>
      <c r="Q57" s="58" t="e">
        <f aca="false">IF(C57=0,"",O57*C57)</f>
        <v>#VALUE!</v>
      </c>
      <c r="R57" s="44"/>
      <c r="S57" s="59" t="e">
        <f aca="false">IF(C57=0,"",L57)</f>
        <v>#VALUE!</v>
      </c>
      <c r="T57" s="60" t="e">
        <f aca="false">IF(C57=0,"",M57)</f>
        <v>#VALUE!</v>
      </c>
    </row>
    <row r="58" customFormat="false" ht="12.75" hidden="false" customHeight="false" outlineLevel="0" collapsed="false">
      <c r="A58" s="47" t="n">
        <f aca="false">$C$2</f>
        <v>37019</v>
      </c>
      <c r="B58" s="12" t="n">
        <v>18</v>
      </c>
      <c r="C58" s="48" t="str">
        <f aca="false">INDEX(RtMw,C68+17,0)</f>
        <v/>
      </c>
      <c r="D58" s="49" t="str">
        <f aca="false">INDEX(RTPrice,C68+17,0)</f>
        <v/>
      </c>
      <c r="E58" s="50" t="n">
        <f aca="false">VLOOKUP(A58,Gas,4,FALSE())</f>
        <v>4.65</v>
      </c>
      <c r="F58" s="50" t="n">
        <f aca="false">VLOOKUP(A58,Gas,5,FALSE())</f>
        <v>4.65</v>
      </c>
      <c r="G58" s="51" t="n">
        <f aca="false">VLOOKUP(A58,Bogey,2,FALSE())</f>
        <v>59.5</v>
      </c>
      <c r="H58" s="52" t="e">
        <f aca="false">IF(C58&gt;0,G58-D58,"")</f>
        <v>#VALUE!</v>
      </c>
      <c r="I58" s="53" t="e">
        <f aca="false">IF(C58&gt;0,H58*ABS(C58),"")</f>
        <v>#VALUE!</v>
      </c>
      <c r="J58" s="54" t="e">
        <f aca="false">IF($C58=0,"",$H58*0.4)</f>
        <v>#VALUE!</v>
      </c>
      <c r="K58" s="49" t="e">
        <f aca="false">IF($C58=0,"",$H58*0.6)</f>
        <v>#VALUE!</v>
      </c>
      <c r="L58" s="49" t="e">
        <f aca="false">IF(C58=0,"",J58*$C58)</f>
        <v>#VALUE!</v>
      </c>
      <c r="M58" s="55" t="e">
        <f aca="false">IF(C58=0,"",C58*K58)</f>
        <v>#VALUE!</v>
      </c>
      <c r="N58" s="56" t="str">
        <f aca="false">IF(C58=0,"",D58)</f>
        <v/>
      </c>
      <c r="O58" s="57"/>
      <c r="P58" s="44" t="e">
        <f aca="false">IF(C58=0,"",N58*C58)</f>
        <v>#VALUE!</v>
      </c>
      <c r="Q58" s="58" t="e">
        <f aca="false">IF(C58=0,"",O58*C58)</f>
        <v>#VALUE!</v>
      </c>
      <c r="R58" s="44"/>
      <c r="S58" s="59" t="e">
        <f aca="false">IF(C58=0,"",L58)</f>
        <v>#VALUE!</v>
      </c>
      <c r="T58" s="60" t="e">
        <f aca="false">IF(C58=0,"",M58)</f>
        <v>#VALUE!</v>
      </c>
    </row>
    <row r="59" customFormat="false" ht="12.75" hidden="false" customHeight="false" outlineLevel="0" collapsed="false">
      <c r="A59" s="47" t="n">
        <f aca="false">$C$2</f>
        <v>37019</v>
      </c>
      <c r="B59" s="12" t="n">
        <v>19</v>
      </c>
      <c r="C59" s="48" t="str">
        <f aca="false">INDEX(RtMw,C68+18,0)</f>
        <v/>
      </c>
      <c r="D59" s="49" t="str">
        <f aca="false">INDEX(RTPrice,C68+18,0)</f>
        <v/>
      </c>
      <c r="E59" s="50" t="n">
        <f aca="false">VLOOKUP(A59,Gas,4,FALSE())</f>
        <v>4.65</v>
      </c>
      <c r="F59" s="50" t="n">
        <f aca="false">VLOOKUP(A59,Gas,5,FALSE())</f>
        <v>4.65</v>
      </c>
      <c r="G59" s="51" t="n">
        <f aca="false">VLOOKUP(A59,Bogey,2,FALSE())</f>
        <v>59.5</v>
      </c>
      <c r="H59" s="52" t="e">
        <f aca="false">IF(C59&gt;0,G59-D59,"")</f>
        <v>#VALUE!</v>
      </c>
      <c r="I59" s="53" t="e">
        <f aca="false">IF(C59&gt;0,H59*ABS(C59),"")</f>
        <v>#VALUE!</v>
      </c>
      <c r="J59" s="54" t="e">
        <f aca="false">IF($C59=0,"",$H59*0.4)</f>
        <v>#VALUE!</v>
      </c>
      <c r="K59" s="49" t="e">
        <f aca="false">IF($C59=0,"",$H59*0.6)</f>
        <v>#VALUE!</v>
      </c>
      <c r="L59" s="49" t="e">
        <f aca="false">IF(C59=0,"",J59*$C59)</f>
        <v>#VALUE!</v>
      </c>
      <c r="M59" s="55" t="e">
        <f aca="false">IF(C59=0,"",C59*K59)</f>
        <v>#VALUE!</v>
      </c>
      <c r="N59" s="56" t="str">
        <f aca="false">IF(C59=0,"",D59)</f>
        <v/>
      </c>
      <c r="O59" s="57"/>
      <c r="P59" s="44" t="e">
        <f aca="false">IF(C59=0,"",N59*C59)</f>
        <v>#VALUE!</v>
      </c>
      <c r="Q59" s="58" t="e">
        <f aca="false">IF(C59=0,"",O59*C59)</f>
        <v>#VALUE!</v>
      </c>
      <c r="R59" s="44"/>
      <c r="S59" s="59" t="e">
        <f aca="false">IF(C59=0,"",L59)</f>
        <v>#VALUE!</v>
      </c>
      <c r="T59" s="60" t="e">
        <f aca="false">IF(C59=0,"",M59)</f>
        <v>#VALUE!</v>
      </c>
    </row>
    <row r="60" customFormat="false" ht="12.75" hidden="false" customHeight="false" outlineLevel="0" collapsed="false">
      <c r="A60" s="47" t="n">
        <f aca="false">$C$2</f>
        <v>37019</v>
      </c>
      <c r="B60" s="12" t="n">
        <v>20</v>
      </c>
      <c r="C60" s="48" t="str">
        <f aca="false">INDEX(RtMw,C68+19,0)</f>
        <v/>
      </c>
      <c r="D60" s="49" t="str">
        <f aca="false">INDEX(RTPrice,C68+19,0)</f>
        <v/>
      </c>
      <c r="E60" s="50" t="n">
        <f aca="false">VLOOKUP(A60,Gas,4,FALSE())</f>
        <v>4.65</v>
      </c>
      <c r="F60" s="50" t="n">
        <f aca="false">VLOOKUP(A60,Gas,5,FALSE())</f>
        <v>4.65</v>
      </c>
      <c r="G60" s="51" t="n">
        <f aca="false">VLOOKUP(A60,Bogey,2,FALSE())</f>
        <v>59.5</v>
      </c>
      <c r="H60" s="52" t="e">
        <f aca="false">IF(C60&gt;0,G60-D60,"")</f>
        <v>#VALUE!</v>
      </c>
      <c r="I60" s="53" t="e">
        <f aca="false">IF(C60&gt;0,H60*ABS(C60),"")</f>
        <v>#VALUE!</v>
      </c>
      <c r="J60" s="54" t="e">
        <f aca="false">IF($C60=0,"",$H60*0.4)</f>
        <v>#VALUE!</v>
      </c>
      <c r="K60" s="49" t="e">
        <f aca="false">IF($C60=0,"",$H60*0.6)</f>
        <v>#VALUE!</v>
      </c>
      <c r="L60" s="49" t="e">
        <f aca="false">IF(C60=0,"",J60*$C60)</f>
        <v>#VALUE!</v>
      </c>
      <c r="M60" s="55" t="e">
        <f aca="false">IF(C60=0,"",C60*K60)</f>
        <v>#VALUE!</v>
      </c>
      <c r="N60" s="56" t="str">
        <f aca="false">IF(C60=0,"",D60)</f>
        <v/>
      </c>
      <c r="O60" s="57"/>
      <c r="P60" s="44" t="e">
        <f aca="false">IF(C60=0,"",N60*C60)</f>
        <v>#VALUE!</v>
      </c>
      <c r="Q60" s="58" t="e">
        <f aca="false">IF(C60=0,"",O60*C60)</f>
        <v>#VALUE!</v>
      </c>
      <c r="R60" s="44"/>
      <c r="S60" s="59" t="e">
        <f aca="false">IF(C60=0,"",L60)</f>
        <v>#VALUE!</v>
      </c>
      <c r="T60" s="60" t="e">
        <f aca="false">IF(C60=0,"",M60)</f>
        <v>#VALUE!</v>
      </c>
    </row>
    <row r="61" customFormat="false" ht="12.75" hidden="false" customHeight="false" outlineLevel="0" collapsed="false">
      <c r="A61" s="47" t="n">
        <f aca="false">$C$2</f>
        <v>37019</v>
      </c>
      <c r="B61" s="12" t="n">
        <v>21</v>
      </c>
      <c r="C61" s="48" t="str">
        <f aca="false">INDEX(RtMw,C68+20,0)</f>
        <v/>
      </c>
      <c r="D61" s="49" t="str">
        <f aca="false">INDEX(RTPrice,C68+20,0)</f>
        <v/>
      </c>
      <c r="E61" s="50" t="n">
        <f aca="false">VLOOKUP(A61,Gas,4,FALSE())</f>
        <v>4.65</v>
      </c>
      <c r="F61" s="50" t="n">
        <f aca="false">VLOOKUP(A61,Gas,5,FALSE())</f>
        <v>4.65</v>
      </c>
      <c r="G61" s="51" t="n">
        <f aca="false">VLOOKUP(A61,Bogey,2,FALSE())</f>
        <v>59.5</v>
      </c>
      <c r="H61" s="52" t="e">
        <f aca="false">IF(C61&gt;0,G61-D61,"")</f>
        <v>#VALUE!</v>
      </c>
      <c r="I61" s="53" t="e">
        <f aca="false">IF(C61&gt;0,H61*ABS(C61),"")</f>
        <v>#VALUE!</v>
      </c>
      <c r="J61" s="54" t="e">
        <f aca="false">IF($C61=0,"",$H61*0.4)</f>
        <v>#VALUE!</v>
      </c>
      <c r="K61" s="49" t="e">
        <f aca="false">IF($C61=0,"",$H61*0.6)</f>
        <v>#VALUE!</v>
      </c>
      <c r="L61" s="49" t="e">
        <f aca="false">IF(C61=0,"",J61*$C61)</f>
        <v>#VALUE!</v>
      </c>
      <c r="M61" s="55" t="e">
        <f aca="false">IF(C61=0,"",C61*K61)</f>
        <v>#VALUE!</v>
      </c>
      <c r="N61" s="56" t="str">
        <f aca="false">IF(C61=0,"",D61)</f>
        <v/>
      </c>
      <c r="O61" s="57"/>
      <c r="P61" s="44" t="e">
        <f aca="false">IF(C61=0,"",N61*C61)</f>
        <v>#VALUE!</v>
      </c>
      <c r="Q61" s="58" t="e">
        <f aca="false">IF(C61=0,"",O61*C61)</f>
        <v>#VALUE!</v>
      </c>
      <c r="R61" s="44"/>
      <c r="S61" s="59" t="e">
        <f aca="false">IF(C61=0,"",L61)</f>
        <v>#VALUE!</v>
      </c>
      <c r="T61" s="60" t="e">
        <f aca="false">IF(C61=0,"",M61)</f>
        <v>#VALUE!</v>
      </c>
    </row>
    <row r="62" customFormat="false" ht="12.75" hidden="false" customHeight="false" outlineLevel="0" collapsed="false">
      <c r="A62" s="47" t="n">
        <f aca="false">$C$2</f>
        <v>37019</v>
      </c>
      <c r="B62" s="12" t="n">
        <v>22</v>
      </c>
      <c r="C62" s="48" t="str">
        <f aca="false">INDEX(RtMw,C68+21,0)</f>
        <v/>
      </c>
      <c r="D62" s="49" t="str">
        <f aca="false">INDEX(RTPrice,C68+21,0)</f>
        <v/>
      </c>
      <c r="E62" s="50" t="n">
        <f aca="false">VLOOKUP(A62,Gas,4,FALSE())</f>
        <v>4.65</v>
      </c>
      <c r="F62" s="50" t="n">
        <f aca="false">VLOOKUP(A62,Gas,5,FALSE())</f>
        <v>4.65</v>
      </c>
      <c r="G62" s="51" t="n">
        <f aca="false">VLOOKUP(A62,Bogey,2,FALSE())</f>
        <v>59.5</v>
      </c>
      <c r="H62" s="52" t="e">
        <f aca="false">IF(C62&gt;0,G62-D62,"")</f>
        <v>#VALUE!</v>
      </c>
      <c r="I62" s="53" t="e">
        <f aca="false">IF(C62&gt;0,H62*ABS(C62),"")</f>
        <v>#VALUE!</v>
      </c>
      <c r="J62" s="54" t="e">
        <f aca="false">IF($C62=0,"",$H62*0.4)</f>
        <v>#VALUE!</v>
      </c>
      <c r="K62" s="49" t="e">
        <f aca="false">IF($C62=0,"",$H62*0.6)</f>
        <v>#VALUE!</v>
      </c>
      <c r="L62" s="49" t="e">
        <f aca="false">IF(C62=0,"",J62*$C62)</f>
        <v>#VALUE!</v>
      </c>
      <c r="M62" s="55" t="e">
        <f aca="false">IF(C62=0,"",C62*K62)</f>
        <v>#VALUE!</v>
      </c>
      <c r="N62" s="56" t="str">
        <f aca="false">IF(C62=0,"",D62)</f>
        <v/>
      </c>
      <c r="O62" s="57"/>
      <c r="P62" s="44" t="e">
        <f aca="false">IF(C62=0,"",N62*C62)</f>
        <v>#VALUE!</v>
      </c>
      <c r="Q62" s="58" t="e">
        <f aca="false">IF(C62=0,"",O62*C62)</f>
        <v>#VALUE!</v>
      </c>
      <c r="R62" s="44"/>
      <c r="S62" s="59" t="e">
        <f aca="false">IF(C62=0,"",L62)</f>
        <v>#VALUE!</v>
      </c>
      <c r="T62" s="60" t="e">
        <f aca="false">IF(C62=0,"",M62)</f>
        <v>#VALUE!</v>
      </c>
    </row>
    <row r="63" customFormat="false" ht="12.75" hidden="false" customHeight="false" outlineLevel="0" collapsed="false">
      <c r="A63" s="47" t="n">
        <f aca="false">$C$2</f>
        <v>37019</v>
      </c>
      <c r="B63" s="12" t="n">
        <v>23</v>
      </c>
      <c r="C63" s="48" t="n">
        <f aca="false">INDEX(RtMw,C68+22,0)</f>
        <v>13</v>
      </c>
      <c r="D63" s="49" t="n">
        <f aca="false">INDEX(RTPrice,C68+22,0)</f>
        <v>28.33</v>
      </c>
      <c r="E63" s="50" t="n">
        <f aca="false">VLOOKUP(A63,Gas,4,FALSE())</f>
        <v>4.65</v>
      </c>
      <c r="F63" s="50" t="n">
        <f aca="false">VLOOKUP(A63,Gas,5,FALSE())</f>
        <v>4.65</v>
      </c>
      <c r="G63" s="51" t="n">
        <f aca="false">VLOOKUP(A63,Bogey,2,FALSE())</f>
        <v>59.5</v>
      </c>
      <c r="H63" s="52" t="n">
        <f aca="false">IF(C63&gt;0,G63-D63,"")</f>
        <v>31.17</v>
      </c>
      <c r="I63" s="53" t="n">
        <f aca="false">IF(C63&gt;0,H63*ABS(C63),"")</f>
        <v>405.21</v>
      </c>
      <c r="J63" s="54" t="n">
        <f aca="false">IF(C63=0,"",1)</f>
        <v>1</v>
      </c>
      <c r="K63" s="44" t="n">
        <f aca="false">IF(C63=0,"",G63-(D63+1))</f>
        <v>30.17</v>
      </c>
      <c r="L63" s="44" t="n">
        <f aca="false">IF(C63=0,"",C63*J63)</f>
        <v>13</v>
      </c>
      <c r="M63" s="55" t="n">
        <f aca="false">IF(C63=0,"",C63*K63)</f>
        <v>392.21</v>
      </c>
      <c r="N63" s="56" t="n">
        <f aca="false">IF(C63=0,"",D63)</f>
        <v>28.33</v>
      </c>
      <c r="O63" s="57" t="n">
        <f aca="false">IF(C63=0,"",D63+1)</f>
        <v>29.33</v>
      </c>
      <c r="P63" s="44" t="n">
        <f aca="false">IF(C63=0,"",N63*C63)</f>
        <v>368.29</v>
      </c>
      <c r="Q63" s="58" t="n">
        <f aca="false">IF(C63=0,"",O63*C63)</f>
        <v>381.29</v>
      </c>
      <c r="R63" s="44"/>
      <c r="S63" s="59" t="n">
        <f aca="false">IF(C63=0,"",L63)</f>
        <v>13</v>
      </c>
      <c r="T63" s="60" t="n">
        <f aca="false">IF(C63=0,"",M63)</f>
        <v>392.21</v>
      </c>
    </row>
    <row r="64" customFormat="false" ht="12.75" hidden="false" customHeight="false" outlineLevel="0" collapsed="false">
      <c r="A64" s="61" t="n">
        <f aca="false">$C$2</f>
        <v>37019</v>
      </c>
      <c r="B64" s="62" t="n">
        <v>24</v>
      </c>
      <c r="C64" s="63" t="n">
        <f aca="false">INDEX(RtMw,C68+23,0)</f>
        <v>12</v>
      </c>
      <c r="D64" s="64" t="n">
        <f aca="false">INDEX(RTPrice,C68+23,0)</f>
        <v>21.43</v>
      </c>
      <c r="E64" s="65" t="n">
        <f aca="false">VLOOKUP(A64,Gas,4,FALSE())</f>
        <v>4.65</v>
      </c>
      <c r="F64" s="65" t="n">
        <f aca="false">VLOOKUP(A64,Gas,5,FALSE())</f>
        <v>4.65</v>
      </c>
      <c r="G64" s="66" t="n">
        <f aca="false">VLOOKUP(A64,Bogey,2,FALSE())</f>
        <v>59.5</v>
      </c>
      <c r="H64" s="67" t="n">
        <f aca="false">IF(C64&gt;0,G64-D64,"")</f>
        <v>38.07</v>
      </c>
      <c r="I64" s="68" t="n">
        <f aca="false">IF(C64&gt;0,H64*ABS(C64),"")</f>
        <v>456.84</v>
      </c>
      <c r="J64" s="69" t="n">
        <f aca="false">IF(C64=0,"",1)</f>
        <v>1</v>
      </c>
      <c r="K64" s="70" t="n">
        <f aca="false">IF(C64=0,"",G64-(D64+1))</f>
        <v>37.07</v>
      </c>
      <c r="L64" s="70" t="n">
        <f aca="false">IF(C64=0,"",C64*J64)</f>
        <v>12</v>
      </c>
      <c r="M64" s="71" t="n">
        <f aca="false">IF(C64=0,"",C64*K64)</f>
        <v>444.84</v>
      </c>
      <c r="N64" s="72" t="n">
        <f aca="false">IF(C64=0,"",D64)</f>
        <v>21.43</v>
      </c>
      <c r="O64" s="73" t="n">
        <f aca="false">IF(C64=0,"",D64+1)</f>
        <v>22.43</v>
      </c>
      <c r="P64" s="70" t="n">
        <f aca="false">IF(C64=0,"",N64*C64)</f>
        <v>257.16</v>
      </c>
      <c r="Q64" s="74" t="n">
        <f aca="false">IF(C64=0,"",O64*C64)</f>
        <v>269.16</v>
      </c>
      <c r="R64" s="44"/>
      <c r="S64" s="75" t="n">
        <f aca="false">IF(C64=0,"",L64)</f>
        <v>12</v>
      </c>
      <c r="T64" s="76" t="n">
        <f aca="false">IF(C64=0,"",M64)</f>
        <v>444.84</v>
      </c>
    </row>
    <row r="66" customFormat="false" ht="12.75" hidden="false" customHeight="false" outlineLevel="0" collapsed="false">
      <c r="Q66" s="78" t="e">
        <f aca="false">SUM(Q41:Q65)</f>
        <v>#VALUE!</v>
      </c>
    </row>
    <row r="68" customFormat="false" ht="12.75" hidden="true" customHeight="false" outlineLevel="0" collapsed="false">
      <c r="B68" s="0" t="s">
        <v>33</v>
      </c>
      <c r="C68" s="0" t="n">
        <f aca="false">MATCH(C2,RTDate,0)</f>
        <v>169</v>
      </c>
    </row>
  </sheetData>
  <mergeCells count="18">
    <mergeCell ref="A1:C1"/>
    <mergeCell ref="A2:B2"/>
    <mergeCell ref="E3:G3"/>
    <mergeCell ref="H3:I3"/>
    <mergeCell ref="J3:M3"/>
    <mergeCell ref="N3:Q3"/>
    <mergeCell ref="S3:T3"/>
    <mergeCell ref="B4:D4"/>
    <mergeCell ref="N4:O4"/>
    <mergeCell ref="P4:Q4"/>
    <mergeCell ref="E37:G37"/>
    <mergeCell ref="H37:I37"/>
    <mergeCell ref="J37:M37"/>
    <mergeCell ref="N37:Q37"/>
    <mergeCell ref="S37:T37"/>
    <mergeCell ref="B38:D38"/>
    <mergeCell ref="N38:O38"/>
    <mergeCell ref="P38:Q38"/>
  </mergeCells>
  <conditionalFormatting sqref="K5:K12 H3:H5 E3:G6 I3:I30 J3:J12 L5:M30 J29:K30 K4:N4 A1:C2 D31:G36 I31:M36 N5:N36 P65:IV65536 P4:T36 U1:IV64 K39:K46 H8:H39 A39:D64 E37:G40 I37:I64 J37:J46 J63:K64 K38:N38 D5:D30 L39:N64 A5:C36 P38:T64 A65:N65536 D1:D3 D37 H42:H64">
    <cfRule type="cellIs" priority="2" operator="equal" aboveAverage="0" equalAverage="0" bottom="0" percent="0" rank="0" text="" dxfId="7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9.9921875" defaultRowHeight="12.75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3" min="3" style="0" width="13.14"/>
    <col collapsed="false" customWidth="true" hidden="false" outlineLevel="0" max="4" min="4" style="1" width="23.99"/>
    <col collapsed="false" customWidth="true" hidden="false" outlineLevel="0" max="7" min="5" style="0" width="14.41"/>
    <col collapsed="false" customWidth="true" hidden="false" outlineLevel="0" max="8" min="8" style="0" width="28.99"/>
    <col collapsed="false" customWidth="true" hidden="false" outlineLevel="0" max="9" min="9" style="0" width="26.56"/>
    <col collapsed="false" customWidth="true" hidden="false" outlineLevel="0" max="10" min="10" style="0" width="17.14"/>
    <col collapsed="false" customWidth="true" hidden="false" outlineLevel="0" max="11" min="11" style="0" width="14.28"/>
    <col collapsed="false" customWidth="true" hidden="false" outlineLevel="0" max="13" min="12" style="0" width="26.56"/>
    <col collapsed="false" customWidth="true" hidden="false" outlineLevel="0" max="14" min="14" style="2" width="15.28"/>
    <col collapsed="false" customWidth="true" hidden="false" outlineLevel="0" max="15" min="15" style="0" width="15.28"/>
    <col collapsed="false" customWidth="true" hidden="false" outlineLevel="0" max="16" min="16" style="2" width="15.28"/>
    <col collapsed="false" customWidth="true" hidden="false" outlineLevel="0" max="17" min="17" style="0" width="17.56"/>
    <col collapsed="false" customWidth="true" hidden="false" outlineLevel="0" max="18" min="18" style="2" width="2.56"/>
    <col collapsed="false" customWidth="true" hidden="false" outlineLevel="0" max="19" min="19" style="0" width="12.42"/>
    <col collapsed="false" customWidth="true" hidden="false" outlineLevel="0" max="20" min="20" style="1" width="14.56"/>
  </cols>
  <sheetData>
    <row r="1" customFormat="false" ht="12.75" hidden="false" customHeight="false" outlineLevel="0" collapsed="false">
      <c r="A1" s="3" t="s">
        <v>0</v>
      </c>
      <c r="B1" s="3"/>
      <c r="C1" s="3"/>
    </row>
    <row r="2" customFormat="false" ht="12.75" hidden="false" customHeight="false" outlineLevel="0" collapsed="false">
      <c r="A2" s="3" t="s">
        <v>1</v>
      </c>
      <c r="B2" s="3"/>
      <c r="C2" s="83" t="n">
        <v>37020</v>
      </c>
      <c r="D2" s="5"/>
    </row>
    <row r="3" customFormat="false" ht="12.75" hidden="false" customHeight="false" outlineLevel="0" collapsed="false">
      <c r="A3" s="6"/>
      <c r="B3" s="6"/>
      <c r="C3" s="84" t="n">
        <v>37020</v>
      </c>
      <c r="D3" s="7"/>
      <c r="E3" s="8" t="s">
        <v>2</v>
      </c>
      <c r="F3" s="8"/>
      <c r="G3" s="8"/>
      <c r="H3" s="9" t="s">
        <v>3</v>
      </c>
      <c r="I3" s="9"/>
      <c r="J3" s="9" t="s">
        <v>4</v>
      </c>
      <c r="K3" s="9"/>
      <c r="L3" s="9"/>
      <c r="M3" s="9"/>
      <c r="N3" s="10" t="s">
        <v>5</v>
      </c>
      <c r="O3" s="10"/>
      <c r="P3" s="10"/>
      <c r="Q3" s="10"/>
      <c r="R3" s="11"/>
      <c r="S3" s="10" t="s">
        <v>6</v>
      </c>
      <c r="T3" s="10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false" outlineLevel="0" collapsed="false">
      <c r="B4" s="85" t="s">
        <v>34</v>
      </c>
      <c r="C4" s="85"/>
      <c r="D4" s="85"/>
      <c r="E4" s="13"/>
      <c r="F4" s="14"/>
      <c r="G4" s="15"/>
      <c r="H4" s="16" t="s">
        <v>7</v>
      </c>
      <c r="I4" s="17" t="s">
        <v>7</v>
      </c>
      <c r="J4" s="16" t="s">
        <v>8</v>
      </c>
      <c r="K4" s="18" t="s">
        <v>9</v>
      </c>
      <c r="L4" s="18" t="s">
        <v>8</v>
      </c>
      <c r="M4" s="17" t="s">
        <v>9</v>
      </c>
      <c r="N4" s="19" t="s">
        <v>10</v>
      </c>
      <c r="O4" s="19"/>
      <c r="P4" s="19" t="s">
        <v>11</v>
      </c>
      <c r="Q4" s="19"/>
      <c r="R4" s="11"/>
      <c r="S4" s="20"/>
      <c r="T4" s="21"/>
    </row>
    <row r="5" customFormat="false" ht="12.75" hidden="false" customHeight="false" outlineLevel="0" collapsed="false">
      <c r="E5" s="16" t="s">
        <v>12</v>
      </c>
      <c r="F5" s="18" t="s">
        <v>12</v>
      </c>
      <c r="G5" s="17" t="s">
        <v>13</v>
      </c>
      <c r="H5" s="16" t="s">
        <v>14</v>
      </c>
      <c r="I5" s="17" t="s">
        <v>14</v>
      </c>
      <c r="J5" s="22" t="s">
        <v>15</v>
      </c>
      <c r="K5" s="18" t="s">
        <v>16</v>
      </c>
      <c r="L5" s="18" t="s">
        <v>17</v>
      </c>
      <c r="M5" s="17" t="s">
        <v>18</v>
      </c>
      <c r="N5" s="23"/>
      <c r="O5" s="15"/>
      <c r="P5" s="22"/>
      <c r="Q5" s="24" t="s">
        <v>19</v>
      </c>
      <c r="R5" s="11"/>
      <c r="S5" s="16" t="s">
        <v>20</v>
      </c>
      <c r="T5" s="25" t="s">
        <v>21</v>
      </c>
    </row>
    <row r="6" customFormat="false" ht="12.75" hidden="false" customHeight="false" outlineLevel="0" collapsed="false">
      <c r="A6" s="26" t="s">
        <v>22</v>
      </c>
      <c r="B6" s="27" t="s">
        <v>23</v>
      </c>
      <c r="C6" s="27" t="s">
        <v>24</v>
      </c>
      <c r="D6" s="28" t="s">
        <v>25</v>
      </c>
      <c r="E6" s="22" t="s">
        <v>26</v>
      </c>
      <c r="F6" s="5" t="s">
        <v>27</v>
      </c>
      <c r="G6" s="25" t="s">
        <v>28</v>
      </c>
      <c r="H6" s="22" t="s">
        <v>29</v>
      </c>
      <c r="I6" s="25" t="s">
        <v>30</v>
      </c>
      <c r="J6" s="22" t="s">
        <v>10</v>
      </c>
      <c r="K6" s="5" t="s">
        <v>10</v>
      </c>
      <c r="L6" s="5" t="s">
        <v>30</v>
      </c>
      <c r="M6" s="25" t="s">
        <v>30</v>
      </c>
      <c r="N6" s="22" t="s">
        <v>20</v>
      </c>
      <c r="O6" s="25" t="s">
        <v>21</v>
      </c>
      <c r="P6" s="22" t="s">
        <v>20</v>
      </c>
      <c r="Q6" s="29" t="s">
        <v>21</v>
      </c>
      <c r="R6" s="5"/>
      <c r="S6" s="22" t="s">
        <v>31</v>
      </c>
      <c r="T6" s="25" t="s">
        <v>32</v>
      </c>
      <c r="U6" s="30"/>
      <c r="V6" s="30"/>
    </row>
    <row r="7" customFormat="false" ht="12.75" hidden="false" customHeight="false" outlineLevel="0" collapsed="false">
      <c r="A7" s="31" t="n">
        <f aca="false">$C$2</f>
        <v>37020</v>
      </c>
      <c r="B7" s="32" t="n">
        <v>1</v>
      </c>
      <c r="C7" s="33" t="n">
        <f aca="false">INDEX(DaMw,C34,0)</f>
        <v>15</v>
      </c>
      <c r="D7" s="46" t="n">
        <f aca="false">INDEX(DaPrice,C34,0)</f>
        <v>16.5</v>
      </c>
      <c r="E7" s="35" t="n">
        <f aca="false">VLOOKUP(A7,Gas,4,FALSE())</f>
        <v>4.45</v>
      </c>
      <c r="F7" s="35" t="n">
        <f aca="false">VLOOKUP(A7,Gas,5,FALSE())</f>
        <v>4.45</v>
      </c>
      <c r="G7" s="36" t="n">
        <f aca="false">VLOOKUP(A7,Bogey,2,FALSE())</f>
        <v>62.42</v>
      </c>
      <c r="H7" s="37" t="n">
        <f aca="false">IF(C7&gt;0,G7-D7,"")</f>
        <v>45.92</v>
      </c>
      <c r="I7" s="38" t="n">
        <f aca="false">IF(C7&gt;0,H7*ABS(C7),"")</f>
        <v>688.8</v>
      </c>
      <c r="J7" s="39" t="n">
        <f aca="false">IF(C7=0,"",1)</f>
        <v>1</v>
      </c>
      <c r="K7" s="40" t="n">
        <f aca="false">IF(C7=0,"",G7-(D7+1))</f>
        <v>44.92</v>
      </c>
      <c r="L7" s="40" t="n">
        <f aca="false">IF(C7=0,"",C7*J7)</f>
        <v>15</v>
      </c>
      <c r="M7" s="21" t="n">
        <f aca="false">IF(C7=0,"",C7*K7)</f>
        <v>673.8</v>
      </c>
      <c r="N7" s="41" t="n">
        <f aca="false">IF(C7=0,"",D7)</f>
        <v>16.5</v>
      </c>
      <c r="O7" s="42" t="n">
        <f aca="false">IF(C7=0,"",D7+1)</f>
        <v>17.5</v>
      </c>
      <c r="P7" s="40" t="n">
        <f aca="false">IF(C7=0,"",N7*C7)</f>
        <v>247.5</v>
      </c>
      <c r="Q7" s="43" t="n">
        <f aca="false">IF(C7=0,"",O7*C7)</f>
        <v>262.5</v>
      </c>
      <c r="R7" s="44"/>
      <c r="S7" s="45" t="n">
        <f aca="false">IF(C7=0,"",L7)</f>
        <v>15</v>
      </c>
      <c r="T7" s="46" t="n">
        <f aca="false">IF(C7=0,"",M7)</f>
        <v>673.8</v>
      </c>
    </row>
    <row r="8" customFormat="false" ht="12.75" hidden="false" customHeight="false" outlineLevel="0" collapsed="false">
      <c r="A8" s="47" t="n">
        <f aca="false">$C$2</f>
        <v>37020</v>
      </c>
      <c r="B8" s="12" t="n">
        <v>2</v>
      </c>
      <c r="C8" s="48" t="n">
        <f aca="false">INDEX(DaMw,C34+1,0)</f>
        <v>15</v>
      </c>
      <c r="D8" s="60" t="n">
        <f aca="false">INDEX(DaPrice,C34+1,0)</f>
        <v>16.5</v>
      </c>
      <c r="E8" s="50" t="n">
        <f aca="false">VLOOKUP(A8,Gas,4,FALSE())</f>
        <v>4.45</v>
      </c>
      <c r="F8" s="50" t="n">
        <f aca="false">VLOOKUP(A8,Gas,5,FALSE())</f>
        <v>4.45</v>
      </c>
      <c r="G8" s="51" t="n">
        <f aca="false">VLOOKUP(A8,Bogey,2,FALSE())</f>
        <v>62.42</v>
      </c>
      <c r="H8" s="52" t="n">
        <f aca="false">IF(C8&gt;0,G8-D8,"")</f>
        <v>45.92</v>
      </c>
      <c r="I8" s="53" t="n">
        <f aca="false">IF(C8&gt;0,H8*ABS(C8),"")</f>
        <v>688.8</v>
      </c>
      <c r="J8" s="54" t="n">
        <f aca="false">IF(C8=0,"",1)</f>
        <v>1</v>
      </c>
      <c r="K8" s="44" t="n">
        <f aca="false">IF(C8=0,"",G8-(D8+1))</f>
        <v>44.92</v>
      </c>
      <c r="L8" s="44" t="n">
        <f aca="false">IF(C8=0,"",C8*J8)</f>
        <v>15</v>
      </c>
      <c r="M8" s="55" t="n">
        <f aca="false">IF(C8=0,"",C8*K8)</f>
        <v>673.8</v>
      </c>
      <c r="N8" s="56" t="n">
        <f aca="false">IF(C8=0,"",D8)</f>
        <v>16.5</v>
      </c>
      <c r="O8" s="57" t="n">
        <f aca="false">IF(C8=0,"",D8+1)</f>
        <v>17.5</v>
      </c>
      <c r="P8" s="44" t="n">
        <f aca="false">IF(C8=0,"",N8*C8)</f>
        <v>247.5</v>
      </c>
      <c r="Q8" s="58" t="n">
        <f aca="false">IF(C8=0,"",O8*C8)</f>
        <v>262.5</v>
      </c>
      <c r="R8" s="44"/>
      <c r="S8" s="59" t="n">
        <f aca="false">IF(C8=0,"",L8)</f>
        <v>15</v>
      </c>
      <c r="T8" s="60" t="n">
        <f aca="false">IF(C8=0,"",M8)</f>
        <v>673.8</v>
      </c>
    </row>
    <row r="9" customFormat="false" ht="12.75" hidden="false" customHeight="false" outlineLevel="0" collapsed="false">
      <c r="A9" s="47" t="n">
        <f aca="false">$C$2</f>
        <v>37020</v>
      </c>
      <c r="B9" s="12" t="n">
        <v>3</v>
      </c>
      <c r="C9" s="48" t="n">
        <f aca="false">INDEX(DaMw,C34+2,0)</f>
        <v>15</v>
      </c>
      <c r="D9" s="60" t="n">
        <f aca="false">INDEX(DaPrice,C34+2,0)</f>
        <v>16.5</v>
      </c>
      <c r="E9" s="50" t="n">
        <f aca="false">VLOOKUP(A9,Gas,4,FALSE())</f>
        <v>4.45</v>
      </c>
      <c r="F9" s="50" t="n">
        <f aca="false">VLOOKUP(A9,Gas,5,FALSE())</f>
        <v>4.45</v>
      </c>
      <c r="G9" s="51" t="n">
        <f aca="false">VLOOKUP(A9,Bogey,2,FALSE())</f>
        <v>62.42</v>
      </c>
      <c r="H9" s="52" t="n">
        <f aca="false">IF(C9&gt;0,G9-D9,"")</f>
        <v>45.92</v>
      </c>
      <c r="I9" s="53" t="n">
        <f aca="false">IF(C9&gt;0,H9*ABS(C9),"")</f>
        <v>688.8</v>
      </c>
      <c r="J9" s="54" t="n">
        <f aca="false">IF(C9=0,"",1)</f>
        <v>1</v>
      </c>
      <c r="K9" s="44" t="n">
        <f aca="false">IF(C9=0,"",G9-(D9+1))</f>
        <v>44.92</v>
      </c>
      <c r="L9" s="44" t="n">
        <f aca="false">IF(C9=0,"",C9*J9)</f>
        <v>15</v>
      </c>
      <c r="M9" s="55" t="n">
        <f aca="false">IF(C9=0,"",C9*K9)</f>
        <v>673.8</v>
      </c>
      <c r="N9" s="56" t="n">
        <f aca="false">IF(C9=0,"",D9)</f>
        <v>16.5</v>
      </c>
      <c r="O9" s="57" t="n">
        <f aca="false">IF(C9=0,"",D9+1)</f>
        <v>17.5</v>
      </c>
      <c r="P9" s="44" t="n">
        <f aca="false">IF(C9=0,"",N9*C9)</f>
        <v>247.5</v>
      </c>
      <c r="Q9" s="58" t="n">
        <f aca="false">IF(C9=0,"",O9*C9)</f>
        <v>262.5</v>
      </c>
      <c r="R9" s="44"/>
      <c r="S9" s="59" t="n">
        <f aca="false">IF(C9=0,"",L9)</f>
        <v>15</v>
      </c>
      <c r="T9" s="60" t="n">
        <f aca="false">IF(C9=0,"",M9)</f>
        <v>673.8</v>
      </c>
    </row>
    <row r="10" customFormat="false" ht="12.75" hidden="false" customHeight="false" outlineLevel="0" collapsed="false">
      <c r="A10" s="47" t="n">
        <f aca="false">$C$2</f>
        <v>37020</v>
      </c>
      <c r="B10" s="12" t="n">
        <v>4</v>
      </c>
      <c r="C10" s="48" t="n">
        <f aca="false">INDEX(DaMw,C34+3,0)</f>
        <v>15</v>
      </c>
      <c r="D10" s="60" t="n">
        <f aca="false">INDEX(DaPrice,C34+3,0)</f>
        <v>16.5</v>
      </c>
      <c r="E10" s="50" t="n">
        <f aca="false">VLOOKUP(A10,Gas,4,FALSE())</f>
        <v>4.45</v>
      </c>
      <c r="F10" s="50" t="n">
        <f aca="false">VLOOKUP(A10,Gas,5,FALSE())</f>
        <v>4.45</v>
      </c>
      <c r="G10" s="51" t="n">
        <f aca="false">VLOOKUP(A10,Bogey,2,FALSE())</f>
        <v>62.42</v>
      </c>
      <c r="H10" s="52" t="n">
        <f aca="false">IF(C10&gt;0,G10-D10,"")</f>
        <v>45.92</v>
      </c>
      <c r="I10" s="53" t="n">
        <f aca="false">IF(C10&gt;0,H10*ABS(C10),"")</f>
        <v>688.8</v>
      </c>
      <c r="J10" s="54" t="n">
        <f aca="false">IF(C10=0,"",1)</f>
        <v>1</v>
      </c>
      <c r="K10" s="44" t="n">
        <f aca="false">IF(C10=0,"",G10-(D10+1))</f>
        <v>44.92</v>
      </c>
      <c r="L10" s="44" t="n">
        <f aca="false">IF(C10=0,"",C10*J10)</f>
        <v>15</v>
      </c>
      <c r="M10" s="55" t="n">
        <f aca="false">IF(C10=0,"",C10*K10)</f>
        <v>673.8</v>
      </c>
      <c r="N10" s="56" t="n">
        <f aca="false">IF(C10=0,"",D10)</f>
        <v>16.5</v>
      </c>
      <c r="O10" s="57" t="n">
        <f aca="false">IF(C10=0,"",D10+1)</f>
        <v>17.5</v>
      </c>
      <c r="P10" s="44" t="n">
        <f aca="false">IF(C10=0,"",N10*C10)</f>
        <v>247.5</v>
      </c>
      <c r="Q10" s="58" t="n">
        <f aca="false">IF(C10=0,"",O10*C10)</f>
        <v>262.5</v>
      </c>
      <c r="R10" s="44"/>
      <c r="S10" s="59" t="n">
        <f aca="false">IF(C10=0,"",L10)</f>
        <v>15</v>
      </c>
      <c r="T10" s="60" t="n">
        <f aca="false">IF(C10=0,"",M10)</f>
        <v>673.8</v>
      </c>
    </row>
    <row r="11" customFormat="false" ht="12.75" hidden="false" customHeight="false" outlineLevel="0" collapsed="false">
      <c r="A11" s="47" t="n">
        <f aca="false">$C$2</f>
        <v>37020</v>
      </c>
      <c r="B11" s="12" t="n">
        <v>5</v>
      </c>
      <c r="C11" s="48" t="n">
        <f aca="false">INDEX(DaMw,C34+4,0)</f>
        <v>15</v>
      </c>
      <c r="D11" s="60" t="n">
        <f aca="false">INDEX(DaPrice,C34+4,0)</f>
        <v>16.5</v>
      </c>
      <c r="E11" s="50" t="n">
        <f aca="false">VLOOKUP(A11,Gas,4,FALSE())</f>
        <v>4.45</v>
      </c>
      <c r="F11" s="50" t="n">
        <f aca="false">VLOOKUP(A11,Gas,5,FALSE())</f>
        <v>4.45</v>
      </c>
      <c r="G11" s="51" t="n">
        <f aca="false">VLOOKUP(A11,Bogey,2,FALSE())</f>
        <v>62.42</v>
      </c>
      <c r="H11" s="52" t="n">
        <f aca="false">IF(C11&gt;0,G11-D11,"")</f>
        <v>45.92</v>
      </c>
      <c r="I11" s="53" t="n">
        <f aca="false">IF(C11&gt;0,H11*ABS(C11),"")</f>
        <v>688.8</v>
      </c>
      <c r="J11" s="54" t="n">
        <f aca="false">IF(C11=0,"",1)</f>
        <v>1</v>
      </c>
      <c r="K11" s="44" t="n">
        <f aca="false">IF(C11=0,"",G11-(D11+1))</f>
        <v>44.92</v>
      </c>
      <c r="L11" s="44" t="n">
        <f aca="false">IF(C11=0,"",C11*J11)</f>
        <v>15</v>
      </c>
      <c r="M11" s="55" t="n">
        <f aca="false">IF(C11=0,"",C11*K11)</f>
        <v>673.8</v>
      </c>
      <c r="N11" s="56" t="n">
        <f aca="false">IF(C11=0,"",D11)</f>
        <v>16.5</v>
      </c>
      <c r="O11" s="57" t="n">
        <f aca="false">IF(C11=0,"",D11+1)</f>
        <v>17.5</v>
      </c>
      <c r="P11" s="44" t="n">
        <f aca="false">IF(C11=0,"",N11*C11)</f>
        <v>247.5</v>
      </c>
      <c r="Q11" s="58" t="n">
        <f aca="false">IF(C11=0,"",O11*C11)</f>
        <v>262.5</v>
      </c>
      <c r="R11" s="44"/>
      <c r="S11" s="59" t="n">
        <f aca="false">IF(C11=0,"",L11)</f>
        <v>15</v>
      </c>
      <c r="T11" s="60" t="n">
        <f aca="false">IF(C11=0,"",M11)</f>
        <v>673.8</v>
      </c>
    </row>
    <row r="12" customFormat="false" ht="12.75" hidden="false" customHeight="false" outlineLevel="0" collapsed="false">
      <c r="A12" s="47" t="n">
        <f aca="false">$C$2</f>
        <v>37020</v>
      </c>
      <c r="B12" s="12" t="n">
        <v>6</v>
      </c>
      <c r="C12" s="48" t="n">
        <f aca="false">INDEX(DaMw,C34+5,0)</f>
        <v>15</v>
      </c>
      <c r="D12" s="60" t="n">
        <f aca="false">INDEX(DaPrice,C34+5,0)</f>
        <v>16.5</v>
      </c>
      <c r="E12" s="50" t="n">
        <f aca="false">VLOOKUP(A12,Gas,4,FALSE())</f>
        <v>4.45</v>
      </c>
      <c r="F12" s="50" t="n">
        <f aca="false">VLOOKUP(A12,Gas,5,FALSE())</f>
        <v>4.45</v>
      </c>
      <c r="G12" s="51" t="n">
        <f aca="false">VLOOKUP(A12,Bogey,2,FALSE())</f>
        <v>62.42</v>
      </c>
      <c r="H12" s="52" t="n">
        <f aca="false">IF(C12&gt;0,G12-D12,"")</f>
        <v>45.92</v>
      </c>
      <c r="I12" s="53" t="n">
        <f aca="false">IF(C12&gt;0,H12*ABS(C12),"")</f>
        <v>688.8</v>
      </c>
      <c r="J12" s="54" t="n">
        <f aca="false">IF(C12=0,"",1)</f>
        <v>1</v>
      </c>
      <c r="K12" s="44" t="n">
        <f aca="false">IF(C12=0,"",G12-(D12+1))</f>
        <v>44.92</v>
      </c>
      <c r="L12" s="44" t="n">
        <f aca="false">IF(C12=0,"",C12*J12)</f>
        <v>15</v>
      </c>
      <c r="M12" s="55" t="n">
        <f aca="false">IF(C12=0,"",C12*K12)</f>
        <v>673.8</v>
      </c>
      <c r="N12" s="56" t="n">
        <f aca="false">IF(C12=0,"",D12)</f>
        <v>16.5</v>
      </c>
      <c r="O12" s="57" t="n">
        <f aca="false">IF(C12=0,"",D12+1)</f>
        <v>17.5</v>
      </c>
      <c r="P12" s="44" t="n">
        <f aca="false">IF(C12=0,"",N12*C12)</f>
        <v>247.5</v>
      </c>
      <c r="Q12" s="58" t="n">
        <f aca="false">IF(C12=0,"",O12*C12)</f>
        <v>262.5</v>
      </c>
      <c r="R12" s="44"/>
      <c r="S12" s="59" t="n">
        <f aca="false">IF(C12=0,"",L12)</f>
        <v>15</v>
      </c>
      <c r="T12" s="60" t="n">
        <f aca="false">IF(C12=0,"",M12)</f>
        <v>673.8</v>
      </c>
    </row>
    <row r="13" customFormat="false" ht="12.75" hidden="false" customHeight="false" outlineLevel="0" collapsed="false">
      <c r="A13" s="47" t="n">
        <f aca="false">$C$2</f>
        <v>37020</v>
      </c>
      <c r="B13" s="12" t="n">
        <v>7</v>
      </c>
      <c r="C13" s="48" t="n">
        <f aca="false">INDEX(DaMw,C34+6,0)</f>
        <v>20</v>
      </c>
      <c r="D13" s="60" t="n">
        <f aca="false">INDEX(DaPrice,C34+6,0)</f>
        <v>40</v>
      </c>
      <c r="E13" s="50" t="n">
        <f aca="false">VLOOKUP(A13,Gas,4,FALSE())</f>
        <v>4.45</v>
      </c>
      <c r="F13" s="50" t="n">
        <f aca="false">VLOOKUP(A13,Gas,5,FALSE())</f>
        <v>4.45</v>
      </c>
      <c r="G13" s="51" t="n">
        <f aca="false">VLOOKUP(A13,Bogey,2,FALSE())</f>
        <v>62.42</v>
      </c>
      <c r="H13" s="52" t="n">
        <f aca="false">IF(C13&gt;0,G13-D13,"")</f>
        <v>22.42</v>
      </c>
      <c r="I13" s="53" t="n">
        <f aca="false">IF(C13&gt;0,H13*ABS(C13),"")</f>
        <v>448.4</v>
      </c>
      <c r="J13" s="54" t="n">
        <f aca="false">IF($C13=0,"",$H13*0.4)</f>
        <v>8.968</v>
      </c>
      <c r="K13" s="49" t="n">
        <f aca="false">IF($C13=0,"",$H13*0.6)</f>
        <v>13.452</v>
      </c>
      <c r="L13" s="49" t="n">
        <f aca="false">IF(C13=0,"",J13*$C13)</f>
        <v>179.36</v>
      </c>
      <c r="M13" s="55" t="n">
        <f aca="false">IF(C13=0,"",C13*K13)</f>
        <v>269.04</v>
      </c>
      <c r="N13" s="56" t="n">
        <f aca="false">IF(C13=0,"",D13)</f>
        <v>40</v>
      </c>
      <c r="O13" s="57" t="n">
        <f aca="false">IF(C13=0,"",D13+J13)</f>
        <v>48.968</v>
      </c>
      <c r="P13" s="44" t="n">
        <f aca="false">IF(C13=0,"",N13*C13)</f>
        <v>800</v>
      </c>
      <c r="Q13" s="58" t="n">
        <f aca="false">IF(C13=0,"",O13*C13)</f>
        <v>979.36</v>
      </c>
      <c r="R13" s="44"/>
      <c r="S13" s="59" t="n">
        <f aca="false">IF(C13=0,"",L13)</f>
        <v>179.36</v>
      </c>
      <c r="T13" s="60" t="n">
        <f aca="false">IF(C13=0,"",M13)</f>
        <v>269.04</v>
      </c>
    </row>
    <row r="14" customFormat="false" ht="12.75" hidden="false" customHeight="false" outlineLevel="0" collapsed="false">
      <c r="A14" s="47" t="n">
        <f aca="false">$C$2</f>
        <v>37020</v>
      </c>
      <c r="B14" s="12" t="n">
        <v>8</v>
      </c>
      <c r="C14" s="48" t="n">
        <f aca="false">INDEX(DaMw,C34+7,0)</f>
        <v>25</v>
      </c>
      <c r="D14" s="60" t="n">
        <f aca="false">INDEX(DaPrice,C34+7,0)</f>
        <v>40</v>
      </c>
      <c r="E14" s="50" t="n">
        <f aca="false">VLOOKUP(A14,Gas,4,FALSE())</f>
        <v>4.45</v>
      </c>
      <c r="F14" s="50" t="n">
        <f aca="false">VLOOKUP(A14,Gas,5,FALSE())</f>
        <v>4.45</v>
      </c>
      <c r="G14" s="51" t="n">
        <f aca="false">VLOOKUP(A14,Bogey,2,FALSE())</f>
        <v>62.42</v>
      </c>
      <c r="H14" s="52" t="n">
        <f aca="false">IF(C14&gt;0,G14-D14,"")</f>
        <v>22.42</v>
      </c>
      <c r="I14" s="53" t="n">
        <f aca="false">IF(C14&gt;0,H14*ABS(C14),"")</f>
        <v>560.5</v>
      </c>
      <c r="J14" s="54" t="n">
        <f aca="false">IF($C14=0,"",$H14*0.4)</f>
        <v>8.968</v>
      </c>
      <c r="K14" s="49" t="n">
        <f aca="false">IF($C14=0,"",$H14*0.6)</f>
        <v>13.452</v>
      </c>
      <c r="L14" s="49" t="n">
        <f aca="false">IF(C14=0,"",J14*$C14)</f>
        <v>224.2</v>
      </c>
      <c r="M14" s="55" t="n">
        <f aca="false">IF(C14=0,"",C14*K14)</f>
        <v>336.3</v>
      </c>
      <c r="N14" s="56" t="n">
        <f aca="false">IF(C14=0,"",D14)</f>
        <v>40</v>
      </c>
      <c r="O14" s="57" t="n">
        <f aca="false">IF(C14=0,"",D14+J14)</f>
        <v>48.968</v>
      </c>
      <c r="P14" s="44" t="n">
        <f aca="false">IF(C14=0,"",N14*C14)</f>
        <v>1000</v>
      </c>
      <c r="Q14" s="58" t="n">
        <f aca="false">IF(C14=0,"",O14*C14)</f>
        <v>1224.2</v>
      </c>
      <c r="R14" s="44"/>
      <c r="S14" s="59" t="n">
        <f aca="false">IF(C14=0,"",L14)</f>
        <v>224.2</v>
      </c>
      <c r="T14" s="60" t="n">
        <f aca="false">IF(C14=0,"",M14)</f>
        <v>336.3</v>
      </c>
    </row>
    <row r="15" customFormat="false" ht="12.75" hidden="false" customHeight="false" outlineLevel="0" collapsed="false">
      <c r="A15" s="47" t="n">
        <f aca="false">$C$2</f>
        <v>37020</v>
      </c>
      <c r="B15" s="12" t="n">
        <v>9</v>
      </c>
      <c r="C15" s="48" t="n">
        <f aca="false">INDEX(DaMw,C34+8,0)</f>
        <v>30</v>
      </c>
      <c r="D15" s="60" t="n">
        <f aca="false">INDEX(DaPrice,C34+8,0)</f>
        <v>40</v>
      </c>
      <c r="E15" s="50" t="n">
        <f aca="false">VLOOKUP(A15,Gas,4,FALSE())</f>
        <v>4.45</v>
      </c>
      <c r="F15" s="50" t="n">
        <f aca="false">VLOOKUP(A15,Gas,5,FALSE())</f>
        <v>4.45</v>
      </c>
      <c r="G15" s="51" t="n">
        <f aca="false">VLOOKUP(A15,Bogey,2,FALSE())</f>
        <v>62.42</v>
      </c>
      <c r="H15" s="52" t="n">
        <f aca="false">IF(C15&gt;0,G15-D15,"")</f>
        <v>22.42</v>
      </c>
      <c r="I15" s="53" t="n">
        <f aca="false">IF(C15&gt;0,H15*ABS(C15),"")</f>
        <v>672.6</v>
      </c>
      <c r="J15" s="54" t="n">
        <f aca="false">IF($C15=0,"",$H15*0.4)</f>
        <v>8.968</v>
      </c>
      <c r="K15" s="49" t="n">
        <f aca="false">IF($C15=0,"",$H15*0.6)</f>
        <v>13.452</v>
      </c>
      <c r="L15" s="49" t="n">
        <f aca="false">IF(C15=0,"",J15*$C15)</f>
        <v>269.04</v>
      </c>
      <c r="M15" s="55" t="n">
        <f aca="false">IF(C15=0,"",C15*K15)</f>
        <v>403.56</v>
      </c>
      <c r="N15" s="56" t="n">
        <f aca="false">IF(C15=0,"",D15)</f>
        <v>40</v>
      </c>
      <c r="O15" s="57" t="n">
        <f aca="false">IF(C15=0,"",D15+J15)</f>
        <v>48.968</v>
      </c>
      <c r="P15" s="44" t="n">
        <f aca="false">IF(C15=0,"",N15*C15)</f>
        <v>1200</v>
      </c>
      <c r="Q15" s="58" t="n">
        <f aca="false">IF(C15=0,"",O15*C15)</f>
        <v>1469.04</v>
      </c>
      <c r="R15" s="44"/>
      <c r="S15" s="59" t="n">
        <f aca="false">IF(C15=0,"",L15)</f>
        <v>269.04</v>
      </c>
      <c r="T15" s="60" t="n">
        <f aca="false">IF(C15=0,"",M15)</f>
        <v>403.56</v>
      </c>
    </row>
    <row r="16" customFormat="false" ht="12.75" hidden="false" customHeight="false" outlineLevel="0" collapsed="false">
      <c r="A16" s="47" t="n">
        <f aca="false">$C$2</f>
        <v>37020</v>
      </c>
      <c r="B16" s="12" t="n">
        <v>10</v>
      </c>
      <c r="C16" s="48" t="n">
        <f aca="false">INDEX(DaMw,C34+9,0)</f>
        <v>30</v>
      </c>
      <c r="D16" s="60" t="n">
        <f aca="false">INDEX(DaPrice,C34+9,0)</f>
        <v>40</v>
      </c>
      <c r="E16" s="50" t="n">
        <f aca="false">VLOOKUP(A16,Gas,4,FALSE())</f>
        <v>4.45</v>
      </c>
      <c r="F16" s="50" t="n">
        <f aca="false">VLOOKUP(A16,Gas,5,FALSE())</f>
        <v>4.45</v>
      </c>
      <c r="G16" s="51" t="n">
        <f aca="false">VLOOKUP(A16,Bogey,2,FALSE())</f>
        <v>62.42</v>
      </c>
      <c r="H16" s="52" t="n">
        <f aca="false">IF(C16&gt;0,G16-D16,"")</f>
        <v>22.42</v>
      </c>
      <c r="I16" s="53" t="n">
        <f aca="false">IF(C16&gt;0,H16*ABS(C16),"")</f>
        <v>672.6</v>
      </c>
      <c r="J16" s="54" t="n">
        <f aca="false">IF($C16=0,"",$H16*0.4)</f>
        <v>8.968</v>
      </c>
      <c r="K16" s="49" t="n">
        <f aca="false">IF($C16=0,"",$H16*0.6)</f>
        <v>13.452</v>
      </c>
      <c r="L16" s="49" t="n">
        <f aca="false">IF(C16=0,"",J16*$C16)</f>
        <v>269.04</v>
      </c>
      <c r="M16" s="55" t="n">
        <f aca="false">IF(C16=0,"",C16*K16)</f>
        <v>403.56</v>
      </c>
      <c r="N16" s="56" t="n">
        <f aca="false">IF(C16=0,"",D16)</f>
        <v>40</v>
      </c>
      <c r="O16" s="57" t="n">
        <f aca="false">IF(C16=0,"",D16+J16)</f>
        <v>48.968</v>
      </c>
      <c r="P16" s="44" t="n">
        <f aca="false">IF(C16=0,"",N16*C16)</f>
        <v>1200</v>
      </c>
      <c r="Q16" s="58" t="n">
        <f aca="false">IF(C16=0,"",O16*C16)</f>
        <v>1469.04</v>
      </c>
      <c r="R16" s="44"/>
      <c r="S16" s="59" t="n">
        <f aca="false">IF(C16=0,"",L16)</f>
        <v>269.04</v>
      </c>
      <c r="T16" s="60" t="n">
        <f aca="false">IF(C16=0,"",M16)</f>
        <v>403.56</v>
      </c>
    </row>
    <row r="17" customFormat="false" ht="12.75" hidden="false" customHeight="false" outlineLevel="0" collapsed="false">
      <c r="A17" s="47" t="n">
        <f aca="false">$C$2</f>
        <v>37020</v>
      </c>
      <c r="B17" s="12" t="n">
        <v>11</v>
      </c>
      <c r="C17" s="48" t="n">
        <f aca="false">INDEX(DaMw,C34+10,0)</f>
        <v>30</v>
      </c>
      <c r="D17" s="60" t="n">
        <f aca="false">INDEX(DaPrice,C34+10,0)</f>
        <v>40</v>
      </c>
      <c r="E17" s="50" t="n">
        <f aca="false">VLOOKUP(A17,Gas,4,FALSE())</f>
        <v>4.45</v>
      </c>
      <c r="F17" s="50" t="n">
        <f aca="false">VLOOKUP(A17,Gas,5,FALSE())</f>
        <v>4.45</v>
      </c>
      <c r="G17" s="51" t="n">
        <f aca="false">VLOOKUP(A17,Bogey,2,FALSE())</f>
        <v>62.42</v>
      </c>
      <c r="H17" s="52" t="n">
        <f aca="false">IF(C17&gt;0,G17-D17,"")</f>
        <v>22.42</v>
      </c>
      <c r="I17" s="53" t="n">
        <f aca="false">IF(C17&gt;0,H17*ABS(C17),"")</f>
        <v>672.6</v>
      </c>
      <c r="J17" s="54" t="n">
        <f aca="false">IF($C17=0,"",$H17*0.4)</f>
        <v>8.968</v>
      </c>
      <c r="K17" s="49" t="n">
        <f aca="false">IF($C17=0,"",$H17*0.6)</f>
        <v>13.452</v>
      </c>
      <c r="L17" s="49" t="n">
        <f aca="false">IF(C17=0,"",J17*$C17)</f>
        <v>269.04</v>
      </c>
      <c r="M17" s="55" t="n">
        <f aca="false">IF(C17=0,"",C17*K17)</f>
        <v>403.56</v>
      </c>
      <c r="N17" s="56" t="n">
        <f aca="false">IF(C17=0,"",D17)</f>
        <v>40</v>
      </c>
      <c r="O17" s="57" t="n">
        <f aca="false">IF(C17=0,"",D17+J17)</f>
        <v>48.968</v>
      </c>
      <c r="P17" s="44" t="n">
        <f aca="false">IF(C17=0,"",N17*C17)</f>
        <v>1200</v>
      </c>
      <c r="Q17" s="58" t="n">
        <f aca="false">IF(C17=0,"",O17*C17)</f>
        <v>1469.04</v>
      </c>
      <c r="R17" s="44"/>
      <c r="S17" s="59" t="n">
        <f aca="false">IF(C17=0,"",L17)</f>
        <v>269.04</v>
      </c>
      <c r="T17" s="60" t="n">
        <f aca="false">IF(C17=0,"",M17)</f>
        <v>403.56</v>
      </c>
    </row>
    <row r="18" customFormat="false" ht="12.75" hidden="false" customHeight="false" outlineLevel="0" collapsed="false">
      <c r="A18" s="47" t="n">
        <f aca="false">$C$2</f>
        <v>37020</v>
      </c>
      <c r="B18" s="12" t="n">
        <v>12</v>
      </c>
      <c r="C18" s="48" t="n">
        <f aca="false">INDEX(DaMw,C34+11,0)</f>
        <v>30</v>
      </c>
      <c r="D18" s="60" t="n">
        <f aca="false">INDEX(DaPrice,C34+11,0)</f>
        <v>40</v>
      </c>
      <c r="E18" s="50" t="n">
        <f aca="false">VLOOKUP(A18,Gas,4,FALSE())</f>
        <v>4.45</v>
      </c>
      <c r="F18" s="50" t="n">
        <f aca="false">VLOOKUP(A18,Gas,5,FALSE())</f>
        <v>4.45</v>
      </c>
      <c r="G18" s="51" t="n">
        <f aca="false">VLOOKUP(A18,Bogey,2,FALSE())</f>
        <v>62.42</v>
      </c>
      <c r="H18" s="52" t="n">
        <f aca="false">IF(C18&gt;0,G18-D18,"")</f>
        <v>22.42</v>
      </c>
      <c r="I18" s="53" t="n">
        <f aca="false">IF(C18&gt;0,H18*ABS(C18),"")</f>
        <v>672.6</v>
      </c>
      <c r="J18" s="54" t="n">
        <f aca="false">IF($C18=0,"",$H18*0.4)</f>
        <v>8.968</v>
      </c>
      <c r="K18" s="49" t="n">
        <f aca="false">IF($C18=0,"",$H18*0.6)</f>
        <v>13.452</v>
      </c>
      <c r="L18" s="49" t="n">
        <f aca="false">IF(C18=0,"",J18*$C18)</f>
        <v>269.04</v>
      </c>
      <c r="M18" s="55" t="n">
        <f aca="false">IF(C18=0,"",C18*K18)</f>
        <v>403.56</v>
      </c>
      <c r="N18" s="56" t="n">
        <f aca="false">IF(C18=0,"",D18)</f>
        <v>40</v>
      </c>
      <c r="O18" s="57" t="n">
        <f aca="false">IF(C18=0,"",D18+J18)</f>
        <v>48.968</v>
      </c>
      <c r="P18" s="44" t="n">
        <f aca="false">IF(C18=0,"",N18*C18)</f>
        <v>1200</v>
      </c>
      <c r="Q18" s="58" t="n">
        <f aca="false">IF(C18=0,"",O18*C18)</f>
        <v>1469.04</v>
      </c>
      <c r="R18" s="44"/>
      <c r="S18" s="59" t="n">
        <f aca="false">IF(C18=0,"",L18)</f>
        <v>269.04</v>
      </c>
      <c r="T18" s="60" t="n">
        <f aca="false">IF(C18=0,"",M18)</f>
        <v>403.56</v>
      </c>
    </row>
    <row r="19" customFormat="false" ht="12.75" hidden="false" customHeight="false" outlineLevel="0" collapsed="false">
      <c r="A19" s="47" t="n">
        <f aca="false">$C$2</f>
        <v>37020</v>
      </c>
      <c r="B19" s="12" t="n">
        <v>13</v>
      </c>
      <c r="C19" s="48" t="n">
        <f aca="false">INDEX(DaMw,C34+12,0)</f>
        <v>30</v>
      </c>
      <c r="D19" s="60" t="n">
        <f aca="false">INDEX(DaPrice,C34+12,0)</f>
        <v>40</v>
      </c>
      <c r="E19" s="50" t="n">
        <f aca="false">VLOOKUP(A19,Gas,4,FALSE())</f>
        <v>4.45</v>
      </c>
      <c r="F19" s="50" t="n">
        <f aca="false">VLOOKUP(A19,Gas,5,FALSE())</f>
        <v>4.45</v>
      </c>
      <c r="G19" s="51" t="n">
        <f aca="false">VLOOKUP(A19,Bogey,2,FALSE())</f>
        <v>62.42</v>
      </c>
      <c r="H19" s="52" t="n">
        <f aca="false">IF(C19&gt;0,G19-D19,"")</f>
        <v>22.42</v>
      </c>
      <c r="I19" s="53" t="n">
        <f aca="false">IF(C19&gt;0,H19*ABS(C19),"")</f>
        <v>672.6</v>
      </c>
      <c r="J19" s="54" t="n">
        <f aca="false">IF($C19=0,"",$H19*0.4)</f>
        <v>8.968</v>
      </c>
      <c r="K19" s="49" t="n">
        <f aca="false">IF($C19=0,"",$H19*0.6)</f>
        <v>13.452</v>
      </c>
      <c r="L19" s="49" t="n">
        <f aca="false">IF(C19=0,"",J19*$C19)</f>
        <v>269.04</v>
      </c>
      <c r="M19" s="55" t="n">
        <f aca="false">IF(C19=0,"",C19*K19)</f>
        <v>403.56</v>
      </c>
      <c r="N19" s="56" t="n">
        <f aca="false">IF(C19=0,"",D19)</f>
        <v>40</v>
      </c>
      <c r="O19" s="57" t="n">
        <f aca="false">IF(C19=0,"",D19+J19)</f>
        <v>48.968</v>
      </c>
      <c r="P19" s="44" t="n">
        <f aca="false">IF(C19=0,"",N19*C19)</f>
        <v>1200</v>
      </c>
      <c r="Q19" s="58" t="n">
        <f aca="false">IF(C19=0,"",O19*C19)</f>
        <v>1469.04</v>
      </c>
      <c r="R19" s="44"/>
      <c r="S19" s="59" t="n">
        <f aca="false">IF(C19=0,"",L19)</f>
        <v>269.04</v>
      </c>
      <c r="T19" s="60" t="n">
        <f aca="false">IF(C19=0,"",M19)</f>
        <v>403.56</v>
      </c>
    </row>
    <row r="20" customFormat="false" ht="12.75" hidden="false" customHeight="false" outlineLevel="0" collapsed="false">
      <c r="A20" s="47" t="n">
        <f aca="false">$C$2</f>
        <v>37020</v>
      </c>
      <c r="B20" s="12" t="n">
        <v>14</v>
      </c>
      <c r="C20" s="48" t="n">
        <f aca="false">INDEX(DaMw,C34+13,0)</f>
        <v>30</v>
      </c>
      <c r="D20" s="60" t="n">
        <f aca="false">INDEX(DaPrice,C34+13,0)</f>
        <v>40</v>
      </c>
      <c r="E20" s="50" t="n">
        <f aca="false">VLOOKUP(A20,Gas,4,FALSE())</f>
        <v>4.45</v>
      </c>
      <c r="F20" s="50" t="n">
        <f aca="false">VLOOKUP(A20,Gas,5,FALSE())</f>
        <v>4.45</v>
      </c>
      <c r="G20" s="51" t="n">
        <f aca="false">VLOOKUP(A20,Bogey,2,FALSE())</f>
        <v>62.42</v>
      </c>
      <c r="H20" s="52" t="n">
        <f aca="false">IF(C20&gt;0,G20-D20,"")</f>
        <v>22.42</v>
      </c>
      <c r="I20" s="53" t="n">
        <f aca="false">IF(C20&gt;0,H20*ABS(C20),"")</f>
        <v>672.6</v>
      </c>
      <c r="J20" s="54" t="n">
        <f aca="false">IF($C20=0,"",$H20*0.4)</f>
        <v>8.968</v>
      </c>
      <c r="K20" s="49" t="n">
        <f aca="false">IF($C20=0,"",$H20*0.6)</f>
        <v>13.452</v>
      </c>
      <c r="L20" s="49" t="n">
        <f aca="false">IF(C20=0,"",J20*$C20)</f>
        <v>269.04</v>
      </c>
      <c r="M20" s="55" t="n">
        <f aca="false">IF(C20=0,"",C20*K20)</f>
        <v>403.56</v>
      </c>
      <c r="N20" s="56" t="n">
        <f aca="false">IF(C20=0,"",D20)</f>
        <v>40</v>
      </c>
      <c r="O20" s="57" t="n">
        <f aca="false">IF(C20=0,"",D20+J20)</f>
        <v>48.968</v>
      </c>
      <c r="P20" s="44" t="n">
        <f aca="false">IF(C20=0,"",N20*C20)</f>
        <v>1200</v>
      </c>
      <c r="Q20" s="58" t="n">
        <f aca="false">IF(C20=0,"",O20*C20)</f>
        <v>1469.04</v>
      </c>
      <c r="R20" s="44"/>
      <c r="S20" s="59" t="n">
        <f aca="false">IF(C20=0,"",L20)</f>
        <v>269.04</v>
      </c>
      <c r="T20" s="60" t="n">
        <f aca="false">IF(C20=0,"",M20)</f>
        <v>403.56</v>
      </c>
    </row>
    <row r="21" customFormat="false" ht="12.75" hidden="false" customHeight="false" outlineLevel="0" collapsed="false">
      <c r="A21" s="47" t="n">
        <f aca="false">$C$2</f>
        <v>37020</v>
      </c>
      <c r="B21" s="12" t="n">
        <v>15</v>
      </c>
      <c r="C21" s="48" t="n">
        <f aca="false">INDEX(DaMw,C34+14,0)</f>
        <v>30</v>
      </c>
      <c r="D21" s="60" t="n">
        <f aca="false">INDEX(DaPrice,C34+14,0)</f>
        <v>40</v>
      </c>
      <c r="E21" s="50" t="n">
        <f aca="false">VLOOKUP(A21,Gas,4,FALSE())</f>
        <v>4.45</v>
      </c>
      <c r="F21" s="50" t="n">
        <f aca="false">VLOOKUP(A21,Gas,5,FALSE())</f>
        <v>4.45</v>
      </c>
      <c r="G21" s="51" t="n">
        <f aca="false">VLOOKUP(A21,Bogey,2,FALSE())</f>
        <v>62.42</v>
      </c>
      <c r="H21" s="52" t="n">
        <f aca="false">IF(C21&gt;0,G21-D21,"")</f>
        <v>22.42</v>
      </c>
      <c r="I21" s="53" t="n">
        <f aca="false">IF(C21&gt;0,H21*ABS(C21),"")</f>
        <v>672.6</v>
      </c>
      <c r="J21" s="54" t="n">
        <f aca="false">IF($C21=0,"",$H21*0.4)</f>
        <v>8.968</v>
      </c>
      <c r="K21" s="49" t="n">
        <f aca="false">IF($C21=0,"",$H21*0.6)</f>
        <v>13.452</v>
      </c>
      <c r="L21" s="49" t="n">
        <f aca="false">IF(C21=0,"",J21*$C21)</f>
        <v>269.04</v>
      </c>
      <c r="M21" s="55" t="n">
        <f aca="false">IF(C21=0,"",C21*K21)</f>
        <v>403.56</v>
      </c>
      <c r="N21" s="56" t="n">
        <f aca="false">IF(C21=0,"",D21)</f>
        <v>40</v>
      </c>
      <c r="O21" s="57" t="n">
        <f aca="false">IF(C21=0,"",D21+J21)</f>
        <v>48.968</v>
      </c>
      <c r="P21" s="44" t="n">
        <f aca="false">IF(C21=0,"",N21*C21)</f>
        <v>1200</v>
      </c>
      <c r="Q21" s="58" t="n">
        <f aca="false">IF(C21=0,"",O21*C21)</f>
        <v>1469.04</v>
      </c>
      <c r="R21" s="44"/>
      <c r="S21" s="59" t="n">
        <f aca="false">IF(C21=0,"",L21)</f>
        <v>269.04</v>
      </c>
      <c r="T21" s="60" t="n">
        <f aca="false">IF(C21=0,"",M21)</f>
        <v>403.56</v>
      </c>
    </row>
    <row r="22" customFormat="false" ht="12.75" hidden="false" customHeight="false" outlineLevel="0" collapsed="false">
      <c r="A22" s="47" t="n">
        <f aca="false">$C$2</f>
        <v>37020</v>
      </c>
      <c r="B22" s="12" t="n">
        <v>16</v>
      </c>
      <c r="C22" s="48" t="n">
        <f aca="false">INDEX(DaMw,C34+15,0)</f>
        <v>30</v>
      </c>
      <c r="D22" s="60" t="n">
        <f aca="false">INDEX(DaPrice,C34+15,0)</f>
        <v>40</v>
      </c>
      <c r="E22" s="50" t="n">
        <f aca="false">VLOOKUP(A22,Gas,4,FALSE())</f>
        <v>4.45</v>
      </c>
      <c r="F22" s="50" t="n">
        <f aca="false">VLOOKUP(A22,Gas,5,FALSE())</f>
        <v>4.45</v>
      </c>
      <c r="G22" s="51" t="n">
        <f aca="false">VLOOKUP(A22,Bogey,2,FALSE())</f>
        <v>62.42</v>
      </c>
      <c r="H22" s="52" t="n">
        <f aca="false">IF(C22&gt;0,G22-D22,"")</f>
        <v>22.42</v>
      </c>
      <c r="I22" s="53" t="n">
        <f aca="false">IF(C22&gt;0,H22*ABS(C22),"")</f>
        <v>672.6</v>
      </c>
      <c r="J22" s="54" t="n">
        <f aca="false">IF($C22=0,"",$H22*0.4)</f>
        <v>8.968</v>
      </c>
      <c r="K22" s="49" t="n">
        <f aca="false">IF($C22=0,"",$H22*0.6)</f>
        <v>13.452</v>
      </c>
      <c r="L22" s="49" t="n">
        <f aca="false">IF(C22=0,"",J22*$C22)</f>
        <v>269.04</v>
      </c>
      <c r="M22" s="55" t="n">
        <f aca="false">IF(C22=0,"",C22*K22)</f>
        <v>403.56</v>
      </c>
      <c r="N22" s="56" t="n">
        <f aca="false">IF(C22=0,"",D22)</f>
        <v>40</v>
      </c>
      <c r="O22" s="57" t="n">
        <f aca="false">IF(C22=0,"",D22+J22)</f>
        <v>48.968</v>
      </c>
      <c r="P22" s="44" t="n">
        <f aca="false">IF(C22=0,"",N22*C22)</f>
        <v>1200</v>
      </c>
      <c r="Q22" s="58" t="n">
        <f aca="false">IF(C22=0,"",O22*C22)</f>
        <v>1469.04</v>
      </c>
      <c r="R22" s="44"/>
      <c r="S22" s="59" t="n">
        <f aca="false">IF(C22=0,"",L22)</f>
        <v>269.04</v>
      </c>
      <c r="T22" s="60" t="n">
        <f aca="false">IF(C22=0,"",M22)</f>
        <v>403.56</v>
      </c>
    </row>
    <row r="23" customFormat="false" ht="12.75" hidden="false" customHeight="false" outlineLevel="0" collapsed="false">
      <c r="A23" s="47" t="n">
        <f aca="false">$C$2</f>
        <v>37020</v>
      </c>
      <c r="B23" s="12" t="n">
        <v>17</v>
      </c>
      <c r="C23" s="48" t="n">
        <f aca="false">INDEX(DaMw,C34+16,0)</f>
        <v>30</v>
      </c>
      <c r="D23" s="60" t="n">
        <f aca="false">INDEX(DaPrice,C34+16,0)</f>
        <v>40</v>
      </c>
      <c r="E23" s="50" t="n">
        <f aca="false">VLOOKUP(A23,Gas,4,FALSE())</f>
        <v>4.45</v>
      </c>
      <c r="F23" s="50" t="n">
        <f aca="false">VLOOKUP(A23,Gas,5,FALSE())</f>
        <v>4.45</v>
      </c>
      <c r="G23" s="51" t="n">
        <f aca="false">VLOOKUP(A23,Bogey,2,FALSE())</f>
        <v>62.42</v>
      </c>
      <c r="H23" s="52" t="n">
        <f aca="false">IF(C23&gt;0,G23-D23,"")</f>
        <v>22.42</v>
      </c>
      <c r="I23" s="53" t="n">
        <f aca="false">IF(C23&gt;0,H23*ABS(C23),"")</f>
        <v>672.6</v>
      </c>
      <c r="J23" s="54" t="n">
        <f aca="false">IF($C23=0,"",$H23*0.4)</f>
        <v>8.968</v>
      </c>
      <c r="K23" s="49" t="n">
        <f aca="false">IF($C23=0,"",$H23*0.6)</f>
        <v>13.452</v>
      </c>
      <c r="L23" s="49" t="n">
        <f aca="false">IF(C23=0,"",J23*$C23)</f>
        <v>269.04</v>
      </c>
      <c r="M23" s="55" t="n">
        <f aca="false">IF(C23=0,"",C23*K23)</f>
        <v>403.56</v>
      </c>
      <c r="N23" s="56" t="n">
        <f aca="false">IF(C23=0,"",D23)</f>
        <v>40</v>
      </c>
      <c r="O23" s="57" t="n">
        <f aca="false">IF(C23=0,"",D23+J23)</f>
        <v>48.968</v>
      </c>
      <c r="P23" s="44" t="n">
        <f aca="false">IF(C23=0,"",N23*C23)</f>
        <v>1200</v>
      </c>
      <c r="Q23" s="58" t="n">
        <f aca="false">IF(C23=0,"",O23*C23)</f>
        <v>1469.04</v>
      </c>
      <c r="R23" s="44"/>
      <c r="S23" s="59" t="n">
        <f aca="false">IF(C23=0,"",L23)</f>
        <v>269.04</v>
      </c>
      <c r="T23" s="60" t="n">
        <f aca="false">IF(C23=0,"",M23)</f>
        <v>403.56</v>
      </c>
    </row>
    <row r="24" customFormat="false" ht="12.75" hidden="false" customHeight="false" outlineLevel="0" collapsed="false">
      <c r="A24" s="47" t="n">
        <f aca="false">$C$2</f>
        <v>37020</v>
      </c>
      <c r="B24" s="12" t="n">
        <v>18</v>
      </c>
      <c r="C24" s="48" t="n">
        <f aca="false">INDEX(DaMw,C34+17,0)</f>
        <v>30</v>
      </c>
      <c r="D24" s="60" t="n">
        <f aca="false">INDEX(DaPrice,C34+17,0)</f>
        <v>40</v>
      </c>
      <c r="E24" s="50" t="n">
        <f aca="false">VLOOKUP(A24,Gas,4,FALSE())</f>
        <v>4.45</v>
      </c>
      <c r="F24" s="50" t="n">
        <f aca="false">VLOOKUP(A24,Gas,5,FALSE())</f>
        <v>4.45</v>
      </c>
      <c r="G24" s="51" t="n">
        <f aca="false">VLOOKUP(A24,Bogey,2,FALSE())</f>
        <v>62.42</v>
      </c>
      <c r="H24" s="52" t="n">
        <f aca="false">IF(C24&gt;0,G24-D24,"")</f>
        <v>22.42</v>
      </c>
      <c r="I24" s="53" t="n">
        <f aca="false">IF(C24&gt;0,H24*ABS(C24),"")</f>
        <v>672.6</v>
      </c>
      <c r="J24" s="54" t="n">
        <f aca="false">IF($C24=0,"",$H24*0.4)</f>
        <v>8.968</v>
      </c>
      <c r="K24" s="49" t="n">
        <f aca="false">IF($C24=0,"",$H24*0.6)</f>
        <v>13.452</v>
      </c>
      <c r="L24" s="49" t="n">
        <f aca="false">IF(C24=0,"",J24*$C24)</f>
        <v>269.04</v>
      </c>
      <c r="M24" s="55" t="n">
        <f aca="false">IF(C24=0,"",C24*K24)</f>
        <v>403.56</v>
      </c>
      <c r="N24" s="56" t="n">
        <f aca="false">IF(C24=0,"",D24)</f>
        <v>40</v>
      </c>
      <c r="O24" s="57" t="n">
        <f aca="false">IF(C24=0,"",D24+J24)</f>
        <v>48.968</v>
      </c>
      <c r="P24" s="44" t="n">
        <f aca="false">IF(C24=0,"",N24*C24)</f>
        <v>1200</v>
      </c>
      <c r="Q24" s="58" t="n">
        <f aca="false">IF(C24=0,"",O24*C24)</f>
        <v>1469.04</v>
      </c>
      <c r="R24" s="44"/>
      <c r="S24" s="59" t="n">
        <f aca="false">IF(C24=0,"",L24)</f>
        <v>269.04</v>
      </c>
      <c r="T24" s="60" t="n">
        <f aca="false">IF(C24=0,"",M24)</f>
        <v>403.56</v>
      </c>
    </row>
    <row r="25" customFormat="false" ht="12.75" hidden="false" customHeight="false" outlineLevel="0" collapsed="false">
      <c r="A25" s="47" t="n">
        <f aca="false">$C$2</f>
        <v>37020</v>
      </c>
      <c r="B25" s="12" t="n">
        <v>19</v>
      </c>
      <c r="C25" s="48" t="n">
        <f aca="false">INDEX(DaMw,C34+18,0)</f>
        <v>30</v>
      </c>
      <c r="D25" s="60" t="n">
        <f aca="false">INDEX(DaPrice,C34+18,0)</f>
        <v>40</v>
      </c>
      <c r="E25" s="50" t="n">
        <f aca="false">VLOOKUP(A25,Gas,4,FALSE())</f>
        <v>4.45</v>
      </c>
      <c r="F25" s="50" t="n">
        <f aca="false">VLOOKUP(A25,Gas,5,FALSE())</f>
        <v>4.45</v>
      </c>
      <c r="G25" s="51" t="n">
        <f aca="false">VLOOKUP(A25,Bogey,2,FALSE())</f>
        <v>62.42</v>
      </c>
      <c r="H25" s="52" t="n">
        <f aca="false">IF(C25&gt;0,G25-D25,"")</f>
        <v>22.42</v>
      </c>
      <c r="I25" s="53" t="n">
        <f aca="false">IF(C25&gt;0,H25*ABS(C25),"")</f>
        <v>672.6</v>
      </c>
      <c r="J25" s="54" t="n">
        <f aca="false">IF($C25=0,"",$H25*0.4)</f>
        <v>8.968</v>
      </c>
      <c r="K25" s="49" t="n">
        <f aca="false">IF($C25=0,"",$H25*0.6)</f>
        <v>13.452</v>
      </c>
      <c r="L25" s="49" t="n">
        <f aca="false">IF(C25=0,"",J25*$C25)</f>
        <v>269.04</v>
      </c>
      <c r="M25" s="55" t="n">
        <f aca="false">IF(C25=0,"",C25*K25)</f>
        <v>403.56</v>
      </c>
      <c r="N25" s="56" t="n">
        <f aca="false">IF(C25=0,"",D25)</f>
        <v>40</v>
      </c>
      <c r="O25" s="57" t="n">
        <f aca="false">IF(C25=0,"",D25+J25)</f>
        <v>48.968</v>
      </c>
      <c r="P25" s="44" t="n">
        <f aca="false">IF(C25=0,"",N25*C25)</f>
        <v>1200</v>
      </c>
      <c r="Q25" s="58" t="n">
        <f aca="false">IF(C25=0,"",O25*C25)</f>
        <v>1469.04</v>
      </c>
      <c r="R25" s="44"/>
      <c r="S25" s="59" t="n">
        <f aca="false">IF(C25=0,"",L25)</f>
        <v>269.04</v>
      </c>
      <c r="T25" s="60" t="n">
        <f aca="false">IF(C25=0,"",M25)</f>
        <v>403.56</v>
      </c>
    </row>
    <row r="26" customFormat="false" ht="12.75" hidden="false" customHeight="false" outlineLevel="0" collapsed="false">
      <c r="A26" s="47" t="n">
        <f aca="false">$C$2</f>
        <v>37020</v>
      </c>
      <c r="B26" s="12" t="n">
        <v>20</v>
      </c>
      <c r="C26" s="48" t="n">
        <f aca="false">INDEX(DaMw,C34+19,0)</f>
        <v>30</v>
      </c>
      <c r="D26" s="60" t="n">
        <f aca="false">INDEX(DaPrice,C34+19,0)</f>
        <v>40</v>
      </c>
      <c r="E26" s="50" t="n">
        <f aca="false">VLOOKUP(A26,Gas,4,FALSE())</f>
        <v>4.45</v>
      </c>
      <c r="F26" s="50" t="n">
        <f aca="false">VLOOKUP(A26,Gas,5,FALSE())</f>
        <v>4.45</v>
      </c>
      <c r="G26" s="51" t="n">
        <f aca="false">VLOOKUP(A26,Bogey,2,FALSE())</f>
        <v>62.42</v>
      </c>
      <c r="H26" s="52" t="n">
        <f aca="false">IF(C26&gt;0,G26-D26,"")</f>
        <v>22.42</v>
      </c>
      <c r="I26" s="53" t="n">
        <f aca="false">IF(C26&gt;0,H26*ABS(C26),"")</f>
        <v>672.6</v>
      </c>
      <c r="J26" s="54" t="n">
        <f aca="false">IF($C26=0,"",$H26*0.4)</f>
        <v>8.968</v>
      </c>
      <c r="K26" s="49" t="n">
        <f aca="false">IF($C26=0,"",$H26*0.6)</f>
        <v>13.452</v>
      </c>
      <c r="L26" s="49" t="n">
        <f aca="false">IF(C26=0,"",J26*$C26)</f>
        <v>269.04</v>
      </c>
      <c r="M26" s="55" t="n">
        <f aca="false">IF(C26=0,"",C26*K26)</f>
        <v>403.56</v>
      </c>
      <c r="N26" s="56" t="n">
        <f aca="false">IF(C26=0,"",D26)</f>
        <v>40</v>
      </c>
      <c r="O26" s="57" t="n">
        <f aca="false">IF(C26=0,"",D26+J26)</f>
        <v>48.968</v>
      </c>
      <c r="P26" s="44" t="n">
        <f aca="false">IF(C26=0,"",N26*C26)</f>
        <v>1200</v>
      </c>
      <c r="Q26" s="58" t="n">
        <f aca="false">IF(C26=0,"",O26*C26)</f>
        <v>1469.04</v>
      </c>
      <c r="R26" s="44"/>
      <c r="S26" s="59" t="n">
        <f aca="false">IF(C26=0,"",L26)</f>
        <v>269.04</v>
      </c>
      <c r="T26" s="60" t="n">
        <f aca="false">IF(C26=0,"",M26)</f>
        <v>403.56</v>
      </c>
    </row>
    <row r="27" customFormat="false" ht="12.75" hidden="false" customHeight="false" outlineLevel="0" collapsed="false">
      <c r="A27" s="47" t="n">
        <f aca="false">$C$2</f>
        <v>37020</v>
      </c>
      <c r="B27" s="12" t="n">
        <v>21</v>
      </c>
      <c r="C27" s="48" t="n">
        <f aca="false">INDEX(DaMw,C34+20,0)</f>
        <v>30</v>
      </c>
      <c r="D27" s="60" t="n">
        <f aca="false">INDEX(DaPrice,C34+20,0)</f>
        <v>40</v>
      </c>
      <c r="E27" s="50" t="n">
        <f aca="false">VLOOKUP(A27,Gas,4,FALSE())</f>
        <v>4.45</v>
      </c>
      <c r="F27" s="50" t="n">
        <f aca="false">VLOOKUP(A27,Gas,5,FALSE())</f>
        <v>4.45</v>
      </c>
      <c r="G27" s="51" t="n">
        <f aca="false">VLOOKUP(A27,Bogey,2,FALSE())</f>
        <v>62.42</v>
      </c>
      <c r="H27" s="52" t="n">
        <f aca="false">IF(C27&gt;0,G27-D27,"")</f>
        <v>22.42</v>
      </c>
      <c r="I27" s="53" t="n">
        <f aca="false">IF(C27&gt;0,H27*ABS(C27),"")</f>
        <v>672.6</v>
      </c>
      <c r="J27" s="54" t="n">
        <f aca="false">IF($C27=0,"",$H27*0.4)</f>
        <v>8.968</v>
      </c>
      <c r="K27" s="49" t="n">
        <f aca="false">IF($C27=0,"",$H27*0.6)</f>
        <v>13.452</v>
      </c>
      <c r="L27" s="49" t="n">
        <f aca="false">IF(C27=0,"",J27*$C27)</f>
        <v>269.04</v>
      </c>
      <c r="M27" s="55" t="n">
        <f aca="false">IF(C27=0,"",C27*K27)</f>
        <v>403.56</v>
      </c>
      <c r="N27" s="56" t="n">
        <f aca="false">IF(C27=0,"",D27)</f>
        <v>40</v>
      </c>
      <c r="O27" s="57" t="n">
        <f aca="false">IF(C27=0,"",D27+J27)</f>
        <v>48.968</v>
      </c>
      <c r="P27" s="44" t="n">
        <f aca="false">IF(C27=0,"",N27*C27)</f>
        <v>1200</v>
      </c>
      <c r="Q27" s="58" t="n">
        <f aca="false">IF(C27=0,"",O27*C27)</f>
        <v>1469.04</v>
      </c>
      <c r="R27" s="44"/>
      <c r="S27" s="59" t="n">
        <f aca="false">IF(C27=0,"",L27)</f>
        <v>269.04</v>
      </c>
      <c r="T27" s="60" t="n">
        <f aca="false">IF(C27=0,"",M27)</f>
        <v>403.56</v>
      </c>
    </row>
    <row r="28" customFormat="false" ht="12.75" hidden="false" customHeight="false" outlineLevel="0" collapsed="false">
      <c r="A28" s="47" t="n">
        <f aca="false">$C$2</f>
        <v>37020</v>
      </c>
      <c r="B28" s="12" t="n">
        <v>22</v>
      </c>
      <c r="C28" s="48" t="n">
        <f aca="false">INDEX(DaMw,C34+21,0)</f>
        <v>30</v>
      </c>
      <c r="D28" s="60" t="n">
        <f aca="false">INDEX(DaPrice,C34+21,0)</f>
        <v>40</v>
      </c>
      <c r="E28" s="50" t="n">
        <f aca="false">VLOOKUP(A28,Gas,4,FALSE())</f>
        <v>4.45</v>
      </c>
      <c r="F28" s="50" t="n">
        <f aca="false">VLOOKUP(A28,Gas,5,FALSE())</f>
        <v>4.45</v>
      </c>
      <c r="G28" s="51" t="n">
        <f aca="false">VLOOKUP(A28,Bogey,2,FALSE())</f>
        <v>62.42</v>
      </c>
      <c r="H28" s="52" t="n">
        <f aca="false">IF(C28&gt;0,G28-D28,"")</f>
        <v>22.42</v>
      </c>
      <c r="I28" s="53" t="n">
        <f aca="false">IF(C28&gt;0,H28*ABS(C28),"")</f>
        <v>672.6</v>
      </c>
      <c r="J28" s="54" t="n">
        <f aca="false">IF($C28=0,"",$H28*0.4)</f>
        <v>8.968</v>
      </c>
      <c r="K28" s="49" t="n">
        <f aca="false">IF($C28=0,"",$H28*0.6)</f>
        <v>13.452</v>
      </c>
      <c r="L28" s="49" t="n">
        <f aca="false">IF(C28=0,"",J28*$C28)</f>
        <v>269.04</v>
      </c>
      <c r="M28" s="55" t="n">
        <f aca="false">IF(C28=0,"",C28*K28)</f>
        <v>403.56</v>
      </c>
      <c r="N28" s="56" t="n">
        <f aca="false">IF(C28=0,"",D28)</f>
        <v>40</v>
      </c>
      <c r="O28" s="57" t="n">
        <f aca="false">IF(C28=0,"",D28+J28)</f>
        <v>48.968</v>
      </c>
      <c r="P28" s="44" t="n">
        <f aca="false">IF(C28=0,"",N28*C28)</f>
        <v>1200</v>
      </c>
      <c r="Q28" s="58" t="n">
        <f aca="false">IF(C28=0,"",O28*C28)</f>
        <v>1469.04</v>
      </c>
      <c r="R28" s="44"/>
      <c r="S28" s="59" t="n">
        <f aca="false">IF(C28=0,"",L28)</f>
        <v>269.04</v>
      </c>
      <c r="T28" s="60" t="n">
        <f aca="false">IF(C28=0,"",M28)</f>
        <v>403.56</v>
      </c>
    </row>
    <row r="29" customFormat="false" ht="12.75" hidden="false" customHeight="false" outlineLevel="0" collapsed="false">
      <c r="A29" s="47" t="n">
        <f aca="false">$C$2</f>
        <v>37020</v>
      </c>
      <c r="B29" s="12" t="n">
        <v>23</v>
      </c>
      <c r="C29" s="48" t="n">
        <f aca="false">INDEX(DaMw,C34+22,0)</f>
        <v>15</v>
      </c>
      <c r="D29" s="60" t="n">
        <f aca="false">INDEX(DaPrice,C34+22,0)</f>
        <v>16.5</v>
      </c>
      <c r="E29" s="50" t="n">
        <f aca="false">VLOOKUP(A29,Gas,4,FALSE())</f>
        <v>4.45</v>
      </c>
      <c r="F29" s="50" t="n">
        <f aca="false">VLOOKUP(A29,Gas,5,FALSE())</f>
        <v>4.45</v>
      </c>
      <c r="G29" s="51" t="n">
        <f aca="false">VLOOKUP(A29,Bogey,2,FALSE())</f>
        <v>62.42</v>
      </c>
      <c r="H29" s="52" t="n">
        <f aca="false">IF(C29&gt;0,G29-D29,"")</f>
        <v>45.92</v>
      </c>
      <c r="I29" s="53" t="n">
        <f aca="false">IF(C29&gt;0,H29*ABS(C29),"")</f>
        <v>688.8</v>
      </c>
      <c r="J29" s="54" t="n">
        <f aca="false">IF(C29=0,"",1)</f>
        <v>1</v>
      </c>
      <c r="K29" s="44" t="n">
        <f aca="false">IF(C29=0,"",G29-(D29+1))</f>
        <v>44.92</v>
      </c>
      <c r="L29" s="44" t="n">
        <f aca="false">IF(C29=0,"",C29*J29)</f>
        <v>15</v>
      </c>
      <c r="M29" s="55" t="n">
        <f aca="false">IF(C29=0,"",C29*K29)</f>
        <v>673.8</v>
      </c>
      <c r="N29" s="56" t="n">
        <f aca="false">IF(C29=0,"",D29)</f>
        <v>16.5</v>
      </c>
      <c r="O29" s="57" t="n">
        <f aca="false">IF(C29=0,"",D29+1)</f>
        <v>17.5</v>
      </c>
      <c r="P29" s="44" t="n">
        <f aca="false">IF(C29=0,"",N29*C29)</f>
        <v>247.5</v>
      </c>
      <c r="Q29" s="58" t="n">
        <f aca="false">IF(C29=0,"",O29*C29)</f>
        <v>262.5</v>
      </c>
      <c r="R29" s="44"/>
      <c r="S29" s="59" t="n">
        <f aca="false">IF(C29=0,"",L29)</f>
        <v>15</v>
      </c>
      <c r="T29" s="60" t="n">
        <f aca="false">IF(C29=0,"",M29)</f>
        <v>673.8</v>
      </c>
    </row>
    <row r="30" customFormat="false" ht="12.75" hidden="false" customHeight="false" outlineLevel="0" collapsed="false">
      <c r="A30" s="61" t="n">
        <f aca="false">$C$2</f>
        <v>37020</v>
      </c>
      <c r="B30" s="62" t="n">
        <v>24</v>
      </c>
      <c r="C30" s="63" t="n">
        <f aca="false">INDEX(DaMw,C34+23,0)</f>
        <v>15</v>
      </c>
      <c r="D30" s="76" t="n">
        <f aca="false">INDEX(DaPrice,C34+23,0)</f>
        <v>16.5</v>
      </c>
      <c r="E30" s="65" t="n">
        <f aca="false">VLOOKUP(A30,Gas,4,FALSE())</f>
        <v>4.45</v>
      </c>
      <c r="F30" s="65" t="n">
        <f aca="false">VLOOKUP(A30,Gas,5,FALSE())</f>
        <v>4.45</v>
      </c>
      <c r="G30" s="66" t="n">
        <f aca="false">VLOOKUP(A30,Bogey,2,FALSE())</f>
        <v>62.42</v>
      </c>
      <c r="H30" s="67" t="n">
        <f aca="false">IF(C30&gt;0,G30-D30,"")</f>
        <v>45.92</v>
      </c>
      <c r="I30" s="68" t="n">
        <f aca="false">IF(C30&gt;0,H30*ABS(C30),"")</f>
        <v>688.8</v>
      </c>
      <c r="J30" s="69" t="n">
        <f aca="false">IF(C30=0,"",1)</f>
        <v>1</v>
      </c>
      <c r="K30" s="70" t="n">
        <f aca="false">IF(C30=0,"",G30-(D30+1))</f>
        <v>44.92</v>
      </c>
      <c r="L30" s="70" t="n">
        <f aca="false">IF(C30=0,"",C30*J30)</f>
        <v>15</v>
      </c>
      <c r="M30" s="71" t="n">
        <f aca="false">IF(C30=0,"",C30*K30)</f>
        <v>673.8</v>
      </c>
      <c r="N30" s="72" t="n">
        <f aca="false">IF(C30=0,"",D30)</f>
        <v>16.5</v>
      </c>
      <c r="O30" s="73" t="n">
        <f aca="false">IF(C30=0,"",D30+1)</f>
        <v>17.5</v>
      </c>
      <c r="P30" s="70" t="n">
        <f aca="false">IF(C30=0,"",N30*C30)</f>
        <v>247.5</v>
      </c>
      <c r="Q30" s="74" t="n">
        <f aca="false">IF(C30=0,"",O30*C30)</f>
        <v>262.5</v>
      </c>
      <c r="R30" s="44"/>
      <c r="S30" s="75" t="n">
        <f aca="false">IF(C30=0,"",L30)</f>
        <v>15</v>
      </c>
      <c r="T30" s="76" t="n">
        <f aca="false">IF(C30=0,"",M30)</f>
        <v>673.8</v>
      </c>
    </row>
    <row r="31" customFormat="false" ht="4.5" hidden="false" customHeight="true" outlineLevel="0" collapsed="false">
      <c r="E31" s="77"/>
      <c r="F31" s="77"/>
      <c r="G31" s="77"/>
      <c r="I31" s="78"/>
      <c r="Q31" s="2"/>
      <c r="S31" s="2"/>
    </row>
    <row r="32" customFormat="false" ht="12.75" hidden="false" customHeight="false" outlineLevel="0" collapsed="false">
      <c r="K32" s="79"/>
      <c r="L32" s="79"/>
      <c r="M32" s="79"/>
      <c r="N32" s="80"/>
      <c r="O32" s="79"/>
      <c r="P32" s="80"/>
      <c r="Q32" s="81" t="n">
        <f aca="false">SUM(Q7:Q30)</f>
        <v>24870.12</v>
      </c>
      <c r="R32" s="82"/>
      <c r="S32" s="81" t="n">
        <f aca="false">SUM(S7:S30)</f>
        <v>4290.12</v>
      </c>
      <c r="T32" s="81" t="n">
        <f aca="false">SUM(T7:T30)</f>
        <v>11645.58</v>
      </c>
    </row>
    <row r="34" customFormat="false" ht="12.75" hidden="true" customHeight="false" outlineLevel="0" collapsed="false">
      <c r="B34" s="0" t="s">
        <v>33</v>
      </c>
      <c r="C34" s="0" t="n">
        <f aca="false">MATCH(C2,DaDate,0)</f>
        <v>193</v>
      </c>
    </row>
    <row r="37" customFormat="false" ht="12.75" hidden="false" customHeight="false" outlineLevel="0" collapsed="false">
      <c r="A37" s="6"/>
      <c r="B37" s="6"/>
      <c r="C37" s="6"/>
      <c r="D37" s="7"/>
      <c r="E37" s="8" t="s">
        <v>2</v>
      </c>
      <c r="F37" s="8"/>
      <c r="G37" s="8"/>
      <c r="H37" s="9" t="s">
        <v>3</v>
      </c>
      <c r="I37" s="9"/>
      <c r="J37" s="9" t="s">
        <v>4</v>
      </c>
      <c r="K37" s="9"/>
      <c r="L37" s="9"/>
      <c r="M37" s="9"/>
      <c r="N37" s="10" t="s">
        <v>5</v>
      </c>
      <c r="O37" s="10"/>
      <c r="P37" s="10"/>
      <c r="Q37" s="10"/>
      <c r="R37" s="11"/>
      <c r="S37" s="10" t="s">
        <v>6</v>
      </c>
      <c r="T37" s="10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2.75" hidden="false" customHeight="false" outlineLevel="0" collapsed="false">
      <c r="B38" s="85" t="s">
        <v>35</v>
      </c>
      <c r="C38" s="85"/>
      <c r="D38" s="85"/>
      <c r="E38" s="13"/>
      <c r="F38" s="14"/>
      <c r="G38" s="15"/>
      <c r="H38" s="16" t="s">
        <v>7</v>
      </c>
      <c r="I38" s="17" t="s">
        <v>7</v>
      </c>
      <c r="J38" s="16" t="s">
        <v>8</v>
      </c>
      <c r="K38" s="18" t="s">
        <v>9</v>
      </c>
      <c r="L38" s="18" t="s">
        <v>8</v>
      </c>
      <c r="M38" s="17" t="s">
        <v>9</v>
      </c>
      <c r="N38" s="19" t="s">
        <v>10</v>
      </c>
      <c r="O38" s="19"/>
      <c r="P38" s="19" t="s">
        <v>11</v>
      </c>
      <c r="Q38" s="19"/>
      <c r="R38" s="11"/>
      <c r="S38" s="20"/>
      <c r="T38" s="21"/>
    </row>
    <row r="39" customFormat="false" ht="12.75" hidden="false" customHeight="false" outlineLevel="0" collapsed="false">
      <c r="E39" s="16" t="s">
        <v>12</v>
      </c>
      <c r="F39" s="18" t="s">
        <v>12</v>
      </c>
      <c r="G39" s="17" t="s">
        <v>13</v>
      </c>
      <c r="H39" s="16" t="s">
        <v>14</v>
      </c>
      <c r="I39" s="17" t="s">
        <v>14</v>
      </c>
      <c r="J39" s="22" t="s">
        <v>15</v>
      </c>
      <c r="K39" s="18" t="s">
        <v>16</v>
      </c>
      <c r="L39" s="18" t="s">
        <v>17</v>
      </c>
      <c r="M39" s="17" t="s">
        <v>18</v>
      </c>
      <c r="N39" s="23"/>
      <c r="O39" s="15"/>
      <c r="P39" s="22"/>
      <c r="Q39" s="24" t="s">
        <v>19</v>
      </c>
      <c r="R39" s="11"/>
      <c r="S39" s="16" t="s">
        <v>20</v>
      </c>
      <c r="T39" s="25" t="s">
        <v>21</v>
      </c>
    </row>
    <row r="40" customFormat="false" ht="12.75" hidden="false" customHeight="false" outlineLevel="0" collapsed="false">
      <c r="A40" s="26" t="s">
        <v>22</v>
      </c>
      <c r="B40" s="27" t="s">
        <v>23</v>
      </c>
      <c r="C40" s="27" t="s">
        <v>24</v>
      </c>
      <c r="D40" s="28" t="s">
        <v>25</v>
      </c>
      <c r="E40" s="22" t="s">
        <v>26</v>
      </c>
      <c r="F40" s="5" t="s">
        <v>27</v>
      </c>
      <c r="G40" s="25" t="s">
        <v>28</v>
      </c>
      <c r="H40" s="22" t="s">
        <v>29</v>
      </c>
      <c r="I40" s="25" t="s">
        <v>30</v>
      </c>
      <c r="J40" s="22" t="s">
        <v>10</v>
      </c>
      <c r="K40" s="5" t="s">
        <v>10</v>
      </c>
      <c r="L40" s="5" t="s">
        <v>30</v>
      </c>
      <c r="M40" s="25" t="s">
        <v>30</v>
      </c>
      <c r="N40" s="22" t="s">
        <v>20</v>
      </c>
      <c r="O40" s="25" t="s">
        <v>21</v>
      </c>
      <c r="P40" s="22" t="s">
        <v>20</v>
      </c>
      <c r="Q40" s="29" t="s">
        <v>21</v>
      </c>
      <c r="R40" s="5"/>
      <c r="S40" s="22" t="s">
        <v>31</v>
      </c>
      <c r="T40" s="25" t="s">
        <v>32</v>
      </c>
      <c r="U40" s="30"/>
      <c r="V40" s="30"/>
    </row>
    <row r="41" customFormat="false" ht="12.75" hidden="false" customHeight="false" outlineLevel="0" collapsed="false">
      <c r="A41" s="31" t="n">
        <f aca="false">$C$2</f>
        <v>37020</v>
      </c>
      <c r="B41" s="32" t="n">
        <v>1</v>
      </c>
      <c r="C41" s="33" t="n">
        <f aca="false">INDEX(RtMw,C68,0)</f>
        <v>10</v>
      </c>
      <c r="D41" s="34" t="n">
        <f aca="false">INDEX(RTPrice,C68,0)</f>
        <v>19</v>
      </c>
      <c r="E41" s="35" t="n">
        <f aca="false">VLOOKUP(A41,Gas,4,FALSE())</f>
        <v>4.45</v>
      </c>
      <c r="F41" s="35" t="n">
        <f aca="false">VLOOKUP(A41,Gas,5,FALSE())</f>
        <v>4.45</v>
      </c>
      <c r="G41" s="36" t="n">
        <f aca="false">VLOOKUP(A41,Bogey,2,FALSE())</f>
        <v>62.42</v>
      </c>
      <c r="H41" s="37" t="n">
        <f aca="false">IF(C41&gt;0,G41-D41,"")</f>
        <v>43.42</v>
      </c>
      <c r="I41" s="38" t="n">
        <f aca="false">IF(C41&gt;0,H41*ABS(C41),"")</f>
        <v>434.2</v>
      </c>
      <c r="J41" s="39" t="n">
        <f aca="false">IF(C41=0,"",1)</f>
        <v>1</v>
      </c>
      <c r="K41" s="40" t="n">
        <f aca="false">IF(C41=0,"",G41-(D41+1))</f>
        <v>42.42</v>
      </c>
      <c r="L41" s="40" t="n">
        <f aca="false">IF(C41=0,"",C41*J41)</f>
        <v>10</v>
      </c>
      <c r="M41" s="21" t="n">
        <f aca="false">IF(C41=0,"",C41*K41)</f>
        <v>424.2</v>
      </c>
      <c r="N41" s="41" t="n">
        <f aca="false">IF(C41=0,"",D41)</f>
        <v>19</v>
      </c>
      <c r="O41" s="42" t="n">
        <f aca="false">IF(C41=0,"",D41+1)</f>
        <v>20</v>
      </c>
      <c r="P41" s="40" t="n">
        <f aca="false">IF(C41=0,"",N41*C41)</f>
        <v>190</v>
      </c>
      <c r="Q41" s="43" t="n">
        <f aca="false">IF(C41=0,"",O41*C41)</f>
        <v>200</v>
      </c>
      <c r="R41" s="44"/>
      <c r="S41" s="45" t="n">
        <f aca="false">IF(C41=0,"",L41)</f>
        <v>10</v>
      </c>
      <c r="T41" s="46" t="n">
        <f aca="false">IF(C41=0,"",M41)</f>
        <v>424.2</v>
      </c>
    </row>
    <row r="42" customFormat="false" ht="12.75" hidden="false" customHeight="false" outlineLevel="0" collapsed="false">
      <c r="A42" s="47" t="n">
        <f aca="false">$C$2</f>
        <v>37020</v>
      </c>
      <c r="B42" s="12" t="n">
        <v>2</v>
      </c>
      <c r="C42" s="48" t="n">
        <f aca="false">INDEX(RtMw,C68+1,0)</f>
        <v>5</v>
      </c>
      <c r="D42" s="49" t="n">
        <f aca="false">INDEX(RTPrice,C68+1,0)</f>
        <v>19</v>
      </c>
      <c r="E42" s="50" t="n">
        <f aca="false">VLOOKUP(A42,Gas,4,FALSE())</f>
        <v>4.45</v>
      </c>
      <c r="F42" s="50" t="n">
        <f aca="false">VLOOKUP(A42,Gas,5,FALSE())</f>
        <v>4.45</v>
      </c>
      <c r="G42" s="51" t="n">
        <f aca="false">VLOOKUP(A42,Bogey,2,FALSE())</f>
        <v>62.42</v>
      </c>
      <c r="H42" s="52" t="n">
        <f aca="false">IF(C42&gt;0,G42-D42,"")</f>
        <v>43.42</v>
      </c>
      <c r="I42" s="53" t="n">
        <f aca="false">IF(C42&gt;0,H42*ABS(C42),"")</f>
        <v>217.1</v>
      </c>
      <c r="J42" s="54" t="n">
        <f aca="false">IF(C42=0,"",1)</f>
        <v>1</v>
      </c>
      <c r="K42" s="44" t="n">
        <f aca="false">IF(C42=0,"",G42-(D42+1))</f>
        <v>42.42</v>
      </c>
      <c r="L42" s="44" t="n">
        <f aca="false">IF(C42=0,"",C42*J42)</f>
        <v>5</v>
      </c>
      <c r="M42" s="55" t="n">
        <f aca="false">IF(C42=0,"",C42*K42)</f>
        <v>212.1</v>
      </c>
      <c r="N42" s="56" t="n">
        <f aca="false">IF(C42=0,"",D42)</f>
        <v>19</v>
      </c>
      <c r="O42" s="57" t="n">
        <f aca="false">IF(C42=0,"",D42+1)</f>
        <v>20</v>
      </c>
      <c r="P42" s="44" t="n">
        <f aca="false">IF(C42=0,"",N42*C42)</f>
        <v>95</v>
      </c>
      <c r="Q42" s="58" t="n">
        <f aca="false">IF(C42=0,"",O42*C42)</f>
        <v>100</v>
      </c>
      <c r="R42" s="44"/>
      <c r="S42" s="59" t="n">
        <f aca="false">IF(C42=0,"",L42)</f>
        <v>5</v>
      </c>
      <c r="T42" s="60" t="n">
        <f aca="false">IF(C42=0,"",M42)</f>
        <v>212.1</v>
      </c>
    </row>
    <row r="43" customFormat="false" ht="12.75" hidden="false" customHeight="false" outlineLevel="0" collapsed="false">
      <c r="A43" s="47" t="n">
        <f aca="false">$C$2</f>
        <v>37020</v>
      </c>
      <c r="B43" s="12" t="n">
        <v>3</v>
      </c>
      <c r="C43" s="48" t="n">
        <f aca="false">INDEX(RtMw,C68+2,0)</f>
        <v>4</v>
      </c>
      <c r="D43" s="49" t="n">
        <f aca="false">INDEX(RTPrice,C68+2,0)</f>
        <v>19</v>
      </c>
      <c r="E43" s="50" t="n">
        <f aca="false">VLOOKUP(A43,Gas,4,FALSE())</f>
        <v>4.45</v>
      </c>
      <c r="F43" s="50" t="n">
        <f aca="false">VLOOKUP(A43,Gas,5,FALSE())</f>
        <v>4.45</v>
      </c>
      <c r="G43" s="51" t="n">
        <f aca="false">VLOOKUP(A43,Bogey,2,FALSE())</f>
        <v>62.42</v>
      </c>
      <c r="H43" s="52" t="n">
        <f aca="false">IF(C43&gt;0,G43-D43,"")</f>
        <v>43.42</v>
      </c>
      <c r="I43" s="53" t="n">
        <f aca="false">IF(C43&gt;0,H43*ABS(C43),"")</f>
        <v>173.68</v>
      </c>
      <c r="J43" s="54" t="n">
        <f aca="false">IF(C43=0,"",1)</f>
        <v>1</v>
      </c>
      <c r="K43" s="44" t="n">
        <f aca="false">IF(C43=0,"",G43-(D43+1))</f>
        <v>42.42</v>
      </c>
      <c r="L43" s="44" t="n">
        <f aca="false">IF(C43=0,"",C43*J43)</f>
        <v>4</v>
      </c>
      <c r="M43" s="55" t="n">
        <f aca="false">IF(C43=0,"",C43*K43)</f>
        <v>169.68</v>
      </c>
      <c r="N43" s="56" t="n">
        <f aca="false">IF(C43=0,"",D43)</f>
        <v>19</v>
      </c>
      <c r="O43" s="57" t="n">
        <f aca="false">IF(C43=0,"",D43+1)</f>
        <v>20</v>
      </c>
      <c r="P43" s="44" t="n">
        <f aca="false">IF(C43=0,"",N43*C43)</f>
        <v>76</v>
      </c>
      <c r="Q43" s="58" t="n">
        <f aca="false">IF(C43=0,"",O43*C43)</f>
        <v>80</v>
      </c>
      <c r="R43" s="44"/>
      <c r="S43" s="59" t="n">
        <f aca="false">IF(C43=0,"",L43)</f>
        <v>4</v>
      </c>
      <c r="T43" s="60" t="n">
        <f aca="false">IF(C43=0,"",M43)</f>
        <v>169.68</v>
      </c>
    </row>
    <row r="44" customFormat="false" ht="12.75" hidden="false" customHeight="false" outlineLevel="0" collapsed="false">
      <c r="A44" s="47" t="n">
        <f aca="false">$C$2</f>
        <v>37020</v>
      </c>
      <c r="B44" s="12" t="n">
        <v>4</v>
      </c>
      <c r="C44" s="48" t="n">
        <f aca="false">INDEX(RtMw,C68+3,0)</f>
        <v>4</v>
      </c>
      <c r="D44" s="49" t="n">
        <f aca="false">INDEX(RTPrice,C68+3,0)</f>
        <v>19</v>
      </c>
      <c r="E44" s="50" t="n">
        <f aca="false">VLOOKUP(A44,Gas,4,FALSE())</f>
        <v>4.45</v>
      </c>
      <c r="F44" s="50" t="n">
        <f aca="false">VLOOKUP(A44,Gas,5,FALSE())</f>
        <v>4.45</v>
      </c>
      <c r="G44" s="51" t="n">
        <f aca="false">VLOOKUP(A44,Bogey,2,FALSE())</f>
        <v>62.42</v>
      </c>
      <c r="H44" s="52" t="n">
        <f aca="false">IF(C44&gt;0,G44-D44,"")</f>
        <v>43.42</v>
      </c>
      <c r="I44" s="53" t="n">
        <f aca="false">IF(C44&gt;0,H44*ABS(C44),"")</f>
        <v>173.68</v>
      </c>
      <c r="J44" s="54" t="n">
        <f aca="false">IF(C44=0,"",1)</f>
        <v>1</v>
      </c>
      <c r="K44" s="44" t="n">
        <f aca="false">IF(C44=0,"",G44-(D44+1))</f>
        <v>42.42</v>
      </c>
      <c r="L44" s="44" t="n">
        <f aca="false">IF(C44=0,"",C44*J44)</f>
        <v>4</v>
      </c>
      <c r="M44" s="55" t="n">
        <f aca="false">IF(C44=0,"",C44*K44)</f>
        <v>169.68</v>
      </c>
      <c r="N44" s="56" t="n">
        <f aca="false">IF(C44=0,"",D44)</f>
        <v>19</v>
      </c>
      <c r="O44" s="57" t="n">
        <f aca="false">IF(C44=0,"",D44+1)</f>
        <v>20</v>
      </c>
      <c r="P44" s="44" t="n">
        <f aca="false">IF(C44=0,"",N44*C44)</f>
        <v>76</v>
      </c>
      <c r="Q44" s="58" t="n">
        <f aca="false">IF(C44=0,"",O44*C44)</f>
        <v>80</v>
      </c>
      <c r="R44" s="44"/>
      <c r="S44" s="59" t="n">
        <f aca="false">IF(C44=0,"",L44)</f>
        <v>4</v>
      </c>
      <c r="T44" s="60" t="n">
        <f aca="false">IF(C44=0,"",M44)</f>
        <v>169.68</v>
      </c>
    </row>
    <row r="45" customFormat="false" ht="12.75" hidden="false" customHeight="false" outlineLevel="0" collapsed="false">
      <c r="A45" s="47" t="n">
        <f aca="false">$C$2</f>
        <v>37020</v>
      </c>
      <c r="B45" s="12" t="n">
        <v>5</v>
      </c>
      <c r="C45" s="48" t="n">
        <f aca="false">INDEX(RtMw,C68+4,0)</f>
        <v>4</v>
      </c>
      <c r="D45" s="49" t="n">
        <f aca="false">INDEX(RTPrice,C68+4,0)</f>
        <v>19</v>
      </c>
      <c r="E45" s="50" t="n">
        <f aca="false">VLOOKUP(A45,Gas,4,FALSE())</f>
        <v>4.45</v>
      </c>
      <c r="F45" s="50" t="n">
        <f aca="false">VLOOKUP(A45,Gas,5,FALSE())</f>
        <v>4.45</v>
      </c>
      <c r="G45" s="51" t="n">
        <f aca="false">VLOOKUP(A45,Bogey,2,FALSE())</f>
        <v>62.42</v>
      </c>
      <c r="H45" s="52" t="n">
        <f aca="false">IF(C45&gt;0,G45-D45,"")</f>
        <v>43.42</v>
      </c>
      <c r="I45" s="53" t="n">
        <f aca="false">IF(C45&gt;0,H45*ABS(C45),"")</f>
        <v>173.68</v>
      </c>
      <c r="J45" s="54" t="n">
        <f aca="false">IF(C45=0,"",1)</f>
        <v>1</v>
      </c>
      <c r="K45" s="44" t="n">
        <f aca="false">IF(C45=0,"",G45-(D45+1))</f>
        <v>42.42</v>
      </c>
      <c r="L45" s="44" t="n">
        <f aca="false">IF(C45=0,"",C45*J45)</f>
        <v>4</v>
      </c>
      <c r="M45" s="55" t="n">
        <f aca="false">IF(C45=0,"",C45*K45)</f>
        <v>169.68</v>
      </c>
      <c r="N45" s="56" t="n">
        <f aca="false">IF(C45=0,"",D45)</f>
        <v>19</v>
      </c>
      <c r="O45" s="57" t="n">
        <f aca="false">IF(C45=0,"",D45+1)</f>
        <v>20</v>
      </c>
      <c r="P45" s="44" t="n">
        <f aca="false">IF(C45=0,"",N45*C45)</f>
        <v>76</v>
      </c>
      <c r="Q45" s="58" t="n">
        <f aca="false">IF(C45=0,"",O45*C45)</f>
        <v>80</v>
      </c>
      <c r="R45" s="44"/>
      <c r="S45" s="59" t="n">
        <f aca="false">IF(C45=0,"",L45)</f>
        <v>4</v>
      </c>
      <c r="T45" s="60" t="n">
        <f aca="false">IF(C45=0,"",M45)</f>
        <v>169.68</v>
      </c>
    </row>
    <row r="46" customFormat="false" ht="12.75" hidden="false" customHeight="false" outlineLevel="0" collapsed="false">
      <c r="A46" s="47" t="n">
        <f aca="false">$C$2</f>
        <v>37020</v>
      </c>
      <c r="B46" s="12" t="n">
        <v>6</v>
      </c>
      <c r="C46" s="48" t="n">
        <f aca="false">INDEX(RtMw,C68+5,0)</f>
        <v>4</v>
      </c>
      <c r="D46" s="49" t="n">
        <f aca="false">INDEX(RTPrice,C68+5,0)</f>
        <v>19</v>
      </c>
      <c r="E46" s="50" t="n">
        <f aca="false">VLOOKUP(A46,Gas,4,FALSE())</f>
        <v>4.45</v>
      </c>
      <c r="F46" s="50" t="n">
        <f aca="false">VLOOKUP(A46,Gas,5,FALSE())</f>
        <v>4.45</v>
      </c>
      <c r="G46" s="51" t="n">
        <f aca="false">VLOOKUP(A46,Bogey,2,FALSE())</f>
        <v>62.42</v>
      </c>
      <c r="H46" s="52" t="n">
        <f aca="false">IF(C46&gt;0,G46-D46,"")</f>
        <v>43.42</v>
      </c>
      <c r="I46" s="53" t="n">
        <f aca="false">IF(C46&gt;0,H46*ABS(C46),"")</f>
        <v>173.68</v>
      </c>
      <c r="J46" s="54" t="n">
        <f aca="false">IF(C46=0,"",1)</f>
        <v>1</v>
      </c>
      <c r="K46" s="44" t="n">
        <f aca="false">IF(C46=0,"",G46-(D46+1))</f>
        <v>42.42</v>
      </c>
      <c r="L46" s="44" t="n">
        <f aca="false">IF(C46=0,"",C46*J46)</f>
        <v>4</v>
      </c>
      <c r="M46" s="55" t="n">
        <f aca="false">IF(C46=0,"",C46*K46)</f>
        <v>169.68</v>
      </c>
      <c r="N46" s="56" t="n">
        <f aca="false">IF(C46=0,"",D46)</f>
        <v>19</v>
      </c>
      <c r="O46" s="57" t="n">
        <f aca="false">IF(C46=0,"",D46+1)</f>
        <v>20</v>
      </c>
      <c r="P46" s="44" t="n">
        <f aca="false">IF(C46=0,"",N46*C46)</f>
        <v>76</v>
      </c>
      <c r="Q46" s="58" t="n">
        <f aca="false">IF(C46=0,"",O46*C46)</f>
        <v>80</v>
      </c>
      <c r="R46" s="44"/>
      <c r="S46" s="59" t="n">
        <f aca="false">IF(C46=0,"",L46)</f>
        <v>4</v>
      </c>
      <c r="T46" s="60" t="n">
        <f aca="false">IF(C46=0,"",M46)</f>
        <v>169.68</v>
      </c>
    </row>
    <row r="47" customFormat="false" ht="12.75" hidden="false" customHeight="false" outlineLevel="0" collapsed="false">
      <c r="A47" s="47" t="n">
        <f aca="false">$C$2</f>
        <v>37020</v>
      </c>
      <c r="B47" s="12" t="n">
        <v>7</v>
      </c>
      <c r="C47" s="48" t="str">
        <f aca="false">INDEX(RtMw,C68+6,0)</f>
        <v/>
      </c>
      <c r="D47" s="49" t="str">
        <f aca="false">INDEX(RTPrice,C68+6,0)</f>
        <v/>
      </c>
      <c r="E47" s="50" t="n">
        <f aca="false">VLOOKUP(A47,Gas,4,FALSE())</f>
        <v>4.45</v>
      </c>
      <c r="F47" s="50" t="n">
        <f aca="false">VLOOKUP(A47,Gas,5,FALSE())</f>
        <v>4.45</v>
      </c>
      <c r="G47" s="51" t="n">
        <f aca="false">VLOOKUP(A47,Bogey,2,FALSE())</f>
        <v>62.42</v>
      </c>
      <c r="H47" s="52" t="e">
        <f aca="false">IF(C47&gt;0,G47-D47,"")</f>
        <v>#VALUE!</v>
      </c>
      <c r="I47" s="53" t="e">
        <f aca="false">IF(C47&gt;0,H47*ABS(C47),"")</f>
        <v>#VALUE!</v>
      </c>
      <c r="J47" s="54" t="e">
        <f aca="false">IF($C47=0,"",$H47*0.4)</f>
        <v>#VALUE!</v>
      </c>
      <c r="K47" s="49" t="e">
        <f aca="false">IF($C47=0,"",$H47*0.6)</f>
        <v>#VALUE!</v>
      </c>
      <c r="L47" s="49" t="e">
        <f aca="false">IF(C47=0,"",J47*$C47)</f>
        <v>#VALUE!</v>
      </c>
      <c r="M47" s="55" t="e">
        <f aca="false">IF(C47=0,"",C47*K47)</f>
        <v>#VALUE!</v>
      </c>
      <c r="N47" s="56" t="str">
        <f aca="false">IF(C47=0,"",D47)</f>
        <v/>
      </c>
      <c r="O47" s="57" t="e">
        <f aca="false">IF(C47=0,"",D47+J47)</f>
        <v>#VALUE!</v>
      </c>
      <c r="P47" s="44" t="e">
        <f aca="false">IF(C47=0,"",N47*C47)</f>
        <v>#VALUE!</v>
      </c>
      <c r="Q47" s="58" t="e">
        <f aca="false">IF(C47=0,"",O47*C47)</f>
        <v>#VALUE!</v>
      </c>
      <c r="R47" s="44"/>
      <c r="S47" s="59" t="e">
        <f aca="false">IF(C47=0,"",L47)</f>
        <v>#VALUE!</v>
      </c>
      <c r="T47" s="60" t="e">
        <f aca="false">IF(C47=0,"",M47)</f>
        <v>#VALUE!</v>
      </c>
    </row>
    <row r="48" customFormat="false" ht="12.75" hidden="false" customHeight="false" outlineLevel="0" collapsed="false">
      <c r="A48" s="47" t="n">
        <f aca="false">$C$2</f>
        <v>37020</v>
      </c>
      <c r="B48" s="12" t="n">
        <v>8</v>
      </c>
      <c r="C48" s="48" t="str">
        <f aca="false">INDEX(RtMw,C68+7,0)</f>
        <v/>
      </c>
      <c r="D48" s="49" t="str">
        <f aca="false">INDEX(RTPrice,C68+7,0)</f>
        <v/>
      </c>
      <c r="E48" s="50" t="n">
        <f aca="false">VLOOKUP(A48,Gas,4,FALSE())</f>
        <v>4.45</v>
      </c>
      <c r="F48" s="50" t="n">
        <f aca="false">VLOOKUP(A48,Gas,5,FALSE())</f>
        <v>4.45</v>
      </c>
      <c r="G48" s="51" t="n">
        <f aca="false">VLOOKUP(A48,Bogey,2,FALSE())</f>
        <v>62.42</v>
      </c>
      <c r="H48" s="52" t="e">
        <f aca="false">IF(C48&gt;0,G48-D48,"")</f>
        <v>#VALUE!</v>
      </c>
      <c r="I48" s="53" t="e">
        <f aca="false">IF(C48&gt;0,H48*ABS(C48),"")</f>
        <v>#VALUE!</v>
      </c>
      <c r="J48" s="54" t="e">
        <f aca="false">IF($C48=0,"",$H48*0.4)</f>
        <v>#VALUE!</v>
      </c>
      <c r="K48" s="49" t="e">
        <f aca="false">IF($C48=0,"",$H48*0.6)</f>
        <v>#VALUE!</v>
      </c>
      <c r="L48" s="49" t="e">
        <f aca="false">IF(C48=0,"",J48*$C48)</f>
        <v>#VALUE!</v>
      </c>
      <c r="M48" s="55" t="e">
        <f aca="false">IF(C48=0,"",C48*K48)</f>
        <v>#VALUE!</v>
      </c>
      <c r="N48" s="56" t="str">
        <f aca="false">IF(C48=0,"",D48)</f>
        <v/>
      </c>
      <c r="O48" s="57" t="e">
        <f aca="false">IF(C48=0,"",D48+J48)</f>
        <v>#VALUE!</v>
      </c>
      <c r="P48" s="44" t="e">
        <f aca="false">IF(C48=0,"",N48*C48)</f>
        <v>#VALUE!</v>
      </c>
      <c r="Q48" s="58" t="e">
        <f aca="false">IF(C48=0,"",O48*C48)</f>
        <v>#VALUE!</v>
      </c>
      <c r="R48" s="44"/>
      <c r="S48" s="59" t="e">
        <f aca="false">IF(C48=0,"",L48)</f>
        <v>#VALUE!</v>
      </c>
      <c r="T48" s="60" t="e">
        <f aca="false">IF(C48=0,"",M48)</f>
        <v>#VALUE!</v>
      </c>
    </row>
    <row r="49" customFormat="false" ht="12.75" hidden="false" customHeight="false" outlineLevel="0" collapsed="false">
      <c r="A49" s="47" t="n">
        <f aca="false">$C$2</f>
        <v>37020</v>
      </c>
      <c r="B49" s="12" t="n">
        <v>9</v>
      </c>
      <c r="C49" s="48" t="str">
        <f aca="false">INDEX(RtMw,C68+8,0)</f>
        <v/>
      </c>
      <c r="D49" s="49" t="str">
        <f aca="false">INDEX(RTPrice,C68+8,0)</f>
        <v/>
      </c>
      <c r="E49" s="50" t="n">
        <f aca="false">VLOOKUP(A49,Gas,4,FALSE())</f>
        <v>4.45</v>
      </c>
      <c r="F49" s="50" t="n">
        <f aca="false">VLOOKUP(A49,Gas,5,FALSE())</f>
        <v>4.45</v>
      </c>
      <c r="G49" s="51" t="n">
        <f aca="false">VLOOKUP(A49,Bogey,2,FALSE())</f>
        <v>62.42</v>
      </c>
      <c r="H49" s="52" t="e">
        <f aca="false">IF(C49&gt;0,G49-D49,"")</f>
        <v>#VALUE!</v>
      </c>
      <c r="I49" s="53" t="e">
        <f aca="false">IF(C49&gt;0,H49*ABS(C49),"")</f>
        <v>#VALUE!</v>
      </c>
      <c r="J49" s="54" t="e">
        <f aca="false">IF($C49=0,"",$H49*0.4)</f>
        <v>#VALUE!</v>
      </c>
      <c r="K49" s="49" t="e">
        <f aca="false">IF($C49=0,"",$H49*0.6)</f>
        <v>#VALUE!</v>
      </c>
      <c r="L49" s="49" t="e">
        <f aca="false">IF(C49=0,"",J49*$C49)</f>
        <v>#VALUE!</v>
      </c>
      <c r="M49" s="55" t="e">
        <f aca="false">IF(C49=0,"",C49*K49)</f>
        <v>#VALUE!</v>
      </c>
      <c r="N49" s="56" t="str">
        <f aca="false">IF(C49=0,"",D49)</f>
        <v/>
      </c>
      <c r="O49" s="57" t="e">
        <f aca="false">IF(C49=0,"",D49+J49)</f>
        <v>#VALUE!</v>
      </c>
      <c r="P49" s="44" t="e">
        <f aca="false">IF(C49=0,"",N49*C49)</f>
        <v>#VALUE!</v>
      </c>
      <c r="Q49" s="58" t="e">
        <f aca="false">IF(C49=0,"",O49*C49)</f>
        <v>#VALUE!</v>
      </c>
      <c r="R49" s="44"/>
      <c r="S49" s="59" t="e">
        <f aca="false">IF(C49=0,"",L49)</f>
        <v>#VALUE!</v>
      </c>
      <c r="T49" s="60" t="e">
        <f aca="false">IF(C49=0,"",M49)</f>
        <v>#VALUE!</v>
      </c>
    </row>
    <row r="50" customFormat="false" ht="12.75" hidden="false" customHeight="false" outlineLevel="0" collapsed="false">
      <c r="A50" s="47" t="n">
        <f aca="false">$C$2</f>
        <v>37020</v>
      </c>
      <c r="B50" s="12" t="n">
        <v>10</v>
      </c>
      <c r="C50" s="48" t="str">
        <f aca="false">INDEX(RtMw,C68+9,0)</f>
        <v/>
      </c>
      <c r="D50" s="49" t="str">
        <f aca="false">INDEX(RTPrice,C68+9,0)</f>
        <v/>
      </c>
      <c r="E50" s="50" t="n">
        <f aca="false">VLOOKUP(A50,Gas,4,FALSE())</f>
        <v>4.45</v>
      </c>
      <c r="F50" s="50" t="n">
        <f aca="false">VLOOKUP(A50,Gas,5,FALSE())</f>
        <v>4.45</v>
      </c>
      <c r="G50" s="51" t="n">
        <f aca="false">VLOOKUP(A50,Bogey,2,FALSE())</f>
        <v>62.42</v>
      </c>
      <c r="H50" s="52" t="e">
        <f aca="false">IF(C50&gt;0,G50-D50,"")</f>
        <v>#VALUE!</v>
      </c>
      <c r="I50" s="53" t="e">
        <f aca="false">IF(C50&gt;0,H50*ABS(C50),"")</f>
        <v>#VALUE!</v>
      </c>
      <c r="J50" s="54" t="e">
        <f aca="false">IF($C50=0,"",$H50*0.4)</f>
        <v>#VALUE!</v>
      </c>
      <c r="K50" s="49" t="e">
        <f aca="false">IF($C50=0,"",$H50*0.6)</f>
        <v>#VALUE!</v>
      </c>
      <c r="L50" s="49" t="e">
        <f aca="false">IF(C50=0,"",J50*$C50)</f>
        <v>#VALUE!</v>
      </c>
      <c r="M50" s="55" t="e">
        <f aca="false">IF(C50=0,"",C50*K50)</f>
        <v>#VALUE!</v>
      </c>
      <c r="N50" s="56" t="str">
        <f aca="false">IF(C50=0,"",D50)</f>
        <v/>
      </c>
      <c r="O50" s="57" t="e">
        <f aca="false">IF(C50=0,"",D50+J50)</f>
        <v>#VALUE!</v>
      </c>
      <c r="P50" s="44" t="e">
        <f aca="false">IF(C50=0,"",N50*C50)</f>
        <v>#VALUE!</v>
      </c>
      <c r="Q50" s="58" t="e">
        <f aca="false">IF(C50=0,"",O50*C50)</f>
        <v>#VALUE!</v>
      </c>
      <c r="R50" s="44"/>
      <c r="S50" s="59" t="e">
        <f aca="false">IF(C50=0,"",L50)</f>
        <v>#VALUE!</v>
      </c>
      <c r="T50" s="60" t="e">
        <f aca="false">IF(C50=0,"",M50)</f>
        <v>#VALUE!</v>
      </c>
    </row>
    <row r="51" customFormat="false" ht="12.75" hidden="false" customHeight="false" outlineLevel="0" collapsed="false">
      <c r="A51" s="47" t="n">
        <f aca="false">$C$2</f>
        <v>37020</v>
      </c>
      <c r="B51" s="12" t="n">
        <v>11</v>
      </c>
      <c r="C51" s="48" t="str">
        <f aca="false">INDEX(RtMw,C68+10,0)</f>
        <v/>
      </c>
      <c r="D51" s="49" t="str">
        <f aca="false">INDEX(RTPrice,C68+10,0)</f>
        <v/>
      </c>
      <c r="E51" s="50" t="n">
        <f aca="false">VLOOKUP(A51,Gas,4,FALSE())</f>
        <v>4.45</v>
      </c>
      <c r="F51" s="50" t="n">
        <f aca="false">VLOOKUP(A51,Gas,5,FALSE())</f>
        <v>4.45</v>
      </c>
      <c r="G51" s="51" t="n">
        <f aca="false">VLOOKUP(A51,Bogey,2,FALSE())</f>
        <v>62.42</v>
      </c>
      <c r="H51" s="52" t="e">
        <f aca="false">IF(C51&gt;0,G51-D51,"")</f>
        <v>#VALUE!</v>
      </c>
      <c r="I51" s="53" t="e">
        <f aca="false">IF(C51&gt;0,H51*ABS(C51),"")</f>
        <v>#VALUE!</v>
      </c>
      <c r="J51" s="54" t="e">
        <f aca="false">IF($C51=0,"",$H51*0.4)</f>
        <v>#VALUE!</v>
      </c>
      <c r="K51" s="49" t="e">
        <f aca="false">IF($C51=0,"",$H51*0.6)</f>
        <v>#VALUE!</v>
      </c>
      <c r="L51" s="49" t="e">
        <f aca="false">IF(C51=0,"",J51*$C51)</f>
        <v>#VALUE!</v>
      </c>
      <c r="M51" s="55" t="e">
        <f aca="false">IF(C51=0,"",C51*K51)</f>
        <v>#VALUE!</v>
      </c>
      <c r="N51" s="56" t="str">
        <f aca="false">IF(C51=0,"",D51)</f>
        <v/>
      </c>
      <c r="O51" s="57" t="e">
        <f aca="false">IF(C51=0,"",D51+J51)</f>
        <v>#VALUE!</v>
      </c>
      <c r="P51" s="44" t="e">
        <f aca="false">IF(C51=0,"",N51*C51)</f>
        <v>#VALUE!</v>
      </c>
      <c r="Q51" s="58" t="e">
        <f aca="false">IF(C51=0,"",O51*C51)</f>
        <v>#VALUE!</v>
      </c>
      <c r="R51" s="44"/>
      <c r="S51" s="59" t="e">
        <f aca="false">IF(C51=0,"",L51)</f>
        <v>#VALUE!</v>
      </c>
      <c r="T51" s="60" t="e">
        <f aca="false">IF(C51=0,"",M51)</f>
        <v>#VALUE!</v>
      </c>
    </row>
    <row r="52" customFormat="false" ht="12.75" hidden="false" customHeight="false" outlineLevel="0" collapsed="false">
      <c r="A52" s="47" t="n">
        <f aca="false">$C$2</f>
        <v>37020</v>
      </c>
      <c r="B52" s="12" t="n">
        <v>12</v>
      </c>
      <c r="C52" s="48" t="str">
        <f aca="false">INDEX(RtMw,C68+11,0)</f>
        <v/>
      </c>
      <c r="D52" s="49" t="str">
        <f aca="false">INDEX(RTPrice,C68+11,0)</f>
        <v/>
      </c>
      <c r="E52" s="50" t="n">
        <f aca="false">VLOOKUP(A52,Gas,4,FALSE())</f>
        <v>4.45</v>
      </c>
      <c r="F52" s="50" t="n">
        <f aca="false">VLOOKUP(A52,Gas,5,FALSE())</f>
        <v>4.45</v>
      </c>
      <c r="G52" s="51" t="n">
        <f aca="false">VLOOKUP(A52,Bogey,2,FALSE())</f>
        <v>62.42</v>
      </c>
      <c r="H52" s="52" t="e">
        <f aca="false">IF(C52&gt;0,G52-D52,"")</f>
        <v>#VALUE!</v>
      </c>
      <c r="I52" s="53" t="e">
        <f aca="false">IF(C52&gt;0,H52*ABS(C52),"")</f>
        <v>#VALUE!</v>
      </c>
      <c r="J52" s="54" t="e">
        <f aca="false">IF($C52=0,"",$H52*0.4)</f>
        <v>#VALUE!</v>
      </c>
      <c r="K52" s="49" t="e">
        <f aca="false">IF($C52=0,"",$H52*0.6)</f>
        <v>#VALUE!</v>
      </c>
      <c r="L52" s="49" t="e">
        <f aca="false">IF(C52=0,"",J52*$C52)</f>
        <v>#VALUE!</v>
      </c>
      <c r="M52" s="55" t="e">
        <f aca="false">IF(C52=0,"",C52*K52)</f>
        <v>#VALUE!</v>
      </c>
      <c r="N52" s="56" t="str">
        <f aca="false">IF(C52=0,"",D52)</f>
        <v/>
      </c>
      <c r="O52" s="57" t="e">
        <f aca="false">IF(C52=0,"",D52+J52)</f>
        <v>#VALUE!</v>
      </c>
      <c r="P52" s="44" t="e">
        <f aca="false">IF(C52=0,"",N52*C52)</f>
        <v>#VALUE!</v>
      </c>
      <c r="Q52" s="58" t="e">
        <f aca="false">IF(C52=0,"",O52*C52)</f>
        <v>#VALUE!</v>
      </c>
      <c r="R52" s="44"/>
      <c r="S52" s="59" t="e">
        <f aca="false">IF(C52=0,"",L52)</f>
        <v>#VALUE!</v>
      </c>
      <c r="T52" s="60" t="e">
        <f aca="false">IF(C52=0,"",M52)</f>
        <v>#VALUE!</v>
      </c>
    </row>
    <row r="53" customFormat="false" ht="12.75" hidden="false" customHeight="false" outlineLevel="0" collapsed="false">
      <c r="A53" s="47" t="n">
        <f aca="false">$C$2</f>
        <v>37020</v>
      </c>
      <c r="B53" s="12" t="n">
        <v>13</v>
      </c>
      <c r="C53" s="48" t="str">
        <f aca="false">INDEX(RtMw,C68+12,0)</f>
        <v/>
      </c>
      <c r="D53" s="49" t="str">
        <f aca="false">INDEX(RTPrice,C68+12,0)</f>
        <v/>
      </c>
      <c r="E53" s="50" t="n">
        <f aca="false">VLOOKUP(A53,Gas,4,FALSE())</f>
        <v>4.45</v>
      </c>
      <c r="F53" s="50" t="n">
        <f aca="false">VLOOKUP(A53,Gas,5,FALSE())</f>
        <v>4.45</v>
      </c>
      <c r="G53" s="51" t="n">
        <f aca="false">VLOOKUP(A53,Bogey,2,FALSE())</f>
        <v>62.42</v>
      </c>
      <c r="H53" s="52" t="e">
        <f aca="false">IF(C53&gt;0,G53-D53,"")</f>
        <v>#VALUE!</v>
      </c>
      <c r="I53" s="53" t="e">
        <f aca="false">IF(C53&gt;0,H53*ABS(C53),"")</f>
        <v>#VALUE!</v>
      </c>
      <c r="J53" s="54" t="e">
        <f aca="false">IF($C53=0,"",$H53*0.4)</f>
        <v>#VALUE!</v>
      </c>
      <c r="K53" s="49" t="e">
        <f aca="false">IF($C53=0,"",$H53*0.6)</f>
        <v>#VALUE!</v>
      </c>
      <c r="L53" s="49" t="e">
        <f aca="false">IF(C53=0,"",J53*$C53)</f>
        <v>#VALUE!</v>
      </c>
      <c r="M53" s="55" t="e">
        <f aca="false">IF(C53=0,"",C53*K53)</f>
        <v>#VALUE!</v>
      </c>
      <c r="N53" s="56" t="str">
        <f aca="false">IF(C53=0,"",D53)</f>
        <v/>
      </c>
      <c r="O53" s="57" t="e">
        <f aca="false">IF(C53=0,"",D53+J53)</f>
        <v>#VALUE!</v>
      </c>
      <c r="P53" s="44" t="e">
        <f aca="false">IF(C53=0,"",N53*C53)</f>
        <v>#VALUE!</v>
      </c>
      <c r="Q53" s="58" t="e">
        <f aca="false">IF(C53=0,"",O53*C53)</f>
        <v>#VALUE!</v>
      </c>
      <c r="R53" s="44"/>
      <c r="S53" s="59" t="e">
        <f aca="false">IF(C53=0,"",L53)</f>
        <v>#VALUE!</v>
      </c>
      <c r="T53" s="60" t="e">
        <f aca="false">IF(C53=0,"",M53)</f>
        <v>#VALUE!</v>
      </c>
    </row>
    <row r="54" customFormat="false" ht="12.75" hidden="false" customHeight="false" outlineLevel="0" collapsed="false">
      <c r="A54" s="47" t="n">
        <f aca="false">$C$2</f>
        <v>37020</v>
      </c>
      <c r="B54" s="12" t="n">
        <v>14</v>
      </c>
      <c r="C54" s="48" t="str">
        <f aca="false">INDEX(RtMw,C68+13,0)</f>
        <v/>
      </c>
      <c r="D54" s="49" t="str">
        <f aca="false">INDEX(RTPrice,C68+13,0)</f>
        <v/>
      </c>
      <c r="E54" s="50" t="n">
        <f aca="false">VLOOKUP(A54,Gas,4,FALSE())</f>
        <v>4.45</v>
      </c>
      <c r="F54" s="50" t="n">
        <f aca="false">VLOOKUP(A54,Gas,5,FALSE())</f>
        <v>4.45</v>
      </c>
      <c r="G54" s="51" t="n">
        <f aca="false">VLOOKUP(A54,Bogey,2,FALSE())</f>
        <v>62.42</v>
      </c>
      <c r="H54" s="52" t="e">
        <f aca="false">IF(C54&gt;0,G54-D54,"")</f>
        <v>#VALUE!</v>
      </c>
      <c r="I54" s="53" t="e">
        <f aca="false">IF(C54&gt;0,H54*ABS(C54),"")</f>
        <v>#VALUE!</v>
      </c>
      <c r="J54" s="54" t="e">
        <f aca="false">IF($C54=0,"",$H54*0.4)</f>
        <v>#VALUE!</v>
      </c>
      <c r="K54" s="49" t="e">
        <f aca="false">IF($C54=0,"",$H54*0.6)</f>
        <v>#VALUE!</v>
      </c>
      <c r="L54" s="49" t="e">
        <f aca="false">IF(C54=0,"",J54*$C54)</f>
        <v>#VALUE!</v>
      </c>
      <c r="M54" s="55" t="e">
        <f aca="false">IF(C54=0,"",C54*K54)</f>
        <v>#VALUE!</v>
      </c>
      <c r="N54" s="56" t="str">
        <f aca="false">IF(C54=0,"",D54)</f>
        <v/>
      </c>
      <c r="O54" s="57" t="e">
        <f aca="false">IF(C54=0,"",D54+J54)</f>
        <v>#VALUE!</v>
      </c>
      <c r="P54" s="44" t="e">
        <f aca="false">IF(C54=0,"",N54*C54)</f>
        <v>#VALUE!</v>
      </c>
      <c r="Q54" s="58" t="e">
        <f aca="false">IF(C54=0,"",O54*C54)</f>
        <v>#VALUE!</v>
      </c>
      <c r="R54" s="44"/>
      <c r="S54" s="59" t="e">
        <f aca="false">IF(C54=0,"",L54)</f>
        <v>#VALUE!</v>
      </c>
      <c r="T54" s="60" t="e">
        <f aca="false">IF(C54=0,"",M54)</f>
        <v>#VALUE!</v>
      </c>
    </row>
    <row r="55" customFormat="false" ht="12.75" hidden="false" customHeight="false" outlineLevel="0" collapsed="false">
      <c r="A55" s="47" t="n">
        <f aca="false">$C$2</f>
        <v>37020</v>
      </c>
      <c r="B55" s="12" t="n">
        <v>15</v>
      </c>
      <c r="C55" s="48" t="str">
        <f aca="false">INDEX(RtMw,C68+14,0)</f>
        <v/>
      </c>
      <c r="D55" s="49" t="str">
        <f aca="false">INDEX(RTPrice,C68+14,0)</f>
        <v/>
      </c>
      <c r="E55" s="50" t="n">
        <f aca="false">VLOOKUP(A55,Gas,4,FALSE())</f>
        <v>4.45</v>
      </c>
      <c r="F55" s="50" t="n">
        <f aca="false">VLOOKUP(A55,Gas,5,FALSE())</f>
        <v>4.45</v>
      </c>
      <c r="G55" s="51" t="n">
        <f aca="false">VLOOKUP(A55,Bogey,2,FALSE())</f>
        <v>62.42</v>
      </c>
      <c r="H55" s="52" t="e">
        <f aca="false">IF(C55&gt;0,G55-D55,"")</f>
        <v>#VALUE!</v>
      </c>
      <c r="I55" s="53" t="e">
        <f aca="false">IF(C55&gt;0,H55*ABS(C55),"")</f>
        <v>#VALUE!</v>
      </c>
      <c r="J55" s="54" t="e">
        <f aca="false">IF($C55=0,"",$H55*0.4)</f>
        <v>#VALUE!</v>
      </c>
      <c r="K55" s="49" t="e">
        <f aca="false">IF($C55=0,"",$H55*0.6)</f>
        <v>#VALUE!</v>
      </c>
      <c r="L55" s="49" t="e">
        <f aca="false">IF(C55=0,"",J55*$C55)</f>
        <v>#VALUE!</v>
      </c>
      <c r="M55" s="55" t="e">
        <f aca="false">IF(C55=0,"",C55*K55)</f>
        <v>#VALUE!</v>
      </c>
      <c r="N55" s="56" t="str">
        <f aca="false">IF(C55=0,"",D55)</f>
        <v/>
      </c>
      <c r="O55" s="57"/>
      <c r="P55" s="44" t="e">
        <f aca="false">IF(C55=0,"",N55*C55)</f>
        <v>#VALUE!</v>
      </c>
      <c r="Q55" s="58" t="e">
        <f aca="false">IF(C55=0,"",O55*C55)</f>
        <v>#VALUE!</v>
      </c>
      <c r="R55" s="44"/>
      <c r="S55" s="59" t="e">
        <f aca="false">IF(C55=0,"",L55)</f>
        <v>#VALUE!</v>
      </c>
      <c r="T55" s="60" t="e">
        <f aca="false">IF(C55=0,"",M55)</f>
        <v>#VALUE!</v>
      </c>
    </row>
    <row r="56" customFormat="false" ht="12.75" hidden="false" customHeight="false" outlineLevel="0" collapsed="false">
      <c r="A56" s="47" t="n">
        <f aca="false">$C$2</f>
        <v>37020</v>
      </c>
      <c r="B56" s="12" t="n">
        <v>16</v>
      </c>
      <c r="C56" s="48" t="str">
        <f aca="false">INDEX(RtMw,C68+15,0)</f>
        <v/>
      </c>
      <c r="D56" s="49" t="str">
        <f aca="false">INDEX(RTPrice,C68+15,0)</f>
        <v/>
      </c>
      <c r="E56" s="50" t="n">
        <f aca="false">VLOOKUP(A56,Gas,4,FALSE())</f>
        <v>4.45</v>
      </c>
      <c r="F56" s="50" t="n">
        <f aca="false">VLOOKUP(A56,Gas,5,FALSE())</f>
        <v>4.45</v>
      </c>
      <c r="G56" s="51" t="n">
        <f aca="false">VLOOKUP(A56,Bogey,2,FALSE())</f>
        <v>62.42</v>
      </c>
      <c r="H56" s="52" t="e">
        <f aca="false">IF(C56&gt;0,G56-D56,"")</f>
        <v>#VALUE!</v>
      </c>
      <c r="I56" s="53" t="e">
        <f aca="false">IF(C56&gt;0,H56*ABS(C56),"")</f>
        <v>#VALUE!</v>
      </c>
      <c r="J56" s="54" t="e">
        <f aca="false">IF($C56=0,"",$H56*0.4)</f>
        <v>#VALUE!</v>
      </c>
      <c r="K56" s="49" t="e">
        <f aca="false">IF($C56=0,"",$H56*0.6)</f>
        <v>#VALUE!</v>
      </c>
      <c r="L56" s="49" t="e">
        <f aca="false">IF(C56=0,"",J56*$C56)</f>
        <v>#VALUE!</v>
      </c>
      <c r="M56" s="55" t="e">
        <f aca="false">IF(C56=0,"",C56*K56)</f>
        <v>#VALUE!</v>
      </c>
      <c r="N56" s="56" t="str">
        <f aca="false">IF(C56=0,"",D56)</f>
        <v/>
      </c>
      <c r="O56" s="57"/>
      <c r="P56" s="44" t="e">
        <f aca="false">IF(C56=0,"",N56*C56)</f>
        <v>#VALUE!</v>
      </c>
      <c r="Q56" s="58" t="e">
        <f aca="false">IF(C56=0,"",O56*C56)</f>
        <v>#VALUE!</v>
      </c>
      <c r="R56" s="44"/>
      <c r="S56" s="59" t="e">
        <f aca="false">IF(C56=0,"",L56)</f>
        <v>#VALUE!</v>
      </c>
      <c r="T56" s="60" t="e">
        <f aca="false">IF(C56=0,"",M56)</f>
        <v>#VALUE!</v>
      </c>
    </row>
    <row r="57" customFormat="false" ht="12.75" hidden="false" customHeight="false" outlineLevel="0" collapsed="false">
      <c r="A57" s="47" t="n">
        <f aca="false">$C$2</f>
        <v>37020</v>
      </c>
      <c r="B57" s="12" t="n">
        <v>17</v>
      </c>
      <c r="C57" s="48" t="str">
        <f aca="false">INDEX(RtMw,C68+16,0)</f>
        <v/>
      </c>
      <c r="D57" s="49" t="str">
        <f aca="false">INDEX(RTPrice,C68+16,0)</f>
        <v/>
      </c>
      <c r="E57" s="50" t="n">
        <f aca="false">VLOOKUP(A57,Gas,4,FALSE())</f>
        <v>4.45</v>
      </c>
      <c r="F57" s="50" t="n">
        <f aca="false">VLOOKUP(A57,Gas,5,FALSE())</f>
        <v>4.45</v>
      </c>
      <c r="G57" s="51" t="n">
        <f aca="false">VLOOKUP(A57,Bogey,2,FALSE())</f>
        <v>62.42</v>
      </c>
      <c r="H57" s="52" t="e">
        <f aca="false">IF(C57&gt;0,G57-D57,"")</f>
        <v>#VALUE!</v>
      </c>
      <c r="I57" s="53" t="e">
        <f aca="false">IF(C57&gt;0,H57*ABS(C57),"")</f>
        <v>#VALUE!</v>
      </c>
      <c r="J57" s="54" t="e">
        <f aca="false">IF($C57=0,"",$H57*0.4)</f>
        <v>#VALUE!</v>
      </c>
      <c r="K57" s="49" t="e">
        <f aca="false">IF($C57=0,"",$H57*0.6)</f>
        <v>#VALUE!</v>
      </c>
      <c r="L57" s="49" t="e">
        <f aca="false">IF(C57=0,"",J57*$C57)</f>
        <v>#VALUE!</v>
      </c>
      <c r="M57" s="55" t="e">
        <f aca="false">IF(C57=0,"",C57*K57)</f>
        <v>#VALUE!</v>
      </c>
      <c r="N57" s="56" t="str">
        <f aca="false">IF(C57=0,"",D57)</f>
        <v/>
      </c>
      <c r="O57" s="57"/>
      <c r="P57" s="44" t="e">
        <f aca="false">IF(C57=0,"",N57*C57)</f>
        <v>#VALUE!</v>
      </c>
      <c r="Q57" s="58" t="e">
        <f aca="false">IF(C57=0,"",O57*C57)</f>
        <v>#VALUE!</v>
      </c>
      <c r="R57" s="44"/>
      <c r="S57" s="59" t="e">
        <f aca="false">IF(C57=0,"",L57)</f>
        <v>#VALUE!</v>
      </c>
      <c r="T57" s="60" t="e">
        <f aca="false">IF(C57=0,"",M57)</f>
        <v>#VALUE!</v>
      </c>
    </row>
    <row r="58" customFormat="false" ht="12.75" hidden="false" customHeight="false" outlineLevel="0" collapsed="false">
      <c r="A58" s="47" t="n">
        <f aca="false">$C$2</f>
        <v>37020</v>
      </c>
      <c r="B58" s="12" t="n">
        <v>18</v>
      </c>
      <c r="C58" s="48" t="n">
        <f aca="false">INDEX(RtMw,C68+17,0)</f>
        <v>6</v>
      </c>
      <c r="D58" s="49" t="n">
        <f aca="false">INDEX(RTPrice,C68+17,0)</f>
        <v>48</v>
      </c>
      <c r="E58" s="50" t="n">
        <f aca="false">VLOOKUP(A58,Gas,4,FALSE())</f>
        <v>4.45</v>
      </c>
      <c r="F58" s="50" t="n">
        <f aca="false">VLOOKUP(A58,Gas,5,FALSE())</f>
        <v>4.45</v>
      </c>
      <c r="G58" s="51" t="n">
        <f aca="false">VLOOKUP(A58,Bogey,2,FALSE())</f>
        <v>62.42</v>
      </c>
      <c r="H58" s="52" t="n">
        <f aca="false">IF(C58&gt;0,G58-D58,"")</f>
        <v>14.42</v>
      </c>
      <c r="I58" s="53" t="n">
        <f aca="false">IF(C58&gt;0,H58*ABS(C58),"")</f>
        <v>86.52</v>
      </c>
      <c r="J58" s="54" t="n">
        <f aca="false">IF($C58=0,"",$H58*0.4)</f>
        <v>5.768</v>
      </c>
      <c r="K58" s="49" t="n">
        <f aca="false">IF($C58=0,"",$H58*0.6)</f>
        <v>8.652</v>
      </c>
      <c r="L58" s="49" t="n">
        <f aca="false">IF(C58=0,"",J58*$C58)</f>
        <v>34.608</v>
      </c>
      <c r="M58" s="55" t="n">
        <f aca="false">IF(C58=0,"",C58*K58)</f>
        <v>51.912</v>
      </c>
      <c r="N58" s="56" t="n">
        <f aca="false">IF(C58=0,"",D58)</f>
        <v>48</v>
      </c>
      <c r="O58" s="57" t="n">
        <f aca="false">IF(C58=0,"",D58+J58)</f>
        <v>53.768</v>
      </c>
      <c r="P58" s="44" t="n">
        <f aca="false">IF(C58=0,"",N58*C58)</f>
        <v>288</v>
      </c>
      <c r="Q58" s="58" t="n">
        <f aca="false">IF(C58=0,"",O58*C58)</f>
        <v>322.608</v>
      </c>
      <c r="R58" s="44"/>
      <c r="S58" s="59" t="n">
        <f aca="false">IF(C58=0,"",L58)</f>
        <v>34.608</v>
      </c>
      <c r="T58" s="60" t="n">
        <f aca="false">IF(C58=0,"",M58)</f>
        <v>51.912</v>
      </c>
    </row>
    <row r="59" customFormat="false" ht="12.75" hidden="false" customHeight="false" outlineLevel="0" collapsed="false">
      <c r="A59" s="47" t="n">
        <f aca="false">$C$2</f>
        <v>37020</v>
      </c>
      <c r="B59" s="12" t="n">
        <v>19</v>
      </c>
      <c r="C59" s="48" t="n">
        <f aca="false">INDEX(RtMw,C68+18,0)</f>
        <v>6</v>
      </c>
      <c r="D59" s="49" t="n">
        <f aca="false">INDEX(RTPrice,C68+18,0)</f>
        <v>48</v>
      </c>
      <c r="E59" s="50" t="n">
        <f aca="false">VLOOKUP(A59,Gas,4,FALSE())</f>
        <v>4.45</v>
      </c>
      <c r="F59" s="50" t="n">
        <f aca="false">VLOOKUP(A59,Gas,5,FALSE())</f>
        <v>4.45</v>
      </c>
      <c r="G59" s="51" t="n">
        <f aca="false">VLOOKUP(A59,Bogey,2,FALSE())</f>
        <v>62.42</v>
      </c>
      <c r="H59" s="52" t="n">
        <f aca="false">IF(C59&gt;0,G59-D59,"")</f>
        <v>14.42</v>
      </c>
      <c r="I59" s="53" t="n">
        <f aca="false">IF(C59&gt;0,H59*ABS(C59),"")</f>
        <v>86.52</v>
      </c>
      <c r="J59" s="54" t="n">
        <f aca="false">IF($C59=0,"",$H59*0.4)</f>
        <v>5.768</v>
      </c>
      <c r="K59" s="49" t="n">
        <f aca="false">IF($C59=0,"",$H59*0.6)</f>
        <v>8.652</v>
      </c>
      <c r="L59" s="49" t="n">
        <f aca="false">IF(C59=0,"",J59*$C59)</f>
        <v>34.608</v>
      </c>
      <c r="M59" s="55" t="n">
        <f aca="false">IF(C59=0,"",C59*K59)</f>
        <v>51.912</v>
      </c>
      <c r="N59" s="56" t="n">
        <f aca="false">IF(C59=0,"",D59)</f>
        <v>48</v>
      </c>
      <c r="O59" s="57" t="n">
        <f aca="false">IF(C59=0,"",D59+J59)</f>
        <v>53.768</v>
      </c>
      <c r="P59" s="44" t="n">
        <f aca="false">IF(C59=0,"",N59*C59)</f>
        <v>288</v>
      </c>
      <c r="Q59" s="58" t="n">
        <f aca="false">IF(C59=0,"",O59*C59)</f>
        <v>322.608</v>
      </c>
      <c r="R59" s="44"/>
      <c r="S59" s="59" t="n">
        <f aca="false">IF(C59=0,"",L59)</f>
        <v>34.608</v>
      </c>
      <c r="T59" s="60" t="n">
        <f aca="false">IF(C59=0,"",M59)</f>
        <v>51.912</v>
      </c>
    </row>
    <row r="60" customFormat="false" ht="12.75" hidden="false" customHeight="false" outlineLevel="0" collapsed="false">
      <c r="A60" s="47" t="n">
        <f aca="false">$C$2</f>
        <v>37020</v>
      </c>
      <c r="B60" s="12" t="n">
        <v>20</v>
      </c>
      <c r="C60" s="48" t="n">
        <f aca="false">INDEX(RtMw,C68+19,0)</f>
        <v>3</v>
      </c>
      <c r="D60" s="49" t="n">
        <f aca="false">INDEX(RTPrice,C68+19,0)</f>
        <v>48</v>
      </c>
      <c r="E60" s="50" t="n">
        <f aca="false">VLOOKUP(A60,Gas,4,FALSE())</f>
        <v>4.45</v>
      </c>
      <c r="F60" s="50" t="n">
        <f aca="false">VLOOKUP(A60,Gas,5,FALSE())</f>
        <v>4.45</v>
      </c>
      <c r="G60" s="51" t="n">
        <f aca="false">VLOOKUP(A60,Bogey,2,FALSE())</f>
        <v>62.42</v>
      </c>
      <c r="H60" s="52" t="n">
        <f aca="false">IF(C60&gt;0,G60-D60,"")</f>
        <v>14.42</v>
      </c>
      <c r="I60" s="53" t="n">
        <f aca="false">IF(C60&gt;0,H60*ABS(C60),"")</f>
        <v>43.26</v>
      </c>
      <c r="J60" s="54" t="n">
        <f aca="false">IF($C60=0,"",$H60*0.4)</f>
        <v>5.768</v>
      </c>
      <c r="K60" s="49" t="n">
        <f aca="false">IF($C60=0,"",$H60*0.6)</f>
        <v>8.652</v>
      </c>
      <c r="L60" s="49" t="n">
        <f aca="false">IF(C60=0,"",J60*$C60)</f>
        <v>17.304</v>
      </c>
      <c r="M60" s="55" t="n">
        <f aca="false">IF(C60=0,"",C60*K60)</f>
        <v>25.956</v>
      </c>
      <c r="N60" s="56" t="n">
        <f aca="false">IF(C60=0,"",D60)</f>
        <v>48</v>
      </c>
      <c r="O60" s="57" t="n">
        <f aca="false">IF(C60=0,"",D60+J60)</f>
        <v>53.768</v>
      </c>
      <c r="P60" s="44" t="n">
        <f aca="false">IF(C60=0,"",N60*C60)</f>
        <v>144</v>
      </c>
      <c r="Q60" s="58" t="n">
        <f aca="false">IF(C60=0,"",O60*C60)</f>
        <v>161.304</v>
      </c>
      <c r="R60" s="44"/>
      <c r="S60" s="59" t="n">
        <f aca="false">IF(C60=0,"",L60)</f>
        <v>17.304</v>
      </c>
      <c r="T60" s="60" t="n">
        <f aca="false">IF(C60=0,"",M60)</f>
        <v>25.956</v>
      </c>
    </row>
    <row r="61" customFormat="false" ht="12.75" hidden="false" customHeight="false" outlineLevel="0" collapsed="false">
      <c r="A61" s="47" t="n">
        <f aca="false">$C$2</f>
        <v>37020</v>
      </c>
      <c r="B61" s="12" t="n">
        <v>21</v>
      </c>
      <c r="C61" s="48" t="n">
        <f aca="false">INDEX(RtMw,C68+20,0)</f>
        <v>6</v>
      </c>
      <c r="D61" s="49" t="n">
        <f aca="false">INDEX(RTPrice,C68+20,0)</f>
        <v>38</v>
      </c>
      <c r="E61" s="50" t="n">
        <f aca="false">VLOOKUP(A61,Gas,4,FALSE())</f>
        <v>4.45</v>
      </c>
      <c r="F61" s="50" t="n">
        <f aca="false">VLOOKUP(A61,Gas,5,FALSE())</f>
        <v>4.45</v>
      </c>
      <c r="G61" s="51" t="n">
        <f aca="false">VLOOKUP(A61,Bogey,2,FALSE())</f>
        <v>62.42</v>
      </c>
      <c r="H61" s="52" t="n">
        <f aca="false">IF(C61&gt;0,G61-D61,"")</f>
        <v>24.42</v>
      </c>
      <c r="I61" s="53" t="n">
        <f aca="false">IF(C61&gt;0,H61*ABS(C61),"")</f>
        <v>146.52</v>
      </c>
      <c r="J61" s="54" t="n">
        <f aca="false">IF($C61=0,"",$H61*0.4)</f>
        <v>9.768</v>
      </c>
      <c r="K61" s="49" t="n">
        <f aca="false">IF($C61=0,"",$H61*0.6)</f>
        <v>14.652</v>
      </c>
      <c r="L61" s="49" t="n">
        <f aca="false">IF(C61=0,"",J61*$C61)</f>
        <v>58.608</v>
      </c>
      <c r="M61" s="55" t="n">
        <f aca="false">IF(C61=0,"",C61*K61)</f>
        <v>87.912</v>
      </c>
      <c r="N61" s="56" t="n">
        <f aca="false">IF(C61=0,"",D61)</f>
        <v>38</v>
      </c>
      <c r="O61" s="57" t="n">
        <f aca="false">IF(C61=0,"",D61+J61)</f>
        <v>47.768</v>
      </c>
      <c r="P61" s="44" t="n">
        <f aca="false">IF(C61=0,"",N61*C61)</f>
        <v>228</v>
      </c>
      <c r="Q61" s="58" t="n">
        <f aca="false">IF(C61=0,"",O61*C61)</f>
        <v>286.608</v>
      </c>
      <c r="R61" s="44"/>
      <c r="S61" s="59" t="n">
        <f aca="false">IF(C61=0,"",L61)</f>
        <v>58.608</v>
      </c>
      <c r="T61" s="60" t="n">
        <f aca="false">IF(C61=0,"",M61)</f>
        <v>87.912</v>
      </c>
    </row>
    <row r="62" customFormat="false" ht="12.75" hidden="false" customHeight="false" outlineLevel="0" collapsed="false">
      <c r="A62" s="47" t="n">
        <f aca="false">$C$2</f>
        <v>37020</v>
      </c>
      <c r="B62" s="12" t="n">
        <v>22</v>
      </c>
      <c r="C62" s="48" t="n">
        <f aca="false">INDEX(RtMw,C68+21,0)</f>
        <v>4</v>
      </c>
      <c r="D62" s="49" t="n">
        <f aca="false">INDEX(RTPrice,C68+21,0)</f>
        <v>38</v>
      </c>
      <c r="E62" s="50" t="n">
        <f aca="false">VLOOKUP(A62,Gas,4,FALSE())</f>
        <v>4.45</v>
      </c>
      <c r="F62" s="50" t="n">
        <f aca="false">VLOOKUP(A62,Gas,5,FALSE())</f>
        <v>4.45</v>
      </c>
      <c r="G62" s="51" t="n">
        <f aca="false">VLOOKUP(A62,Bogey,2,FALSE())</f>
        <v>62.42</v>
      </c>
      <c r="H62" s="52" t="n">
        <f aca="false">IF(C62&gt;0,G62-D62,"")</f>
        <v>24.42</v>
      </c>
      <c r="I62" s="53" t="n">
        <f aca="false">IF(C62&gt;0,H62*ABS(C62),"")</f>
        <v>97.68</v>
      </c>
      <c r="J62" s="54" t="n">
        <f aca="false">IF($C62=0,"",$H62*0.4)</f>
        <v>9.768</v>
      </c>
      <c r="K62" s="49" t="n">
        <f aca="false">IF($C62=0,"",$H62*0.6)</f>
        <v>14.652</v>
      </c>
      <c r="L62" s="49" t="n">
        <f aca="false">IF(C62=0,"",J62*$C62)</f>
        <v>39.072</v>
      </c>
      <c r="M62" s="55" t="n">
        <f aca="false">IF(C62=0,"",C62*K62)</f>
        <v>58.608</v>
      </c>
      <c r="N62" s="56" t="n">
        <f aca="false">IF(C62=0,"",D62)</f>
        <v>38</v>
      </c>
      <c r="O62" s="57" t="n">
        <f aca="false">IF(C62=0,"",D62+J62)</f>
        <v>47.768</v>
      </c>
      <c r="P62" s="44" t="n">
        <f aca="false">IF(C62=0,"",N62*C62)</f>
        <v>152</v>
      </c>
      <c r="Q62" s="58" t="n">
        <f aca="false">IF(C62=0,"",O62*C62)</f>
        <v>191.072</v>
      </c>
      <c r="R62" s="44"/>
      <c r="S62" s="59" t="n">
        <f aca="false">IF(C62=0,"",L62)</f>
        <v>39.072</v>
      </c>
      <c r="T62" s="60" t="n">
        <f aca="false">IF(C62=0,"",M62)</f>
        <v>58.608</v>
      </c>
    </row>
    <row r="63" customFormat="false" ht="12.75" hidden="false" customHeight="false" outlineLevel="0" collapsed="false">
      <c r="A63" s="47" t="n">
        <f aca="false">$C$2</f>
        <v>37020</v>
      </c>
      <c r="B63" s="12" t="n">
        <v>23</v>
      </c>
      <c r="C63" s="48" t="n">
        <f aca="false">INDEX(RtMw,C68+22,0)</f>
        <v>17</v>
      </c>
      <c r="D63" s="49" t="n">
        <f aca="false">INDEX(RTPrice,C68+22,0)</f>
        <v>28</v>
      </c>
      <c r="E63" s="50" t="n">
        <f aca="false">VLOOKUP(A63,Gas,4,FALSE())</f>
        <v>4.45</v>
      </c>
      <c r="F63" s="50" t="n">
        <f aca="false">VLOOKUP(A63,Gas,5,FALSE())</f>
        <v>4.45</v>
      </c>
      <c r="G63" s="51" t="n">
        <f aca="false">VLOOKUP(A63,Bogey,2,FALSE())</f>
        <v>62.42</v>
      </c>
      <c r="H63" s="52" t="n">
        <f aca="false">IF(C63&gt;0,G63-D63,"")</f>
        <v>34.42</v>
      </c>
      <c r="I63" s="53" t="n">
        <f aca="false">IF(C63&gt;0,H63*ABS(C63),"")</f>
        <v>585.14</v>
      </c>
      <c r="J63" s="54" t="n">
        <f aca="false">IF(C63=0,"",1)</f>
        <v>1</v>
      </c>
      <c r="K63" s="44" t="n">
        <f aca="false">IF(C63=0,"",G63-(D63+1))</f>
        <v>33.42</v>
      </c>
      <c r="L63" s="44" t="n">
        <f aca="false">IF(C63=0,"",C63*J63)</f>
        <v>17</v>
      </c>
      <c r="M63" s="55" t="n">
        <f aca="false">IF(C63=0,"",C63*K63)</f>
        <v>568.14</v>
      </c>
      <c r="N63" s="56" t="n">
        <f aca="false">IF(C63=0,"",D63)</f>
        <v>28</v>
      </c>
      <c r="O63" s="57" t="n">
        <f aca="false">IF(C63=0,"",D63+1)</f>
        <v>29</v>
      </c>
      <c r="P63" s="44" t="n">
        <f aca="false">IF(C63=0,"",N63*C63)</f>
        <v>476</v>
      </c>
      <c r="Q63" s="58" t="n">
        <f aca="false">IF(C63=0,"",O63*C63)</f>
        <v>493</v>
      </c>
      <c r="R63" s="44"/>
      <c r="S63" s="59" t="n">
        <f aca="false">IF(C63=0,"",L63)</f>
        <v>17</v>
      </c>
      <c r="T63" s="60" t="n">
        <f aca="false">IF(C63=0,"",M63)</f>
        <v>568.14</v>
      </c>
    </row>
    <row r="64" customFormat="false" ht="12.75" hidden="false" customHeight="false" outlineLevel="0" collapsed="false">
      <c r="A64" s="61" t="n">
        <f aca="false">$C$2</f>
        <v>37020</v>
      </c>
      <c r="B64" s="62" t="n">
        <v>24</v>
      </c>
      <c r="C64" s="63" t="n">
        <f aca="false">INDEX(RtMw,C68+23,0)</f>
        <v>14</v>
      </c>
      <c r="D64" s="64" t="n">
        <f aca="false">INDEX(RTPrice,C68+23,0)</f>
        <v>22</v>
      </c>
      <c r="E64" s="65" t="n">
        <f aca="false">VLOOKUP(A64,Gas,4,FALSE())</f>
        <v>4.45</v>
      </c>
      <c r="F64" s="65" t="n">
        <f aca="false">VLOOKUP(A64,Gas,5,FALSE())</f>
        <v>4.45</v>
      </c>
      <c r="G64" s="66" t="n">
        <f aca="false">VLOOKUP(A64,Bogey,2,FALSE())</f>
        <v>62.42</v>
      </c>
      <c r="H64" s="67" t="n">
        <f aca="false">IF(C64&gt;0,G64-D64,"")</f>
        <v>40.42</v>
      </c>
      <c r="I64" s="68" t="n">
        <f aca="false">IF(C64&gt;0,H64*ABS(C64),"")</f>
        <v>565.88</v>
      </c>
      <c r="J64" s="69" t="n">
        <f aca="false">IF(C64=0,"",1)</f>
        <v>1</v>
      </c>
      <c r="K64" s="70" t="n">
        <f aca="false">IF(C64=0,"",G64-(D64+1))</f>
        <v>39.42</v>
      </c>
      <c r="L64" s="70" t="n">
        <f aca="false">IF(C64=0,"",C64*J64)</f>
        <v>14</v>
      </c>
      <c r="M64" s="71" t="n">
        <f aca="false">IF(C64=0,"",C64*K64)</f>
        <v>551.88</v>
      </c>
      <c r="N64" s="72" t="n">
        <f aca="false">IF(C64=0,"",D64)</f>
        <v>22</v>
      </c>
      <c r="O64" s="73" t="n">
        <f aca="false">IF(C64=0,"",D64+1)</f>
        <v>23</v>
      </c>
      <c r="P64" s="70" t="n">
        <f aca="false">IF(C64=0,"",N64*C64)</f>
        <v>308</v>
      </c>
      <c r="Q64" s="74" t="n">
        <f aca="false">IF(C64=0,"",O64*C64)</f>
        <v>322</v>
      </c>
      <c r="R64" s="44"/>
      <c r="S64" s="75" t="n">
        <f aca="false">IF(C64=0,"",L64)</f>
        <v>14</v>
      </c>
      <c r="T64" s="76" t="n">
        <f aca="false">IF(C64=0,"",M64)</f>
        <v>551.88</v>
      </c>
    </row>
    <row r="66" customFormat="false" ht="12.75" hidden="false" customHeight="false" outlineLevel="0" collapsed="false">
      <c r="Q66" s="78" t="e">
        <f aca="false">SUM(Q41:Q65)</f>
        <v>#VALUE!</v>
      </c>
    </row>
    <row r="68" customFormat="false" ht="12.75" hidden="true" customHeight="false" outlineLevel="0" collapsed="false">
      <c r="B68" s="0" t="s">
        <v>33</v>
      </c>
      <c r="C68" s="0" t="n">
        <f aca="false">MATCH(C2,RTDate,0)</f>
        <v>193</v>
      </c>
    </row>
  </sheetData>
  <mergeCells count="18">
    <mergeCell ref="A1:C1"/>
    <mergeCell ref="A2:B2"/>
    <mergeCell ref="E3:G3"/>
    <mergeCell ref="H3:I3"/>
    <mergeCell ref="J3:M3"/>
    <mergeCell ref="N3:Q3"/>
    <mergeCell ref="S3:T3"/>
    <mergeCell ref="B4:D4"/>
    <mergeCell ref="N4:O4"/>
    <mergeCell ref="P4:Q4"/>
    <mergeCell ref="E37:G37"/>
    <mergeCell ref="H37:I37"/>
    <mergeCell ref="J37:M37"/>
    <mergeCell ref="N37:Q37"/>
    <mergeCell ref="S37:T37"/>
    <mergeCell ref="B38:D38"/>
    <mergeCell ref="N38:O38"/>
    <mergeCell ref="P38:Q38"/>
  </mergeCells>
  <conditionalFormatting sqref="K5:K12 H3:H5 E3:G6 I3:I30 J3:J12 L5:M30 J29:K30 K4:N4 A1:C2 D31:G36 I31:M36 N5:N36 P65:IV65536 P4:T36 U1:IV64 K39:K46 H8:H39 A39:D64 E37:G40 I37:I64 J37:J46 J63:K64 K38:N38 D5:D30 L39:N64 A5:C36 P38:T64 A65:N65536 D1:D3 D37 H42:H64">
    <cfRule type="cellIs" priority="2" operator="equal" aboveAverage="0" equalAverage="0" bottom="0" percent="0" rank="0" text="" dxfId="8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2001-05-03T18:58:48Z</dcterms:created>
  <dc:creator>jmiller</dc:creator>
  <dc:description/>
  <dc:language>en-US</dc:language>
  <cp:lastModifiedBy>Kayne Coulter</cp:lastModifiedBy>
  <dcterms:modified xsi:type="dcterms:W3CDTF">2001-05-15T10:58:43Z</dcterms:modified>
  <cp:revision>0</cp:revision>
  <dc:subject/>
  <dc:title/>
</cp:coreProperties>
</file>