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of Contents" sheetId="1" state="visible" r:id="rId3"/>
    <sheet name="Invoice Rec" sheetId="2" state="visible" r:id="rId4"/>
    <sheet name="Invoice Rec2" sheetId="3" state="visible" r:id="rId5"/>
    <sheet name="April Deficiency" sheetId="4" state="visible" r:id="rId6"/>
    <sheet name="Assumptions" sheetId="5" state="visible" r:id="rId7"/>
    <sheet name="Historical Calcs" sheetId="6" state="visible" r:id="rId8"/>
    <sheet name="Invoice Analysis" sheetId="7" state="visible" r:id="rId9"/>
  </sheets>
  <definedNames>
    <definedName function="false" hidden="false" name="lookup_table" vbProcedure="false">Assumptions!$A$5:$Q$20</definedName>
    <definedName function="false" hidden="false" name="names" vbProcedure="false">Assumptions!$A$4:$Q$4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<sst xmlns="http://schemas.openxmlformats.org/spreadsheetml/2006/main" count="165" uniqueCount="89">
  <si>
    <t xml:space="preserve">Worksheet</t>
  </si>
  <si>
    <t xml:space="preserve">Description</t>
  </si>
  <si>
    <t xml:space="preserve">Invoice Rec</t>
  </si>
  <si>
    <t xml:space="preserve">Compares what PP has modeled to what the system invoiced.  Also shows what MCV paid, and the amount shortpaid based on the system invoice.</t>
  </si>
  <si>
    <t xml:space="preserve">Invoice Rec2</t>
  </si>
  <si>
    <t xml:space="preserve">Shows what MCV should have been invoiced for and explains why they short paid.  Needs to have a swing gas amount included</t>
  </si>
  <si>
    <t xml:space="preserve">April Deficiency</t>
  </si>
  <si>
    <t xml:space="preserve">Shows how MCV calcs their LDs for ENE's April non-deliveries in MCV II</t>
  </si>
  <si>
    <t xml:space="preserve">Assumptions</t>
  </si>
  <si>
    <t xml:space="preserve">Shows the volume and price assumptions used for the model on the "Historical Calcs" page</t>
  </si>
  <si>
    <t xml:space="preserve">Historical Calcs</t>
  </si>
  <si>
    <t xml:space="preserve">Shows what MCV should have been billed starting in Jan-01.  It assumes that they take the MDQ each day at each point.</t>
  </si>
  <si>
    <t xml:space="preserve">Invoice Analysis</t>
  </si>
  <si>
    <t xml:space="preserve">This is the information PP was able to glean from historical invoices provided by Settlements.  It looks like we are missing a lot of data.</t>
  </si>
  <si>
    <t xml:space="preserve">Model Values</t>
  </si>
  <si>
    <t xml:space="preserve">System Values</t>
  </si>
  <si>
    <t xml:space="preserve">System - Model</t>
  </si>
  <si>
    <t xml:space="preserve">MCV I</t>
  </si>
  <si>
    <t xml:space="preserve">VOLUME</t>
  </si>
  <si>
    <t xml:space="preserve">FIXED</t>
  </si>
  <si>
    <t xml:space="preserve">SALE PRICE</t>
  </si>
  <si>
    <t xml:space="preserve">TOTAL</t>
  </si>
  <si>
    <t xml:space="preserve">INVOICED </t>
  </si>
  <si>
    <t xml:space="preserve">DIFFERENCE</t>
  </si>
  <si>
    <t xml:space="preserve">IF-TRUNKL/TX</t>
  </si>
  <si>
    <t xml:space="preserve">MCV I Subtotal</t>
  </si>
  <si>
    <t xml:space="preserve">MCV II</t>
  </si>
  <si>
    <t xml:space="preserve">Fixed</t>
  </si>
  <si>
    <t xml:space="preserve">IF-HEHUB</t>
  </si>
  <si>
    <t xml:space="preserve">IF-FOM</t>
  </si>
  <si>
    <t xml:space="preserve">IF-PAN/TX/OK</t>
  </si>
  <si>
    <t xml:space="preserve">IF-ANR/LA</t>
  </si>
  <si>
    <t xml:space="preserve">IF-TRUNKL/LA</t>
  </si>
  <si>
    <t xml:space="preserve">MCV II Subtotal</t>
  </si>
  <si>
    <t xml:space="preserve">MCV I and II</t>
  </si>
  <si>
    <t xml:space="preserve">MCV PAID ON 4/26/02</t>
  </si>
  <si>
    <t xml:space="preserve">NET SHORT</t>
  </si>
  <si>
    <t xml:space="preserve">APRIL INVOICE ANALYSIS</t>
  </si>
  <si>
    <t xml:space="preserve">Invoice w/o PEPL</t>
  </si>
  <si>
    <t xml:space="preserve">This is what the invoice should have been without the PEPL Volume</t>
  </si>
  <si>
    <t xml:space="preserve">MCV Payment</t>
  </si>
  <si>
    <t xml:space="preserve">This is what MCV Actually paid</t>
  </si>
  <si>
    <t xml:space="preserve">Short Pay</t>
  </si>
  <si>
    <t xml:space="preserve">Based on what invoice should have been, amount of short pay</t>
  </si>
  <si>
    <t xml:space="preserve">MCV Claimed LD</t>
  </si>
  <si>
    <t xml:space="preserve">MCV charging us for April non-deliveries</t>
  </si>
  <si>
    <t xml:space="preserve">Balance</t>
  </si>
  <si>
    <t xml:space="preserve">Thus explains shortpay</t>
  </si>
  <si>
    <t xml:space="preserve">Invoice for PEPL</t>
  </si>
  <si>
    <t xml:space="preserve">What we should have invoiced for PEPL</t>
  </si>
  <si>
    <t xml:space="preserve">1 Day of Swing Gas</t>
  </si>
  <si>
    <t xml:space="preserve">???</t>
  </si>
  <si>
    <t xml:space="preserve">Balance Due for April</t>
  </si>
  <si>
    <t xml:space="preserve">????</t>
  </si>
  <si>
    <t xml:space="preserve">Should be the PEPL volumes plus the day's worth of swing</t>
  </si>
  <si>
    <t xml:space="preserve">Gray represents what MCV is claiming</t>
  </si>
  <si>
    <t xml:space="preserve">APRIL 2002 Enron Deficiency</t>
  </si>
  <si>
    <t xml:space="preserve">Pipeline</t>
  </si>
  <si>
    <t xml:space="preserve">Point</t>
  </si>
  <si>
    <t xml:space="preserve">Contract MMBtu</t>
  </si>
  <si>
    <t xml:space="preserve">Contract Price</t>
  </si>
  <si>
    <t xml:space="preserve">Inside FERC</t>
  </si>
  <si>
    <t xml:space="preserve">Replacement Price</t>
  </si>
  <si>
    <t xml:space="preserve">Repl. Price % Diff from IF</t>
  </si>
  <si>
    <t xml:space="preserve">Deficiency $/ MMBtu</t>
  </si>
  <si>
    <t xml:space="preserve">Total Deficiency due to MCV</t>
  </si>
  <si>
    <t xml:space="preserve">ANRSE</t>
  </si>
  <si>
    <t xml:space="preserve">SE Headstation</t>
  </si>
  <si>
    <t xml:space="preserve">PEPL</t>
  </si>
  <si>
    <t xml:space="preserve">Field Zone </t>
  </si>
  <si>
    <t xml:space="preserve">TRLN</t>
  </si>
  <si>
    <t xml:space="preserve">Note that Article II of the May 1996 Purchase Agreement, states that buyer's deficiency </t>
  </si>
  <si>
    <t xml:space="preserve">price "shall be no greater than one hundred and eight percent (108%) of the Inside Ferce Price".  </t>
  </si>
  <si>
    <t xml:space="preserve">Pricing Table</t>
  </si>
  <si>
    <t xml:space="preserve">Volume Table (MMBtu/d)</t>
  </si>
  <si>
    <t xml:space="preserve">Fixed Price</t>
  </si>
  <si>
    <t xml:space="preserve">TOTAL MCV II</t>
  </si>
  <si>
    <t xml:space="preserve">TOTAL INVOICE I AND II</t>
  </si>
  <si>
    <t xml:space="preserve">Del Month</t>
  </si>
  <si>
    <t xml:space="preserve">Days</t>
  </si>
  <si>
    <t xml:space="preserve">Monthly Volume</t>
  </si>
  <si>
    <t xml:space="preserve">Monthly Revenue</t>
  </si>
  <si>
    <t xml:space="preserve">Price</t>
  </si>
  <si>
    <t xml:space="preserve">Sale Price</t>
  </si>
  <si>
    <t xml:space="preserve">Revenue</t>
  </si>
  <si>
    <t xml:space="preserve">Volumes</t>
  </si>
  <si>
    <t xml:space="preserve">Pricing</t>
  </si>
  <si>
    <t xml:space="preserve">Total</t>
  </si>
  <si>
    <t xml:space="preserve">Total MCV II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</si>
</sst>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"/>
    <numFmt numFmtId="166" formatCode="\$#,##0.00_);[RED]&quot;($&quot;#,##0.00\)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.0000_);_(\$* \(#,##0.0000\);_(\$* \-??_);_(@_)"/>
    <numFmt numFmtId="171" formatCode="0%"/>
    <numFmt numFmtId="172" formatCode="0.00%"/>
    <numFmt numFmtId="173" formatCode="[$-409]mmm\-yy"/>
    <numFmt numFmtId="174" formatCode="0"/>
    <numFmt numFmtId="175" formatCode="\$#,##0.00"/>
    <numFmt numFmtId="176" formatCode="\$#,##0"/>
    <numFmt numFmtId="177" formatCode="[$-409]#,##0_);[RED]\(#,##0\)"/>
    <numFmt numFmtId="178" formatCode="\$#,##0.000_);[RED]&quot;($&quot;#,##0.000\)"/>
    <numFmt numFmtId="179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15.41"/>
    <col collapsed="false" customWidth="true" hidden="false" outlineLevel="0" max="3" min="3" style="0" width="2.56"/>
    <col collapsed="false" customWidth="true" hidden="false" outlineLevel="0" max="4" min="4" style="0" width="46.99"/>
  </cols>
  <sheetData>
    <row r="2" customFormat="false" ht="12.75" hidden="false" customHeight="false" outlineLevel="0" collapsed="false">
      <c r="B2" s="1" t="s">
        <v>0</v>
      </c>
      <c r="C2" s="1"/>
      <c r="D2" s="1" t="s">
        <v>1</v>
      </c>
    </row>
    <row r="3" customFormat="false" ht="33.75" hidden="false" customHeight="false" outlineLevel="0" collapsed="false">
      <c r="A3" s="2" t="n">
        <v>1</v>
      </c>
      <c r="B3" s="3" t="s">
        <v>2</v>
      </c>
      <c r="D3" s="4" t="s">
        <v>3</v>
      </c>
    </row>
    <row r="4" customFormat="false" ht="12.75" hidden="false" customHeight="false" outlineLevel="0" collapsed="false">
      <c r="A4" s="2"/>
      <c r="B4" s="3"/>
      <c r="D4" s="4"/>
    </row>
    <row r="5" customFormat="false" ht="33.75" hidden="false" customHeight="false" outlineLevel="0" collapsed="false">
      <c r="A5" s="2" t="n">
        <v>2</v>
      </c>
      <c r="B5" s="3" t="s">
        <v>4</v>
      </c>
      <c r="D5" s="4" t="s">
        <v>5</v>
      </c>
    </row>
    <row r="6" customFormat="false" ht="12.75" hidden="false" customHeight="false" outlineLevel="0" collapsed="false">
      <c r="A6" s="2"/>
      <c r="B6" s="3"/>
      <c r="D6" s="4"/>
    </row>
    <row r="7" customFormat="false" ht="22.5" hidden="false" customHeight="false" outlineLevel="0" collapsed="false">
      <c r="A7" s="2" t="n">
        <v>3</v>
      </c>
      <c r="B7" s="3" t="s">
        <v>6</v>
      </c>
      <c r="D7" s="4" t="s">
        <v>7</v>
      </c>
    </row>
    <row r="8" customFormat="false" ht="12.75" hidden="false" customHeight="false" outlineLevel="0" collapsed="false">
      <c r="A8" s="2"/>
      <c r="B8" s="3"/>
      <c r="D8" s="4"/>
    </row>
    <row r="9" customFormat="false" ht="22.5" hidden="false" customHeight="false" outlineLevel="0" collapsed="false">
      <c r="A9" s="2" t="n">
        <v>4</v>
      </c>
      <c r="B9" s="3" t="s">
        <v>8</v>
      </c>
      <c r="D9" s="4" t="s">
        <v>9</v>
      </c>
    </row>
    <row r="10" customFormat="false" ht="12.75" hidden="false" customHeight="false" outlineLevel="0" collapsed="false">
      <c r="A10" s="2"/>
      <c r="B10" s="3"/>
      <c r="D10" s="4"/>
    </row>
    <row r="11" customFormat="false" ht="22.5" hidden="false" customHeight="false" outlineLevel="0" collapsed="false">
      <c r="A11" s="2" t="n">
        <v>5</v>
      </c>
      <c r="B11" s="3" t="s">
        <v>10</v>
      </c>
      <c r="D11" s="4" t="s">
        <v>11</v>
      </c>
    </row>
    <row r="12" customFormat="false" ht="12.75" hidden="false" customHeight="false" outlineLevel="0" collapsed="false">
      <c r="A12" s="2"/>
      <c r="B12" s="3"/>
      <c r="D12" s="4"/>
    </row>
    <row r="13" customFormat="false" ht="33.75" hidden="false" customHeight="false" outlineLevel="0" collapsed="false">
      <c r="A13" s="2" t="n">
        <v>6</v>
      </c>
      <c r="B13" s="3" t="s">
        <v>12</v>
      </c>
      <c r="D13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3" min="3" style="0" width="9.28"/>
    <col collapsed="false" customWidth="true" hidden="false" outlineLevel="0" max="4" min="4" style="0" width="2.99"/>
    <col collapsed="false" customWidth="true" hidden="false" outlineLevel="0" max="5" min="5" style="0" width="9.28"/>
    <col collapsed="false" customWidth="true" hidden="false" outlineLevel="0" max="6" min="6" style="0" width="2.28"/>
    <col collapsed="false" customWidth="true" hidden="false" outlineLevel="0" max="7" min="7" style="0" width="11.85"/>
    <col collapsed="false" customWidth="true" hidden="false" outlineLevel="0" max="8" min="8" style="0" width="2.84"/>
    <col collapsed="false" customWidth="true" hidden="false" outlineLevel="0" max="9" min="9" style="0" width="9.28"/>
    <col collapsed="false" customWidth="true" hidden="false" outlineLevel="0" max="10" min="10" style="0" width="2.84"/>
    <col collapsed="false" customWidth="true" hidden="false" outlineLevel="0" max="11" min="11" style="0" width="12.14"/>
    <col collapsed="false" customWidth="true" hidden="false" outlineLevel="0" max="12" min="12" style="0" width="2.84"/>
    <col collapsed="false" customWidth="true" hidden="false" outlineLevel="0" max="13" min="13" style="0" width="15.13"/>
    <col collapsed="false" customWidth="true" hidden="false" outlineLevel="0" max="14" min="14" style="0" width="3.28"/>
    <col collapsed="false" customWidth="true" hidden="false" outlineLevel="0" max="15" min="15" style="0" width="18.7"/>
    <col collapsed="false" customWidth="true" hidden="false" outlineLevel="0" max="16" min="16" style="0" width="2.99"/>
    <col collapsed="false" customWidth="true" hidden="false" outlineLevel="0" max="17" min="17" style="0" width="14.14"/>
  </cols>
  <sheetData>
    <row r="2" customFormat="false" ht="12.75" hidden="false" customHeight="false" outlineLevel="0" collapsed="false">
      <c r="E2" s="5" t="s">
        <v>14</v>
      </c>
      <c r="F2" s="5"/>
      <c r="G2" s="5"/>
      <c r="H2" s="5"/>
      <c r="I2" s="5"/>
      <c r="J2" s="5"/>
      <c r="K2" s="5"/>
      <c r="L2" s="5"/>
      <c r="M2" s="5"/>
      <c r="O2" s="5" t="s">
        <v>15</v>
      </c>
      <c r="Q2" s="5" t="s">
        <v>16</v>
      </c>
    </row>
    <row r="4" customFormat="false" ht="12.75" hidden="false" customHeight="false" outlineLevel="0" collapsed="false">
      <c r="A4" s="1" t="s">
        <v>17</v>
      </c>
      <c r="C4" s="0" t="s">
        <v>18</v>
      </c>
      <c r="E4" s="0" t="s">
        <v>19</v>
      </c>
      <c r="K4" s="0" t="s">
        <v>20</v>
      </c>
      <c r="M4" s="0" t="s">
        <v>21</v>
      </c>
      <c r="O4" s="0" t="s">
        <v>22</v>
      </c>
      <c r="Q4" s="0" t="s">
        <v>23</v>
      </c>
    </row>
    <row r="5" customFormat="false" ht="12.75" hidden="false" customHeight="false" outlineLevel="0" collapsed="false">
      <c r="A5" s="0" t="s">
        <v>24</v>
      </c>
      <c r="C5" s="6" t="n">
        <v>210800</v>
      </c>
      <c r="E5" s="7" t="n">
        <v>4.23</v>
      </c>
      <c r="K5" s="7" t="n">
        <f aca="false">E5</f>
        <v>4.23</v>
      </c>
      <c r="M5" s="8" t="n">
        <f aca="false">C5*K5</f>
        <v>891684</v>
      </c>
      <c r="N5" s="9"/>
      <c r="O5" s="8" t="n">
        <f aca="false">M5</f>
        <v>891684</v>
      </c>
      <c r="Q5" s="7" t="n">
        <f aca="false">O5-M5</f>
        <v>0</v>
      </c>
    </row>
    <row r="6" customFormat="false" ht="12.75" hidden="false" customHeight="false" outlineLevel="0" collapsed="false">
      <c r="C6" s="6"/>
      <c r="E6" s="7"/>
      <c r="G6" s="7"/>
      <c r="H6" s="6"/>
      <c r="K6" s="10" t="s">
        <v>25</v>
      </c>
      <c r="M6" s="11" t="n">
        <f aca="false">M5</f>
        <v>891684</v>
      </c>
      <c r="N6" s="11"/>
      <c r="O6" s="11" t="n">
        <f aca="false">O5</f>
        <v>891684</v>
      </c>
      <c r="Q6" s="7" t="n">
        <f aca="false">O6-M6</f>
        <v>0</v>
      </c>
    </row>
    <row r="7" customFormat="false" ht="12.75" hidden="false" customHeight="false" outlineLevel="0" collapsed="false">
      <c r="C7" s="6"/>
      <c r="E7" s="7"/>
      <c r="G7" s="7"/>
      <c r="H7" s="6"/>
      <c r="N7" s="7"/>
      <c r="O7" s="7"/>
    </row>
    <row r="8" customFormat="false" ht="12.75" hidden="false" customHeight="false" outlineLevel="0" collapsed="false">
      <c r="C8" s="6"/>
      <c r="E8" s="7"/>
      <c r="G8" s="7"/>
      <c r="H8" s="6"/>
      <c r="N8" s="7"/>
      <c r="O8" s="7"/>
    </row>
    <row r="9" customFormat="false" ht="12.75" hidden="false" customHeight="false" outlineLevel="0" collapsed="false">
      <c r="A9" s="1" t="s">
        <v>26</v>
      </c>
      <c r="C9" s="6"/>
      <c r="E9" s="7" t="s">
        <v>27</v>
      </c>
      <c r="G9" s="7" t="s">
        <v>28</v>
      </c>
      <c r="H9" s="6"/>
      <c r="I9" s="0" t="s">
        <v>29</v>
      </c>
      <c r="K9" s="0" t="s">
        <v>20</v>
      </c>
      <c r="M9" s="0" t="s">
        <v>21</v>
      </c>
      <c r="N9" s="7"/>
      <c r="O9" s="7"/>
    </row>
    <row r="10" customFormat="false" ht="12.75" hidden="false" customHeight="false" outlineLevel="0" collapsed="false">
      <c r="A10" s="0" t="s">
        <v>30</v>
      </c>
      <c r="C10" s="6" t="n">
        <v>155000</v>
      </c>
      <c r="E10" s="7" t="n">
        <v>2.55</v>
      </c>
      <c r="G10" s="7" t="n">
        <v>2.39</v>
      </c>
      <c r="H10" s="6"/>
      <c r="I10" s="0" t="n">
        <v>2.3</v>
      </c>
      <c r="K10" s="7" t="n">
        <f aca="false">E10-(G10-I10)</f>
        <v>2.46</v>
      </c>
      <c r="M10" s="7" t="n">
        <f aca="false">C10*K10</f>
        <v>381300</v>
      </c>
      <c r="N10" s="7"/>
      <c r="O10" s="7" t="n">
        <v>26143.85</v>
      </c>
      <c r="Q10" s="7" t="n">
        <f aca="false">O10-M10</f>
        <v>-355156.15</v>
      </c>
    </row>
    <row r="11" customFormat="false" ht="12.75" hidden="false" customHeight="false" outlineLevel="0" collapsed="false">
      <c r="C11" s="6"/>
      <c r="E11" s="7"/>
      <c r="G11" s="7"/>
      <c r="H11" s="6"/>
      <c r="N11" s="7"/>
      <c r="O11" s="7"/>
    </row>
    <row r="12" customFormat="false" ht="12.75" hidden="false" customHeight="false" outlineLevel="0" collapsed="false">
      <c r="A12" s="0" t="s">
        <v>31</v>
      </c>
      <c r="C12" s="6" t="n">
        <v>124000</v>
      </c>
      <c r="E12" s="7" t="n">
        <v>2.55</v>
      </c>
      <c r="G12" s="7" t="n">
        <v>2.39</v>
      </c>
      <c r="H12" s="6"/>
      <c r="I12" s="0" t="n">
        <v>2.33</v>
      </c>
      <c r="K12" s="7" t="n">
        <f aca="false">E12-(G12-I12)</f>
        <v>2.49</v>
      </c>
      <c r="M12" s="7" t="n">
        <f aca="false">C12*K12</f>
        <v>308760</v>
      </c>
      <c r="N12" s="7"/>
      <c r="O12" s="7" t="n">
        <f aca="false">20915.08+292429.2</f>
        <v>313344.28</v>
      </c>
      <c r="Q12" s="7" t="n">
        <f aca="false">O12-M12</f>
        <v>4584.28000000003</v>
      </c>
    </row>
    <row r="13" customFormat="false" ht="12.75" hidden="false" customHeight="false" outlineLevel="0" collapsed="false">
      <c r="C13" s="6"/>
      <c r="E13" s="7"/>
      <c r="G13" s="7"/>
      <c r="H13" s="6"/>
      <c r="N13" s="7"/>
      <c r="O13" s="7"/>
    </row>
    <row r="14" customFormat="false" ht="12.75" hidden="false" customHeight="false" outlineLevel="0" collapsed="false">
      <c r="A14" s="0" t="s">
        <v>32</v>
      </c>
      <c r="C14" s="6" t="n">
        <v>93000</v>
      </c>
      <c r="E14" s="7" t="n">
        <v>2.55</v>
      </c>
      <c r="G14" s="7" t="n">
        <v>2.39</v>
      </c>
      <c r="H14" s="6"/>
      <c r="I14" s="7" t="n">
        <v>2.32</v>
      </c>
      <c r="K14" s="7" t="n">
        <f aca="false">E14-(G14-I14)</f>
        <v>2.48</v>
      </c>
      <c r="M14" s="7" t="n">
        <f aca="false">C14*K14</f>
        <v>230640</v>
      </c>
      <c r="N14" s="7"/>
      <c r="O14" s="7" t="n">
        <f aca="false">218391.9+15686.31</f>
        <v>234078.21</v>
      </c>
      <c r="Q14" s="7" t="n">
        <f aca="false">O14-M14</f>
        <v>3438.21000000002</v>
      </c>
    </row>
    <row r="15" customFormat="false" ht="12.75" hidden="false" customHeight="false" outlineLevel="0" collapsed="false">
      <c r="C15" s="6"/>
      <c r="E15" s="7"/>
      <c r="G15" s="7"/>
      <c r="H15" s="6"/>
      <c r="N15" s="7"/>
      <c r="O15" s="7"/>
    </row>
    <row r="16" customFormat="false" ht="12.75" hidden="false" customHeight="false" outlineLevel="0" collapsed="false">
      <c r="A16" s="0" t="s">
        <v>24</v>
      </c>
      <c r="C16" s="6" t="n">
        <v>93000</v>
      </c>
      <c r="E16" s="7" t="n">
        <v>2.55</v>
      </c>
      <c r="G16" s="7" t="n">
        <v>2.39</v>
      </c>
      <c r="H16" s="6"/>
      <c r="I16" s="7" t="n">
        <v>2.27</v>
      </c>
      <c r="K16" s="7" t="n">
        <f aca="false">E16-(G16-I16)</f>
        <v>2.43</v>
      </c>
      <c r="M16" s="8" t="n">
        <f aca="false">C16*K16</f>
        <v>225990</v>
      </c>
      <c r="N16" s="8"/>
      <c r="O16" s="8" t="n">
        <f aca="false">220224+15686.31</f>
        <v>235910.31</v>
      </c>
      <c r="Q16" s="7" t="n">
        <f aca="false">O16-M16</f>
        <v>9920.31000000003</v>
      </c>
    </row>
    <row r="17" customFormat="false" ht="12.75" hidden="false" customHeight="false" outlineLevel="0" collapsed="false">
      <c r="C17" s="6"/>
      <c r="E17" s="7"/>
      <c r="G17" s="7"/>
      <c r="H17" s="6"/>
      <c r="K17" s="10" t="s">
        <v>33</v>
      </c>
      <c r="M17" s="11" t="n">
        <f aca="false">SUM(M10:M16)</f>
        <v>1146690</v>
      </c>
      <c r="N17" s="11"/>
      <c r="O17" s="11" t="n">
        <f aca="false">SUM(O10:O16)</f>
        <v>809476.65</v>
      </c>
      <c r="Q17" s="7" t="n">
        <f aca="false">O17-M17</f>
        <v>-337213.35</v>
      </c>
    </row>
    <row r="18" customFormat="false" ht="12.75" hidden="false" customHeight="false" outlineLevel="0" collapsed="false">
      <c r="C18" s="6"/>
      <c r="E18" s="7"/>
      <c r="G18" s="7"/>
      <c r="H18" s="6"/>
      <c r="N18" s="7"/>
      <c r="O18" s="7"/>
    </row>
    <row r="19" customFormat="false" ht="12.75" hidden="false" customHeight="false" outlineLevel="0" collapsed="false">
      <c r="C19" s="6"/>
      <c r="E19" s="7"/>
      <c r="G19" s="7"/>
      <c r="H19" s="6"/>
      <c r="K19" s="1" t="s">
        <v>34</v>
      </c>
      <c r="M19" s="7" t="n">
        <f aca="false">M5+M10+M12+M14+M16</f>
        <v>2038374</v>
      </c>
      <c r="N19" s="7"/>
      <c r="O19" s="7" t="n">
        <f aca="false">O5+O10+O12+O14+O16</f>
        <v>1701160.65</v>
      </c>
      <c r="Q19" s="7" t="n">
        <f aca="false">O19-M19</f>
        <v>-337213.35</v>
      </c>
    </row>
    <row r="20" customFormat="false" ht="12.75" hidden="false" customHeight="false" outlineLevel="0" collapsed="false">
      <c r="C20" s="6"/>
      <c r="E20" s="7"/>
      <c r="G20" s="7"/>
      <c r="H20" s="6"/>
      <c r="N20" s="7"/>
      <c r="O20" s="7"/>
    </row>
    <row r="21" customFormat="false" ht="12.75" hidden="false" customHeight="false" outlineLevel="0" collapsed="false">
      <c r="C21" s="6"/>
      <c r="E21" s="7"/>
      <c r="G21" s="7"/>
      <c r="H21" s="6"/>
      <c r="K21" s="12" t="s">
        <v>35</v>
      </c>
      <c r="M21" s="7"/>
      <c r="N21" s="7"/>
      <c r="O21" s="13" t="n">
        <v>1272099</v>
      </c>
      <c r="Q21" s="7"/>
    </row>
    <row r="22" customFormat="false" ht="12.75" hidden="false" customHeight="false" outlineLevel="0" collapsed="false">
      <c r="C22" s="6"/>
      <c r="E22" s="7"/>
      <c r="G22" s="7"/>
      <c r="H22" s="6"/>
      <c r="K22" s="14"/>
      <c r="N22" s="7"/>
      <c r="O22" s="7"/>
    </row>
    <row r="23" customFormat="false" ht="12.75" hidden="false" customHeight="false" outlineLevel="0" collapsed="false">
      <c r="C23" s="6"/>
      <c r="E23" s="7"/>
      <c r="G23" s="7"/>
      <c r="H23" s="6"/>
      <c r="K23" s="12" t="s">
        <v>36</v>
      </c>
      <c r="N23" s="7"/>
      <c r="O23" s="13" t="n">
        <f aca="false">O21-O19</f>
        <v>-429061.65</v>
      </c>
    </row>
    <row r="24" customFormat="false" ht="12.75" hidden="false" customHeight="false" outlineLevel="0" collapsed="false">
      <c r="C24" s="6"/>
      <c r="E24" s="7"/>
      <c r="G24" s="7"/>
      <c r="H24" s="6"/>
      <c r="N24" s="7"/>
      <c r="O24" s="7"/>
    </row>
    <row r="25" customFormat="false" ht="12.75" hidden="false" customHeight="false" outlineLevel="0" collapsed="false">
      <c r="C25" s="6"/>
      <c r="E25" s="7"/>
      <c r="G25" s="7"/>
      <c r="H25" s="6"/>
      <c r="N25" s="7"/>
      <c r="O25" s="7"/>
    </row>
    <row r="26" customFormat="false" ht="12.75" hidden="false" customHeight="false" outlineLevel="0" collapsed="false">
      <c r="C26" s="6"/>
      <c r="E26" s="7"/>
      <c r="G26" s="7"/>
      <c r="H26" s="6"/>
      <c r="N26" s="7"/>
      <c r="O26" s="7"/>
    </row>
    <row r="27" customFormat="false" ht="12.75" hidden="false" customHeight="false" outlineLevel="0" collapsed="false">
      <c r="C27" s="6"/>
      <c r="E27" s="7"/>
      <c r="G27" s="7"/>
      <c r="H27" s="6"/>
    </row>
    <row r="28" customFormat="false" ht="12.75" hidden="false" customHeight="false" outlineLevel="0" collapsed="false">
      <c r="C28" s="6"/>
      <c r="E28" s="7"/>
      <c r="G28" s="7"/>
      <c r="H28" s="6"/>
    </row>
    <row r="29" customFormat="false" ht="12.75" hidden="false" customHeight="false" outlineLevel="0" collapsed="false">
      <c r="C29" s="6"/>
      <c r="E29" s="7"/>
      <c r="G29" s="7"/>
      <c r="H29" s="6"/>
    </row>
    <row r="30" customFormat="false" ht="12.75" hidden="false" customHeight="false" outlineLevel="0" collapsed="false">
      <c r="C30" s="6"/>
      <c r="E30" s="7"/>
      <c r="G30" s="7"/>
      <c r="H30" s="6"/>
    </row>
    <row r="31" customFormat="false" ht="12.75" hidden="false" customHeight="false" outlineLevel="0" collapsed="false">
      <c r="C31" s="6"/>
      <c r="E31" s="7"/>
      <c r="G31" s="7"/>
      <c r="H31" s="6"/>
    </row>
    <row r="32" customFormat="false" ht="12.75" hidden="false" customHeight="false" outlineLevel="0" collapsed="false">
      <c r="C32" s="6"/>
      <c r="E32" s="7"/>
      <c r="G32" s="7"/>
      <c r="H32" s="6"/>
    </row>
    <row r="33" customFormat="false" ht="12.75" hidden="false" customHeight="false" outlineLevel="0" collapsed="false">
      <c r="C33" s="6"/>
      <c r="E33" s="7"/>
      <c r="G33" s="7"/>
      <c r="H33" s="6"/>
    </row>
    <row r="34" customFormat="false" ht="12.75" hidden="false" customHeight="false" outlineLevel="0" collapsed="false">
      <c r="C34" s="6"/>
      <c r="E34" s="7"/>
      <c r="G34" s="7"/>
      <c r="H34" s="6"/>
    </row>
    <row r="35" customFormat="false" ht="12.75" hidden="false" customHeight="false" outlineLevel="0" collapsed="false">
      <c r="C35" s="6"/>
      <c r="E35" s="7"/>
      <c r="G35" s="7"/>
      <c r="H35" s="6"/>
    </row>
    <row r="36" customFormat="false" ht="12.75" hidden="false" customHeight="false" outlineLevel="0" collapsed="false">
      <c r="C36" s="6"/>
      <c r="E36" s="7"/>
      <c r="G36" s="7"/>
      <c r="H36" s="6"/>
    </row>
    <row r="37" customFormat="false" ht="12.75" hidden="false" customHeight="false" outlineLevel="0" collapsed="false">
      <c r="C37" s="6"/>
      <c r="E37" s="7"/>
      <c r="G37" s="7"/>
      <c r="H37" s="6"/>
    </row>
    <row r="38" customFormat="false" ht="12.75" hidden="false" customHeight="false" outlineLevel="0" collapsed="false">
      <c r="C38" s="6"/>
      <c r="E38" s="7"/>
      <c r="G38" s="7"/>
      <c r="H38" s="6"/>
    </row>
    <row r="39" customFormat="false" ht="12.75" hidden="false" customHeight="false" outlineLevel="0" collapsed="false">
      <c r="C39" s="6"/>
      <c r="E39" s="7"/>
      <c r="G39" s="7"/>
      <c r="H39" s="6"/>
    </row>
    <row r="40" customFormat="false" ht="12.75" hidden="false" customHeight="false" outlineLevel="0" collapsed="false">
      <c r="C40" s="6"/>
      <c r="E40" s="7"/>
      <c r="G40" s="7"/>
      <c r="H40" s="6"/>
    </row>
    <row r="41" customFormat="false" ht="12.75" hidden="false" customHeight="false" outlineLevel="0" collapsed="false">
      <c r="C41" s="6"/>
      <c r="E41" s="7"/>
      <c r="G41" s="7"/>
      <c r="H4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13.41"/>
    <col collapsed="false" customWidth="true" hidden="false" outlineLevel="0" max="3" min="3" style="0" width="4.7"/>
    <col collapsed="false" customWidth="true" hidden="false" outlineLevel="0" max="4" min="4" style="0" width="48.85"/>
    <col collapsed="false" customWidth="true" hidden="false" outlineLevel="0" max="7" min="7" style="0" width="14.56"/>
    <col collapsed="false" customWidth="true" hidden="false" outlineLevel="0" max="8" min="8" style="0" width="24.85"/>
  </cols>
  <sheetData>
    <row r="1" customFormat="false" ht="12.75" hidden="false" customHeight="false" outlineLevel="0" collapsed="false">
      <c r="A1" s="1" t="s">
        <v>37</v>
      </c>
    </row>
    <row r="3" customFormat="false" ht="12.75" hidden="false" customHeight="false" outlineLevel="0" collapsed="false">
      <c r="A3" s="0" t="s">
        <v>38</v>
      </c>
      <c r="B3" s="7" t="n">
        <f aca="false">'Invoice Rec'!$M$12+'Invoice Rec'!$M$14+'Invoice Rec'!$M$16+'Invoice Rec'!$M$5</f>
        <v>1657074</v>
      </c>
      <c r="D3" s="15" t="s">
        <v>39</v>
      </c>
    </row>
    <row r="4" customFormat="false" ht="12.75" hidden="false" customHeight="false" outlineLevel="0" collapsed="false">
      <c r="B4" s="7"/>
      <c r="D4" s="15"/>
    </row>
    <row r="5" customFormat="false" ht="12.75" hidden="false" customHeight="false" outlineLevel="0" collapsed="false">
      <c r="A5" s="0" t="s">
        <v>40</v>
      </c>
      <c r="B5" s="7" t="n">
        <f aca="false">1272099</f>
        <v>1272099</v>
      </c>
      <c r="D5" s="15" t="s">
        <v>41</v>
      </c>
    </row>
    <row r="6" customFormat="false" ht="12.75" hidden="false" customHeight="false" outlineLevel="0" collapsed="false">
      <c r="B6" s="7"/>
      <c r="D6" s="15"/>
    </row>
    <row r="7" customFormat="false" ht="12.75" hidden="false" customHeight="false" outlineLevel="0" collapsed="false">
      <c r="A7" s="0" t="s">
        <v>42</v>
      </c>
      <c r="B7" s="7" t="n">
        <f aca="false">B5-B3</f>
        <v>-384975</v>
      </c>
      <c r="D7" s="15" t="s">
        <v>43</v>
      </c>
    </row>
    <row r="8" customFormat="false" ht="12.75" hidden="false" customHeight="false" outlineLevel="0" collapsed="false">
      <c r="B8" s="7"/>
      <c r="D8" s="15"/>
    </row>
    <row r="9" customFormat="false" ht="12.75" hidden="false" customHeight="false" outlineLevel="0" collapsed="false">
      <c r="A9" s="0" t="s">
        <v>44</v>
      </c>
      <c r="B9" s="7" t="n">
        <v>384975</v>
      </c>
      <c r="D9" s="15" t="s">
        <v>45</v>
      </c>
    </row>
    <row r="10" customFormat="false" ht="12.75" hidden="false" customHeight="false" outlineLevel="0" collapsed="false">
      <c r="B10" s="7"/>
      <c r="D10" s="15"/>
    </row>
    <row r="11" customFormat="false" ht="12.75" hidden="false" customHeight="false" outlineLevel="0" collapsed="false">
      <c r="A11" s="0" t="s">
        <v>46</v>
      </c>
      <c r="B11" s="7" t="n">
        <f aca="false">B9+B7</f>
        <v>0</v>
      </c>
      <c r="D11" s="15" t="s">
        <v>47</v>
      </c>
    </row>
    <row r="12" customFormat="false" ht="12.75" hidden="false" customHeight="false" outlineLevel="0" collapsed="false">
      <c r="B12" s="7"/>
      <c r="D12" s="15"/>
    </row>
    <row r="13" customFormat="false" ht="12.75" hidden="false" customHeight="false" outlineLevel="0" collapsed="false">
      <c r="A13" s="0" t="s">
        <v>48</v>
      </c>
      <c r="B13" s="7" t="n">
        <v>381300</v>
      </c>
      <c r="D13" s="15" t="s">
        <v>49</v>
      </c>
    </row>
    <row r="14" customFormat="false" ht="12.75" hidden="false" customHeight="false" outlineLevel="0" collapsed="false">
      <c r="B14" s="7"/>
      <c r="D14" s="15"/>
    </row>
    <row r="15" customFormat="false" ht="12.75" hidden="false" customHeight="false" outlineLevel="0" collapsed="false">
      <c r="A15" s="0" t="s">
        <v>50</v>
      </c>
      <c r="B15" s="1" t="s">
        <v>51</v>
      </c>
      <c r="D15" s="15"/>
    </row>
    <row r="16" customFormat="false" ht="12.75" hidden="false" customHeight="false" outlineLevel="0" collapsed="false">
      <c r="B16" s="7"/>
      <c r="D16" s="15"/>
    </row>
    <row r="17" customFormat="false" ht="12.75" hidden="false" customHeight="false" outlineLevel="0" collapsed="false">
      <c r="A17" s="0" t="s">
        <v>52</v>
      </c>
      <c r="B17" s="13" t="s">
        <v>53</v>
      </c>
      <c r="D17" s="15" t="s">
        <v>54</v>
      </c>
    </row>
    <row r="18" customFormat="false" ht="12.75" hidden="false" customHeight="false" outlineLevel="0" collapsed="false">
      <c r="B1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5.28"/>
    <col collapsed="false" customWidth="true" hidden="false" outlineLevel="0" max="3" min="3" style="16" width="9.99"/>
    <col collapsed="false" customWidth="true" hidden="false" outlineLevel="0" max="5" min="4" style="17" width="9.14"/>
    <col collapsed="false" customWidth="true" hidden="false" outlineLevel="0" max="7" min="6" style="17" width="12.42"/>
    <col collapsed="false" customWidth="true" hidden="false" outlineLevel="0" max="8" min="8" style="17" width="10.41"/>
    <col collapsed="false" customWidth="true" hidden="false" outlineLevel="0" max="9" min="9" style="0" width="12.28"/>
  </cols>
  <sheetData>
    <row r="1" customFormat="false" ht="12.75" hidden="false" customHeight="false" outlineLevel="0" collapsed="false">
      <c r="A1" s="18" t="s">
        <v>55</v>
      </c>
    </row>
    <row r="3" customFormat="false" ht="15.75" hidden="false" customHeight="false" outlineLevel="0" collapsed="false">
      <c r="A3" s="19" t="s">
        <v>56</v>
      </c>
      <c r="B3" s="20"/>
    </row>
    <row r="4" customFormat="false" ht="38.25" hidden="false" customHeight="false" outlineLevel="0" collapsed="false">
      <c r="A4" s="21" t="s">
        <v>57</v>
      </c>
      <c r="B4" s="21" t="s">
        <v>58</v>
      </c>
      <c r="C4" s="22" t="s">
        <v>59</v>
      </c>
      <c r="D4" s="23" t="s">
        <v>60</v>
      </c>
      <c r="E4" s="23" t="s">
        <v>61</v>
      </c>
      <c r="F4" s="23" t="s">
        <v>62</v>
      </c>
      <c r="G4" s="23" t="s">
        <v>63</v>
      </c>
      <c r="H4" s="24" t="s">
        <v>64</v>
      </c>
      <c r="I4" s="25" t="s">
        <v>65</v>
      </c>
    </row>
    <row r="6" customFormat="false" ht="12.75" hidden="false" customHeight="false" outlineLevel="0" collapsed="false">
      <c r="A6" s="18" t="s">
        <v>66</v>
      </c>
      <c r="B6" s="18" t="s">
        <v>67</v>
      </c>
      <c r="C6" s="26" t="n">
        <v>120000</v>
      </c>
      <c r="D6" s="27" t="n">
        <v>2.46</v>
      </c>
      <c r="E6" s="17" t="n">
        <v>3.31</v>
      </c>
      <c r="F6" s="27" t="n">
        <v>3.3125</v>
      </c>
      <c r="G6" s="28" t="n">
        <f aca="false">F6/E6-1</f>
        <v>0.000755287009063466</v>
      </c>
      <c r="H6" s="27" t="n">
        <f aca="false">+F6-D6</f>
        <v>0.8525</v>
      </c>
      <c r="I6" s="29" t="n">
        <f aca="false">+C6*H6</f>
        <v>102300</v>
      </c>
    </row>
    <row r="7" customFormat="false" ht="12.75" hidden="false" customHeight="false" outlineLevel="0" collapsed="false">
      <c r="A7" s="18" t="s">
        <v>68</v>
      </c>
      <c r="B7" s="18" t="s">
        <v>69</v>
      </c>
      <c r="C7" s="26" t="n">
        <v>150000</v>
      </c>
      <c r="D7" s="27" t="n">
        <v>2.44</v>
      </c>
      <c r="E7" s="17" t="n">
        <v>3.29</v>
      </c>
      <c r="F7" s="27" t="n">
        <v>3.3345</v>
      </c>
      <c r="G7" s="28" t="n">
        <f aca="false">F7/E7-1</f>
        <v>0.0135258358662613</v>
      </c>
      <c r="H7" s="27" t="n">
        <f aca="false">+F7-D7</f>
        <v>0.8945</v>
      </c>
      <c r="I7" s="29" t="n">
        <f aca="false">+C7*H7</f>
        <v>134175</v>
      </c>
    </row>
    <row r="8" customFormat="false" ht="12.75" hidden="false" customHeight="false" outlineLevel="0" collapsed="false">
      <c r="A8" s="18" t="s">
        <v>70</v>
      </c>
      <c r="B8" s="18" t="s">
        <v>69</v>
      </c>
      <c r="C8" s="26" t="n">
        <v>180000</v>
      </c>
      <c r="D8" s="27" t="n">
        <v>2.455</v>
      </c>
      <c r="E8" s="17" t="n">
        <v>3.28</v>
      </c>
      <c r="F8" s="27" t="n">
        <v>3.28</v>
      </c>
      <c r="G8" s="28" t="n">
        <f aca="false">F8/E8-1</f>
        <v>0</v>
      </c>
      <c r="H8" s="27" t="n">
        <f aca="false">+F8-D8</f>
        <v>0.825</v>
      </c>
      <c r="I8" s="29" t="n">
        <f aca="false">+C8*H8</f>
        <v>148500</v>
      </c>
    </row>
    <row r="9" customFormat="false" ht="12.75" hidden="false" customHeight="false" outlineLevel="0" collapsed="false">
      <c r="A9" s="18"/>
      <c r="B9" s="18"/>
      <c r="C9" s="26"/>
      <c r="D9" s="27"/>
      <c r="F9" s="27"/>
      <c r="H9" s="27"/>
      <c r="I9" s="29"/>
    </row>
    <row r="10" customFormat="false" ht="12.75" hidden="false" customHeight="false" outlineLevel="0" collapsed="false">
      <c r="A10" s="18"/>
      <c r="B10" s="18"/>
      <c r="C10" s="26"/>
      <c r="D10" s="27"/>
      <c r="F10" s="27"/>
      <c r="H10" s="27"/>
      <c r="I10" s="29" t="n">
        <f aca="false">SUM(I6:I9)</f>
        <v>384975</v>
      </c>
    </row>
    <row r="13" customFormat="false" ht="12.75" hidden="false" customHeight="false" outlineLevel="0" collapsed="false">
      <c r="A13" s="0" t="s">
        <v>71</v>
      </c>
    </row>
    <row r="14" customFormat="false" ht="12.75" hidden="false" customHeight="false" outlineLevel="0" collapsed="false">
      <c r="A14" s="0" t="s">
        <v>72</v>
      </c>
    </row>
    <row r="18" customFormat="false" ht="12.75" hidden="false" customHeight="false" outlineLevel="0" collapsed="false">
      <c r="G18" s="28"/>
    </row>
    <row r="19" customFormat="false" ht="12.75" hidden="false" customHeight="false" outlineLevel="0" collapsed="false">
      <c r="G19" s="28"/>
    </row>
    <row r="20" customFormat="false" ht="12.75" hidden="false" customHeight="false" outlineLevel="0" collapsed="false">
      <c r="G20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G14" activeCellId="0" sqref="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3" min="3" style="0" width="1.7"/>
    <col collapsed="false" customWidth="true" hidden="false" outlineLevel="0" max="6" min="5" style="0" width="12.85"/>
    <col collapsed="false" customWidth="true" hidden="false" outlineLevel="0" max="7" min="7" style="0" width="13.28"/>
    <col collapsed="false" customWidth="true" hidden="false" outlineLevel="0" max="8" min="8" style="0" width="12.85"/>
    <col collapsed="false" customWidth="true" hidden="false" outlineLevel="0" max="12" min="12" style="0" width="13.41"/>
    <col collapsed="false" customWidth="true" hidden="false" outlineLevel="0" max="13" min="13" style="0" width="3.56"/>
    <col collapsed="false" customWidth="true" hidden="false" outlineLevel="0" max="14" min="14" style="0" width="12.28"/>
    <col collapsed="false" customWidth="true" hidden="false" outlineLevel="0" max="17" min="15" style="0" width="13.41"/>
  </cols>
  <sheetData>
    <row r="1" customFormat="false" ht="12.75" hidden="false" customHeight="false" outlineLevel="0" collapsed="false">
      <c r="A1" s="0" t="n">
        <v>1</v>
      </c>
      <c r="B1" s="0" t="n">
        <f aca="false">A1+1</f>
        <v>2</v>
      </c>
      <c r="C1" s="0" t="n">
        <f aca="false">B1+1</f>
        <v>3</v>
      </c>
      <c r="D1" s="0" t="n">
        <f aca="false">C1+1</f>
        <v>4</v>
      </c>
      <c r="E1" s="0" t="n">
        <f aca="false">D1+1</f>
        <v>5</v>
      </c>
      <c r="F1" s="0" t="n">
        <f aca="false">E1+1</f>
        <v>6</v>
      </c>
      <c r="G1" s="0" t="n">
        <f aca="false">F1+1</f>
        <v>7</v>
      </c>
      <c r="H1" s="0" t="n">
        <f aca="false">G1+1</f>
        <v>8</v>
      </c>
      <c r="I1" s="0" t="n">
        <f aca="false">H1+1</f>
        <v>9</v>
      </c>
      <c r="J1" s="0" t="n">
        <f aca="false">I1+1</f>
        <v>10</v>
      </c>
      <c r="K1" s="0" t="n">
        <f aca="false">J1+1</f>
        <v>11</v>
      </c>
      <c r="L1" s="0" t="n">
        <f aca="false">K1+1</f>
        <v>12</v>
      </c>
      <c r="M1" s="0" t="n">
        <f aca="false">L1+1</f>
        <v>13</v>
      </c>
      <c r="N1" s="0" t="n">
        <f aca="false">M1+1</f>
        <v>14</v>
      </c>
      <c r="O1" s="0" t="n">
        <f aca="false">N1+1</f>
        <v>15</v>
      </c>
      <c r="P1" s="0" t="n">
        <f aca="false">O1+1</f>
        <v>16</v>
      </c>
      <c r="Q1" s="0" t="n">
        <f aca="false">P1+1</f>
        <v>17</v>
      </c>
    </row>
    <row r="2" customFormat="false" ht="12.75" hidden="false" customHeight="false" outlineLevel="0" collapsed="false">
      <c r="B2" s="0" t="s">
        <v>73</v>
      </c>
      <c r="L2" s="0" t="s">
        <v>74</v>
      </c>
    </row>
    <row r="3" customFormat="false" ht="12.75" hidden="false" customHeight="false" outlineLevel="0" collapsed="false">
      <c r="B3" s="0" t="s">
        <v>17</v>
      </c>
      <c r="D3" s="0" t="s">
        <v>26</v>
      </c>
      <c r="L3" s="0" t="s">
        <v>17</v>
      </c>
      <c r="N3" s="0" t="s">
        <v>26</v>
      </c>
    </row>
    <row r="4" customFormat="false" ht="12.75" hidden="false" customHeight="false" outlineLevel="0" collapsed="false">
      <c r="B4" s="0" t="s">
        <v>75</v>
      </c>
      <c r="D4" s="0" t="s">
        <v>75</v>
      </c>
      <c r="E4" s="0" t="s">
        <v>31</v>
      </c>
      <c r="F4" s="0" t="s">
        <v>30</v>
      </c>
      <c r="G4" s="0" t="s">
        <v>32</v>
      </c>
      <c r="H4" s="0" t="s">
        <v>24</v>
      </c>
      <c r="I4" s="0" t="s">
        <v>28</v>
      </c>
      <c r="L4" s="0" t="s">
        <v>32</v>
      </c>
      <c r="N4" s="0" t="s">
        <v>31</v>
      </c>
      <c r="O4" s="0" t="s">
        <v>30</v>
      </c>
      <c r="P4" s="0" t="s">
        <v>32</v>
      </c>
      <c r="Q4" s="0" t="s">
        <v>24</v>
      </c>
    </row>
    <row r="5" customFormat="false" ht="12.75" hidden="false" customHeight="false" outlineLevel="0" collapsed="false">
      <c r="A5" s="30" t="n">
        <v>36892</v>
      </c>
      <c r="B5" s="7" t="n">
        <v>3.93</v>
      </c>
      <c r="C5" s="7"/>
      <c r="D5" s="7" t="n">
        <v>2.55</v>
      </c>
      <c r="E5" s="7" t="n">
        <v>9.83</v>
      </c>
      <c r="F5" s="7" t="n">
        <v>9.92</v>
      </c>
      <c r="G5" s="7" t="n">
        <v>9.84</v>
      </c>
      <c r="H5" s="7" t="n">
        <v>9.72</v>
      </c>
      <c r="I5" s="7" t="n">
        <v>9.91</v>
      </c>
      <c r="K5" s="30" t="n">
        <v>36892</v>
      </c>
      <c r="L5" s="6" t="n">
        <v>5100</v>
      </c>
      <c r="M5" s="6"/>
      <c r="N5" s="6" t="n">
        <v>4000</v>
      </c>
      <c r="O5" s="6" t="n">
        <v>5000</v>
      </c>
      <c r="P5" s="6" t="n">
        <v>3000</v>
      </c>
      <c r="Q5" s="6" t="n">
        <v>3000</v>
      </c>
    </row>
    <row r="6" customFormat="false" ht="12.75" hidden="false" customHeight="false" outlineLevel="0" collapsed="false">
      <c r="A6" s="30" t="n">
        <v>36923</v>
      </c>
      <c r="B6" s="7" t="n">
        <v>3.93</v>
      </c>
      <c r="C6" s="7"/>
      <c r="D6" s="7" t="n">
        <v>2.55</v>
      </c>
      <c r="E6" s="7" t="n">
        <v>6.12</v>
      </c>
      <c r="F6" s="7" t="n">
        <v>6.22</v>
      </c>
      <c r="G6" s="7" t="n">
        <v>6.13</v>
      </c>
      <c r="H6" s="7" t="n">
        <v>6.01</v>
      </c>
      <c r="I6" s="7" t="n">
        <v>6.22</v>
      </c>
      <c r="K6" s="30" t="n">
        <v>36923</v>
      </c>
      <c r="L6" s="6" t="n">
        <v>5100</v>
      </c>
      <c r="M6" s="6"/>
      <c r="N6" s="6" t="n">
        <v>4000</v>
      </c>
      <c r="O6" s="6" t="n">
        <v>5000</v>
      </c>
      <c r="P6" s="6" t="n">
        <v>3000</v>
      </c>
      <c r="Q6" s="6" t="n">
        <v>3000</v>
      </c>
    </row>
    <row r="7" customFormat="false" ht="12.75" hidden="false" customHeight="false" outlineLevel="0" collapsed="false">
      <c r="A7" s="30" t="n">
        <v>36951</v>
      </c>
      <c r="B7" s="7" t="n">
        <v>3.93</v>
      </c>
      <c r="C7" s="7"/>
      <c r="D7" s="7" t="n">
        <v>2.55</v>
      </c>
      <c r="E7" s="7" t="n">
        <v>4.9</v>
      </c>
      <c r="F7" s="7" t="n">
        <v>5.01</v>
      </c>
      <c r="G7" s="7" t="n">
        <v>4.86</v>
      </c>
      <c r="H7" s="7" t="n">
        <v>4.76</v>
      </c>
      <c r="I7" s="7" t="n">
        <v>5.03</v>
      </c>
      <c r="K7" s="30" t="n">
        <v>36951</v>
      </c>
      <c r="L7" s="6" t="n">
        <v>6800</v>
      </c>
      <c r="M7" s="6"/>
      <c r="N7" s="6" t="n">
        <v>4000</v>
      </c>
      <c r="O7" s="6" t="n">
        <v>5000</v>
      </c>
      <c r="P7" s="6" t="n">
        <v>3000</v>
      </c>
      <c r="Q7" s="6" t="n">
        <v>3000</v>
      </c>
    </row>
    <row r="8" customFormat="false" ht="12.75" hidden="false" customHeight="false" outlineLevel="0" collapsed="false">
      <c r="A8" s="30" t="n">
        <v>36982</v>
      </c>
      <c r="B8" s="7" t="n">
        <v>3.93</v>
      </c>
      <c r="C8" s="7"/>
      <c r="D8" s="7" t="n">
        <v>2.55</v>
      </c>
      <c r="E8" s="7" t="n">
        <v>5.29</v>
      </c>
      <c r="F8" s="7" t="n">
        <v>5.31</v>
      </c>
      <c r="G8" s="7" t="n">
        <v>5.29</v>
      </c>
      <c r="H8" s="7" t="n">
        <v>5.19</v>
      </c>
      <c r="I8" s="7" t="n">
        <v>5.35</v>
      </c>
      <c r="K8" s="30" t="n">
        <v>36982</v>
      </c>
      <c r="L8" s="6" t="n">
        <v>6800</v>
      </c>
      <c r="M8" s="6"/>
      <c r="N8" s="6" t="n">
        <v>4000</v>
      </c>
      <c r="O8" s="6" t="n">
        <v>5000</v>
      </c>
      <c r="P8" s="6" t="n">
        <v>3000</v>
      </c>
      <c r="Q8" s="6" t="n">
        <v>3000</v>
      </c>
    </row>
    <row r="9" customFormat="false" ht="12.75" hidden="false" customHeight="false" outlineLevel="0" collapsed="false">
      <c r="A9" s="30" t="n">
        <v>37012</v>
      </c>
      <c r="B9" s="7" t="n">
        <v>3.93</v>
      </c>
      <c r="C9" s="7"/>
      <c r="D9" s="7" t="n">
        <v>2.55</v>
      </c>
      <c r="E9" s="7" t="n">
        <v>4.77</v>
      </c>
      <c r="F9" s="7" t="n">
        <v>4.82</v>
      </c>
      <c r="G9" s="7" t="n">
        <v>4.71</v>
      </c>
      <c r="H9" s="7" t="n">
        <v>4.74</v>
      </c>
      <c r="I9" s="7" t="n">
        <v>4.87</v>
      </c>
      <c r="K9" s="30" t="n">
        <v>37012</v>
      </c>
      <c r="L9" s="6" t="n">
        <v>6800</v>
      </c>
      <c r="M9" s="6"/>
      <c r="N9" s="6" t="n">
        <v>4000</v>
      </c>
      <c r="O9" s="6" t="n">
        <v>5000</v>
      </c>
      <c r="P9" s="6" t="n">
        <v>3000</v>
      </c>
      <c r="Q9" s="6" t="n">
        <v>3000</v>
      </c>
    </row>
    <row r="10" customFormat="false" ht="12.75" hidden="false" customHeight="false" outlineLevel="0" collapsed="false">
      <c r="A10" s="30" t="n">
        <v>37043</v>
      </c>
      <c r="B10" s="7" t="n">
        <v>3.93</v>
      </c>
      <c r="C10" s="7"/>
      <c r="D10" s="7" t="n">
        <v>2.55</v>
      </c>
      <c r="E10" s="7" t="n">
        <v>3.64</v>
      </c>
      <c r="F10" s="7" t="n">
        <v>3.65</v>
      </c>
      <c r="G10" s="7" t="n">
        <v>3.57</v>
      </c>
      <c r="H10" s="7" t="n">
        <v>3.63</v>
      </c>
      <c r="I10" s="7" t="n">
        <v>3.73</v>
      </c>
      <c r="K10" s="30" t="n">
        <v>37043</v>
      </c>
      <c r="L10" s="6" t="n">
        <v>6800</v>
      </c>
      <c r="M10" s="6"/>
      <c r="N10" s="6" t="n">
        <v>4000</v>
      </c>
      <c r="O10" s="6" t="n">
        <v>5000</v>
      </c>
      <c r="P10" s="6" t="n">
        <v>3000</v>
      </c>
      <c r="Q10" s="6" t="n">
        <v>3000</v>
      </c>
    </row>
    <row r="11" customFormat="false" ht="12.75" hidden="false" customHeight="false" outlineLevel="0" collapsed="false">
      <c r="A11" s="30" t="n">
        <v>37073</v>
      </c>
      <c r="B11" s="7" t="n">
        <v>3.93</v>
      </c>
      <c r="C11" s="7"/>
      <c r="D11" s="7" t="n">
        <v>2.55</v>
      </c>
      <c r="E11" s="7" t="n">
        <v>3.07</v>
      </c>
      <c r="F11" s="7" t="n">
        <v>3.05</v>
      </c>
      <c r="G11" s="7" t="n">
        <v>3.03</v>
      </c>
      <c r="H11" s="7" t="n">
        <v>3.1</v>
      </c>
      <c r="I11" s="7" t="n">
        <v>3.16</v>
      </c>
      <c r="K11" s="30" t="n">
        <v>37073</v>
      </c>
      <c r="L11" s="6" t="n">
        <v>6800</v>
      </c>
      <c r="M11" s="6"/>
      <c r="N11" s="6" t="n">
        <v>4000</v>
      </c>
      <c r="O11" s="6" t="n">
        <v>5000</v>
      </c>
      <c r="P11" s="6" t="n">
        <v>3000</v>
      </c>
      <c r="Q11" s="6" t="n">
        <v>3000</v>
      </c>
    </row>
    <row r="12" customFormat="false" ht="12.75" hidden="false" customHeight="false" outlineLevel="0" collapsed="false">
      <c r="A12" s="30" t="n">
        <v>37104</v>
      </c>
      <c r="B12" s="7" t="n">
        <v>3.93</v>
      </c>
      <c r="C12" s="7"/>
      <c r="D12" s="7" t="n">
        <v>2.55</v>
      </c>
      <c r="E12" s="7" t="n">
        <v>3.07</v>
      </c>
      <c r="F12" s="7" t="n">
        <v>3.08</v>
      </c>
      <c r="G12" s="7" t="n">
        <v>3.09</v>
      </c>
      <c r="H12" s="7" t="n">
        <v>3.06</v>
      </c>
      <c r="I12" s="7" t="n">
        <v>3.19</v>
      </c>
      <c r="K12" s="30" t="n">
        <v>37104</v>
      </c>
      <c r="L12" s="6" t="n">
        <v>6800</v>
      </c>
      <c r="M12" s="6"/>
      <c r="N12" s="6" t="n">
        <v>4000</v>
      </c>
      <c r="O12" s="6" t="n">
        <v>5000</v>
      </c>
      <c r="P12" s="6" t="n">
        <v>3000</v>
      </c>
      <c r="Q12" s="6" t="n">
        <v>3000</v>
      </c>
    </row>
    <row r="13" customFormat="false" ht="12.75" hidden="false" customHeight="false" outlineLevel="0" collapsed="false">
      <c r="A13" s="30" t="n">
        <v>37135</v>
      </c>
      <c r="B13" s="7" t="n">
        <v>3.93</v>
      </c>
      <c r="C13" s="7"/>
      <c r="D13" s="7" t="n">
        <v>2.55</v>
      </c>
      <c r="E13" s="7" t="n">
        <v>2.22</v>
      </c>
      <c r="F13" s="7" t="n">
        <v>2.24</v>
      </c>
      <c r="G13" s="7" t="n">
        <v>2.24</v>
      </c>
      <c r="H13" s="7" t="n">
        <v>2.21</v>
      </c>
      <c r="I13" s="7" t="n">
        <v>2.34</v>
      </c>
      <c r="K13" s="30" t="n">
        <v>37135</v>
      </c>
      <c r="L13" s="6" t="n">
        <v>6800</v>
      </c>
      <c r="M13" s="6"/>
      <c r="N13" s="6" t="n">
        <v>4000</v>
      </c>
      <c r="O13" s="6" t="n">
        <v>5000</v>
      </c>
      <c r="P13" s="6" t="n">
        <v>3000</v>
      </c>
      <c r="Q13" s="6" t="n">
        <v>3000</v>
      </c>
    </row>
    <row r="14" customFormat="false" ht="12.75" hidden="false" customHeight="false" outlineLevel="0" collapsed="false">
      <c r="A14" s="30" t="n">
        <v>37165</v>
      </c>
      <c r="B14" s="7" t="n">
        <v>3.93</v>
      </c>
      <c r="C14" s="7"/>
      <c r="D14" s="7" t="n">
        <v>2.55</v>
      </c>
      <c r="E14" s="7" t="n">
        <v>1.74</v>
      </c>
      <c r="F14" s="7" t="n">
        <v>1.75</v>
      </c>
      <c r="G14" s="7" t="n">
        <v>1.74</v>
      </c>
      <c r="H14" s="7" t="n">
        <v>1.73</v>
      </c>
      <c r="I14" s="7" t="n">
        <v>1.86</v>
      </c>
      <c r="K14" s="30" t="n">
        <v>37165</v>
      </c>
      <c r="L14" s="6" t="n">
        <v>6800</v>
      </c>
      <c r="M14" s="6"/>
      <c r="N14" s="6" t="n">
        <v>4000</v>
      </c>
      <c r="O14" s="6" t="n">
        <v>5000</v>
      </c>
      <c r="P14" s="6" t="n">
        <v>3000</v>
      </c>
      <c r="Q14" s="6" t="n">
        <v>3000</v>
      </c>
    </row>
    <row r="15" customFormat="false" ht="12.75" hidden="false" customHeight="false" outlineLevel="0" collapsed="false">
      <c r="A15" s="30" t="n">
        <v>37196</v>
      </c>
      <c r="B15" s="7" t="n">
        <v>3.93</v>
      </c>
      <c r="C15" s="7"/>
      <c r="D15" s="7" t="n">
        <v>2.55</v>
      </c>
      <c r="E15" s="7" t="n">
        <v>3.07</v>
      </c>
      <c r="F15" s="7" t="n">
        <v>3.05</v>
      </c>
      <c r="G15" s="7" t="n">
        <v>3.08</v>
      </c>
      <c r="H15" s="7" t="n">
        <v>3.03</v>
      </c>
      <c r="I15" s="7" t="n">
        <v>3.16</v>
      </c>
      <c r="K15" s="30" t="n">
        <v>37196</v>
      </c>
      <c r="L15" s="6" t="n">
        <v>6800</v>
      </c>
      <c r="M15" s="6"/>
      <c r="N15" s="6" t="n">
        <v>4000</v>
      </c>
      <c r="O15" s="6" t="n">
        <v>5000</v>
      </c>
      <c r="P15" s="6" t="n">
        <v>3000</v>
      </c>
      <c r="Q15" s="6" t="n">
        <v>3000</v>
      </c>
    </row>
    <row r="16" customFormat="false" ht="12.75" hidden="false" customHeight="false" outlineLevel="0" collapsed="false">
      <c r="A16" s="30" t="n">
        <v>37226</v>
      </c>
      <c r="B16" s="7" t="n">
        <v>3.93</v>
      </c>
      <c r="C16" s="7"/>
      <c r="D16" s="7" t="n">
        <v>2.55</v>
      </c>
      <c r="E16" s="7" t="n">
        <v>2.22</v>
      </c>
      <c r="F16" s="7" t="n">
        <v>2.24</v>
      </c>
      <c r="G16" s="7" t="n">
        <v>2.23</v>
      </c>
      <c r="H16" s="7" t="n">
        <v>2.2</v>
      </c>
      <c r="I16" s="7" t="n">
        <v>2.28</v>
      </c>
      <c r="K16" s="30" t="n">
        <v>37226</v>
      </c>
      <c r="L16" s="6" t="n">
        <v>5100</v>
      </c>
      <c r="M16" s="6"/>
      <c r="N16" s="6" t="n">
        <v>4000</v>
      </c>
      <c r="O16" s="6" t="n">
        <v>5000</v>
      </c>
      <c r="P16" s="6" t="n">
        <v>3000</v>
      </c>
      <c r="Q16" s="6" t="n">
        <v>3000</v>
      </c>
    </row>
    <row r="17" customFormat="false" ht="12.75" hidden="false" customHeight="false" outlineLevel="0" collapsed="false">
      <c r="A17" s="30" t="n">
        <v>37257</v>
      </c>
      <c r="B17" s="7" t="n">
        <v>4.23</v>
      </c>
      <c r="C17" s="7"/>
      <c r="D17" s="7" t="n">
        <v>2.55</v>
      </c>
      <c r="E17" s="7" t="n">
        <v>2.5</v>
      </c>
      <c r="F17" s="7" t="n">
        <v>2.51</v>
      </c>
      <c r="G17" s="7" t="n">
        <v>2.49</v>
      </c>
      <c r="H17" s="7" t="n">
        <v>2.47</v>
      </c>
      <c r="I17" s="7" t="n">
        <v>2.61</v>
      </c>
      <c r="K17" s="30" t="n">
        <v>37257</v>
      </c>
      <c r="L17" s="6" t="n">
        <v>5100</v>
      </c>
      <c r="M17" s="6"/>
      <c r="N17" s="6" t="n">
        <v>4000</v>
      </c>
      <c r="O17" s="6" t="n">
        <v>5000</v>
      </c>
      <c r="P17" s="6" t="n">
        <v>3000</v>
      </c>
      <c r="Q17" s="6" t="n">
        <v>3000</v>
      </c>
    </row>
    <row r="18" customFormat="false" ht="12.75" hidden="false" customHeight="false" outlineLevel="0" collapsed="false">
      <c r="A18" s="30" t="n">
        <v>37288</v>
      </c>
      <c r="B18" s="7" t="n">
        <v>4.23</v>
      </c>
      <c r="C18" s="7"/>
      <c r="D18" s="7" t="n">
        <v>2.55</v>
      </c>
      <c r="E18" s="7" t="n">
        <v>1.94</v>
      </c>
      <c r="F18" s="7" t="n">
        <v>1.9</v>
      </c>
      <c r="G18" s="7" t="n">
        <v>1.93</v>
      </c>
      <c r="H18" s="7" t="n">
        <v>1.89</v>
      </c>
      <c r="I18" s="7" t="n">
        <v>2.03</v>
      </c>
      <c r="K18" s="30" t="n">
        <v>37288</v>
      </c>
      <c r="L18" s="6" t="n">
        <v>5100</v>
      </c>
      <c r="M18" s="6"/>
      <c r="N18" s="6" t="n">
        <v>4000</v>
      </c>
      <c r="O18" s="6" t="n">
        <v>5000</v>
      </c>
      <c r="P18" s="6" t="n">
        <v>3000</v>
      </c>
      <c r="Q18" s="6" t="n">
        <v>3000</v>
      </c>
    </row>
    <row r="19" customFormat="false" ht="12.75" hidden="false" customHeight="false" outlineLevel="0" collapsed="false">
      <c r="A19" s="30" t="n">
        <v>37316</v>
      </c>
      <c r="B19" s="7" t="n">
        <v>4.23</v>
      </c>
      <c r="C19" s="7"/>
      <c r="D19" s="7" t="n">
        <v>2.55</v>
      </c>
      <c r="E19" s="7" t="n">
        <v>2.33</v>
      </c>
      <c r="F19" s="7" t="n">
        <v>2.3</v>
      </c>
      <c r="G19" s="7" t="n">
        <v>2.32</v>
      </c>
      <c r="H19" s="7" t="n">
        <v>2.27</v>
      </c>
      <c r="I19" s="7" t="n">
        <v>2.39</v>
      </c>
      <c r="K19" s="30" t="n">
        <v>37316</v>
      </c>
      <c r="L19" s="6" t="n">
        <v>6800</v>
      </c>
      <c r="M19" s="6"/>
      <c r="N19" s="6" t="n">
        <v>4000</v>
      </c>
      <c r="O19" s="6" t="n">
        <v>5000</v>
      </c>
      <c r="P19" s="6" t="n">
        <v>3000</v>
      </c>
      <c r="Q19" s="6" t="n">
        <v>3000</v>
      </c>
    </row>
    <row r="20" customFormat="false" ht="12.75" hidden="false" customHeight="false" outlineLevel="0" collapsed="false">
      <c r="A20" s="30" t="n">
        <v>37347</v>
      </c>
      <c r="B20" s="7" t="n">
        <v>4.23</v>
      </c>
      <c r="C20" s="7"/>
      <c r="D20" s="7" t="n">
        <v>2.55</v>
      </c>
      <c r="E20" s="7" t="n">
        <v>3.31</v>
      </c>
      <c r="F20" s="7" t="n">
        <v>3.29</v>
      </c>
      <c r="G20" s="7" t="n">
        <v>3.33</v>
      </c>
      <c r="H20" s="7" t="n">
        <v>3.28</v>
      </c>
      <c r="I20" s="7" t="n">
        <v>3.4</v>
      </c>
      <c r="K20" s="30" t="n">
        <v>37347</v>
      </c>
      <c r="L20" s="6" t="n">
        <v>6800</v>
      </c>
      <c r="M20" s="6"/>
      <c r="N20" s="6" t="n">
        <v>4000</v>
      </c>
      <c r="O20" s="6" t="n">
        <v>5000</v>
      </c>
      <c r="P20" s="6" t="n">
        <v>3000</v>
      </c>
      <c r="Q20" s="6" t="n">
        <v>3000</v>
      </c>
    </row>
    <row r="21" customFormat="false" ht="12.75" hidden="false" customHeight="false" outlineLevel="0" collapsed="false">
      <c r="A21" s="30"/>
      <c r="B21" s="30"/>
      <c r="C21" s="30"/>
      <c r="D21" s="30"/>
      <c r="E21" s="7"/>
      <c r="F21" s="7"/>
      <c r="G21" s="7"/>
      <c r="H21" s="7"/>
      <c r="I21" s="7"/>
      <c r="L21" s="6"/>
      <c r="M21" s="6"/>
    </row>
    <row r="22" customFormat="false" ht="12.75" hidden="false" customHeight="false" outlineLevel="0" collapsed="false">
      <c r="A22" s="30"/>
      <c r="B22" s="30"/>
      <c r="C22" s="30"/>
      <c r="D22" s="30"/>
      <c r="E22" s="7"/>
      <c r="F22" s="7"/>
      <c r="G22" s="7"/>
      <c r="H22" s="7"/>
      <c r="I22" s="7"/>
      <c r="L22" s="6"/>
      <c r="M22" s="6"/>
    </row>
    <row r="23" customFormat="false" ht="12.75" hidden="false" customHeight="false" outlineLevel="0" collapsed="false">
      <c r="A23" s="30"/>
      <c r="B23" s="30"/>
      <c r="C23" s="30"/>
      <c r="D23" s="30"/>
      <c r="E23" s="7"/>
      <c r="F23" s="7"/>
      <c r="G23" s="7"/>
      <c r="H23" s="7"/>
      <c r="I23" s="7"/>
      <c r="L23" s="6"/>
      <c r="M23" s="6"/>
    </row>
    <row r="24" customFormat="false" ht="12.75" hidden="false" customHeight="false" outlineLevel="0" collapsed="false">
      <c r="A24" s="30"/>
      <c r="B24" s="30"/>
      <c r="C24" s="30"/>
      <c r="D24" s="30"/>
      <c r="E24" s="7"/>
      <c r="F24" s="7"/>
      <c r="G24" s="7"/>
      <c r="H24" s="7"/>
      <c r="I24" s="7"/>
      <c r="L24" s="6"/>
      <c r="M24" s="6"/>
    </row>
    <row r="25" customFormat="false" ht="12.75" hidden="false" customHeight="false" outlineLevel="0" collapsed="false">
      <c r="A25" s="30"/>
      <c r="B25" s="30"/>
      <c r="C25" s="30"/>
      <c r="D25" s="30"/>
      <c r="E25" s="7"/>
      <c r="F25" s="7"/>
      <c r="G25" s="7"/>
      <c r="H25" s="7"/>
      <c r="I25" s="7"/>
      <c r="L25" s="6"/>
      <c r="M25" s="6"/>
    </row>
    <row r="26" customFormat="false" ht="12.75" hidden="false" customHeight="false" outlineLevel="0" collapsed="false">
      <c r="A26" s="30"/>
      <c r="B26" s="30"/>
      <c r="C26" s="30"/>
      <c r="D26" s="30"/>
      <c r="E26" s="7"/>
      <c r="F26" s="7"/>
      <c r="G26" s="7"/>
      <c r="H26" s="7"/>
      <c r="I26" s="7"/>
    </row>
    <row r="27" customFormat="false" ht="12.75" hidden="false" customHeight="false" outlineLevel="0" collapsed="false">
      <c r="A27" s="30"/>
      <c r="B27" s="30"/>
      <c r="C27" s="30"/>
      <c r="D27" s="30"/>
      <c r="E27" s="7"/>
      <c r="F27" s="7"/>
      <c r="G27" s="7"/>
      <c r="H27" s="7"/>
      <c r="I27" s="7"/>
    </row>
    <row r="28" customFormat="false" ht="12.75" hidden="false" customHeight="false" outlineLevel="0" collapsed="false">
      <c r="E28" s="7"/>
      <c r="F28" s="7"/>
      <c r="G28" s="7"/>
      <c r="H28" s="7"/>
      <c r="I28" s="7"/>
    </row>
    <row r="29" customFormat="false" ht="12.75" hidden="false" customHeight="false" outlineLevel="0" collapsed="false">
      <c r="E29" s="7"/>
      <c r="F29" s="7"/>
      <c r="G29" s="7"/>
      <c r="H29" s="7"/>
      <c r="I29" s="7"/>
    </row>
    <row r="30" customFormat="false" ht="12.75" hidden="false" customHeight="false" outlineLevel="0" collapsed="false">
      <c r="E30" s="7"/>
      <c r="F30" s="7"/>
      <c r="G30" s="7"/>
      <c r="H30" s="7"/>
      <c r="I30" s="7"/>
    </row>
    <row r="31" customFormat="false" ht="12.75" hidden="false" customHeight="false" outlineLevel="0" collapsed="false">
      <c r="E31" s="7"/>
      <c r="F31" s="7"/>
      <c r="G31" s="7"/>
      <c r="H31" s="7"/>
      <c r="I31" s="7"/>
    </row>
    <row r="32" customFormat="false" ht="12.75" hidden="false" customHeight="false" outlineLevel="0" collapsed="false">
      <c r="E32" s="7"/>
      <c r="F32" s="7"/>
      <c r="G32" s="7"/>
      <c r="H32" s="7"/>
      <c r="I32" s="7"/>
    </row>
    <row r="33" customFormat="false" ht="12.75" hidden="false" customHeight="false" outlineLevel="0" collapsed="false">
      <c r="E33" s="7"/>
      <c r="F33" s="7"/>
      <c r="G33" s="7"/>
      <c r="H33" s="7"/>
      <c r="I33" s="7"/>
    </row>
    <row r="34" customFormat="false" ht="12.75" hidden="false" customHeight="false" outlineLevel="0" collapsed="false">
      <c r="E34" s="7"/>
      <c r="F34" s="7"/>
      <c r="G34" s="7"/>
      <c r="H34" s="7"/>
      <c r="I34" s="7"/>
    </row>
    <row r="35" customFormat="false" ht="12.75" hidden="false" customHeight="false" outlineLevel="0" collapsed="false">
      <c r="E35" s="7"/>
      <c r="F35" s="7"/>
      <c r="G35" s="7"/>
      <c r="H35" s="7"/>
      <c r="I35" s="7"/>
    </row>
    <row r="36" customFormat="false" ht="12.75" hidden="false" customHeight="false" outlineLevel="0" collapsed="false">
      <c r="E36" s="7"/>
      <c r="F36" s="7"/>
      <c r="G36" s="7"/>
      <c r="H36" s="7"/>
      <c r="I36" s="7"/>
    </row>
    <row r="37" customFormat="false" ht="12.75" hidden="false" customHeight="false" outlineLevel="0" collapsed="false">
      <c r="E37" s="7"/>
      <c r="F37" s="7"/>
      <c r="G37" s="7"/>
      <c r="H37" s="7"/>
      <c r="I37" s="7"/>
    </row>
    <row r="38" customFormat="false" ht="12.75" hidden="false" customHeight="false" outlineLevel="0" collapsed="false">
      <c r="E38" s="7"/>
      <c r="F38" s="7"/>
      <c r="G38" s="7"/>
      <c r="H38" s="7"/>
      <c r="I38" s="7"/>
    </row>
    <row r="39" customFormat="false" ht="12.75" hidden="false" customHeight="false" outlineLevel="0" collapsed="false">
      <c r="E39" s="7"/>
      <c r="F39" s="7"/>
      <c r="G39" s="7"/>
      <c r="H39" s="7"/>
      <c r="I39" s="7"/>
    </row>
    <row r="40" customFormat="false" ht="12.75" hidden="false" customHeight="false" outlineLevel="0" collapsed="false">
      <c r="E40" s="7"/>
      <c r="F40" s="7"/>
      <c r="G40" s="7"/>
      <c r="H40" s="7"/>
      <c r="I40" s="7"/>
    </row>
    <row r="41" customFormat="false" ht="12.75" hidden="false" customHeight="false" outlineLevel="0" collapsed="false">
      <c r="E41" s="7"/>
      <c r="F41" s="7"/>
      <c r="G41" s="7"/>
      <c r="H41" s="7"/>
      <c r="I41" s="7"/>
    </row>
    <row r="42" customFormat="false" ht="12.75" hidden="false" customHeight="false" outlineLevel="0" collapsed="false">
      <c r="E42" s="7"/>
      <c r="F42" s="7"/>
      <c r="G42" s="7"/>
      <c r="H42" s="7"/>
      <c r="I42" s="7"/>
    </row>
    <row r="43" customFormat="false" ht="12.75" hidden="false" customHeight="false" outlineLevel="0" collapsed="false">
      <c r="E43" s="7"/>
      <c r="F43" s="7"/>
      <c r="G43" s="7"/>
      <c r="H43" s="7"/>
      <c r="I43" s="7"/>
    </row>
    <row r="44" customFormat="false" ht="12.75" hidden="false" customHeight="false" outlineLevel="0" collapsed="false">
      <c r="E44" s="7"/>
      <c r="F44" s="7"/>
      <c r="G44" s="7"/>
      <c r="H44" s="7"/>
      <c r="I44" s="7"/>
    </row>
    <row r="45" customFormat="false" ht="12.75" hidden="false" customHeight="false" outlineLevel="0" collapsed="false">
      <c r="E45" s="7"/>
      <c r="F45" s="7"/>
      <c r="G45" s="7"/>
      <c r="H45" s="7"/>
      <c r="I45" s="7"/>
    </row>
    <row r="46" customFormat="false" ht="12.75" hidden="false" customHeight="false" outlineLevel="0" collapsed="false">
      <c r="E46" s="7"/>
      <c r="F46" s="7"/>
      <c r="G46" s="7"/>
      <c r="H46" s="7"/>
      <c r="I46" s="7"/>
    </row>
    <row r="47" customFormat="false" ht="12.75" hidden="false" customHeight="false" outlineLevel="0" collapsed="false">
      <c r="E47" s="7"/>
      <c r="F47" s="7"/>
      <c r="G47" s="7"/>
      <c r="H47" s="7"/>
      <c r="I47" s="7"/>
    </row>
    <row r="48" customFormat="false" ht="12.75" hidden="false" customHeight="false" outlineLevel="0" collapsed="false">
      <c r="E48" s="7"/>
      <c r="F48" s="7"/>
      <c r="G48" s="7"/>
      <c r="H48" s="7"/>
      <c r="I48" s="7"/>
    </row>
    <row r="49" customFormat="false" ht="12.75" hidden="false" customHeight="false" outlineLevel="0" collapsed="false">
      <c r="E49" s="7"/>
      <c r="F49" s="7"/>
      <c r="G49" s="7"/>
      <c r="H49" s="7"/>
      <c r="I49" s="7"/>
    </row>
    <row r="50" customFormat="false" ht="12.75" hidden="false" customHeight="false" outlineLevel="0" collapsed="false">
      <c r="E50" s="7"/>
      <c r="F50" s="7"/>
      <c r="G50" s="7"/>
      <c r="H50" s="7"/>
      <c r="I50" s="7"/>
    </row>
    <row r="51" customFormat="false" ht="12.75" hidden="false" customHeight="false" outlineLevel="0" collapsed="false">
      <c r="E51" s="7"/>
      <c r="F51" s="7"/>
      <c r="G51" s="7"/>
      <c r="H51" s="7"/>
      <c r="I51" s="7"/>
    </row>
    <row r="52" customFormat="false" ht="12.75" hidden="false" customHeight="false" outlineLevel="0" collapsed="false">
      <c r="E52" s="7"/>
      <c r="F52" s="7"/>
      <c r="G52" s="7"/>
      <c r="H52" s="7"/>
      <c r="I52" s="7"/>
    </row>
    <row r="53" customFormat="false" ht="12.75" hidden="false" customHeight="false" outlineLevel="0" collapsed="false">
      <c r="E53" s="7"/>
      <c r="F53" s="7"/>
      <c r="G53" s="7"/>
      <c r="H53" s="7"/>
      <c r="I53" s="7"/>
    </row>
    <row r="54" customFormat="false" ht="12.75" hidden="false" customHeight="false" outlineLevel="0" collapsed="false">
      <c r="E54" s="7"/>
      <c r="F54" s="7"/>
      <c r="G54" s="7"/>
      <c r="H54" s="7"/>
      <c r="I54" s="7"/>
    </row>
    <row r="55" customFormat="false" ht="12.75" hidden="false" customHeight="false" outlineLevel="0" collapsed="false">
      <c r="E55" s="7"/>
      <c r="F55" s="7"/>
      <c r="G55" s="7"/>
      <c r="H55" s="7"/>
      <c r="I55" s="7"/>
    </row>
    <row r="56" customFormat="false" ht="12.75" hidden="false" customHeight="false" outlineLevel="0" collapsed="false">
      <c r="E56" s="7"/>
      <c r="F56" s="7"/>
      <c r="G56" s="7"/>
      <c r="H56" s="7"/>
      <c r="I56" s="7"/>
    </row>
    <row r="57" customFormat="false" ht="12.75" hidden="false" customHeight="false" outlineLevel="0" collapsed="false">
      <c r="E57" s="7"/>
      <c r="F57" s="7"/>
      <c r="G57" s="7"/>
      <c r="H57" s="7"/>
      <c r="I57" s="7"/>
    </row>
    <row r="58" customFormat="false" ht="12.75" hidden="false" customHeight="false" outlineLevel="0" collapsed="false">
      <c r="E58" s="7"/>
      <c r="F58" s="7"/>
      <c r="G58" s="7"/>
      <c r="H58" s="7"/>
      <c r="I58" s="7"/>
    </row>
    <row r="59" customFormat="false" ht="12.75" hidden="false" customHeight="false" outlineLevel="0" collapsed="false">
      <c r="E59" s="7"/>
      <c r="F59" s="7"/>
      <c r="G59" s="7"/>
      <c r="H59" s="7"/>
      <c r="I59" s="7"/>
    </row>
    <row r="60" customFormat="false" ht="12.75" hidden="false" customHeight="false" outlineLevel="0" collapsed="false">
      <c r="E60" s="7"/>
      <c r="F60" s="7"/>
      <c r="G60" s="7"/>
      <c r="H60" s="7"/>
      <c r="I60" s="7"/>
    </row>
    <row r="61" customFormat="false" ht="12.75" hidden="false" customHeight="false" outlineLevel="0" collapsed="false">
      <c r="E61" s="7"/>
      <c r="F61" s="7"/>
      <c r="G61" s="7"/>
      <c r="H61" s="7"/>
      <c r="I61" s="7"/>
    </row>
    <row r="62" customFormat="false" ht="12.75" hidden="false" customHeight="false" outlineLevel="0" collapsed="false">
      <c r="E62" s="7"/>
      <c r="F62" s="7"/>
      <c r="G62" s="7"/>
      <c r="H62" s="7"/>
      <c r="I62" s="7"/>
    </row>
    <row r="63" customFormat="false" ht="12.75" hidden="false" customHeight="false" outlineLevel="0" collapsed="false">
      <c r="E63" s="7"/>
      <c r="F63" s="7"/>
      <c r="G63" s="7"/>
      <c r="H63" s="7"/>
      <c r="I63" s="7"/>
    </row>
    <row r="64" customFormat="false" ht="12.75" hidden="false" customHeight="false" outlineLevel="0" collapsed="false">
      <c r="E64" s="7"/>
      <c r="F64" s="7"/>
      <c r="G64" s="7"/>
      <c r="H64" s="7"/>
      <c r="I64" s="7"/>
    </row>
    <row r="65" customFormat="false" ht="12.75" hidden="false" customHeight="false" outlineLevel="0" collapsed="false">
      <c r="E65" s="7"/>
      <c r="F65" s="7"/>
      <c r="G65" s="7"/>
      <c r="H65" s="7"/>
      <c r="I65" s="7"/>
    </row>
    <row r="66" customFormat="false" ht="12.75" hidden="false" customHeight="false" outlineLevel="0" collapsed="false">
      <c r="E66" s="7"/>
      <c r="F66" s="7"/>
      <c r="G66" s="7"/>
      <c r="H66" s="7"/>
      <c r="I66" s="7"/>
    </row>
    <row r="67" customFormat="false" ht="12.75" hidden="false" customHeight="false" outlineLevel="0" collapsed="false">
      <c r="E67" s="7"/>
      <c r="F67" s="7"/>
      <c r="G67" s="7"/>
      <c r="H67" s="7"/>
      <c r="I67" s="7"/>
    </row>
    <row r="68" customFormat="false" ht="12.75" hidden="false" customHeight="false" outlineLevel="0" collapsed="false">
      <c r="E68" s="7"/>
      <c r="F68" s="7"/>
      <c r="G68" s="7"/>
      <c r="H68" s="7"/>
      <c r="I68" s="7"/>
    </row>
    <row r="69" customFormat="false" ht="12.75" hidden="false" customHeight="false" outlineLevel="0" collapsed="false">
      <c r="E69" s="7"/>
      <c r="F69" s="7"/>
      <c r="G69" s="7"/>
      <c r="H69" s="7"/>
      <c r="I69" s="7"/>
    </row>
    <row r="70" customFormat="false" ht="12.75" hidden="false" customHeight="false" outlineLevel="0" collapsed="false">
      <c r="E70" s="7"/>
      <c r="F70" s="7"/>
      <c r="G70" s="7"/>
      <c r="H70" s="7"/>
      <c r="I70" s="7"/>
    </row>
    <row r="71" customFormat="false" ht="12.75" hidden="false" customHeight="false" outlineLevel="0" collapsed="false">
      <c r="E71" s="7"/>
      <c r="F71" s="7"/>
      <c r="G71" s="7"/>
      <c r="H71" s="7"/>
      <c r="I71" s="7"/>
    </row>
    <row r="72" customFormat="false" ht="12.75" hidden="false" customHeight="false" outlineLevel="0" collapsed="false">
      <c r="E72" s="7"/>
      <c r="F72" s="7"/>
      <c r="G72" s="7"/>
      <c r="H72" s="7"/>
      <c r="I72" s="7"/>
    </row>
    <row r="73" customFormat="false" ht="12.75" hidden="false" customHeight="false" outlineLevel="0" collapsed="false">
      <c r="E73" s="7"/>
      <c r="F73" s="7"/>
      <c r="G73" s="7"/>
      <c r="H73" s="7"/>
      <c r="I73" s="7"/>
    </row>
    <row r="74" customFormat="false" ht="12.75" hidden="false" customHeight="false" outlineLevel="0" collapsed="false">
      <c r="E74" s="7"/>
      <c r="F74" s="7"/>
      <c r="G74" s="7"/>
      <c r="H74" s="7"/>
      <c r="I74" s="7"/>
    </row>
    <row r="75" customFormat="false" ht="12.75" hidden="false" customHeight="false" outlineLevel="0" collapsed="false">
      <c r="E75" s="7"/>
      <c r="F75" s="7"/>
      <c r="G75" s="7"/>
      <c r="H75" s="7"/>
      <c r="I75" s="7"/>
    </row>
    <row r="76" customFormat="false" ht="12.75" hidden="false" customHeight="false" outlineLevel="0" collapsed="false">
      <c r="E76" s="7"/>
      <c r="F76" s="7"/>
      <c r="G76" s="7"/>
      <c r="H76" s="7"/>
      <c r="I76" s="7"/>
    </row>
    <row r="77" customFormat="false" ht="12.75" hidden="false" customHeight="false" outlineLevel="0" collapsed="false">
      <c r="E77" s="7"/>
      <c r="F77" s="7"/>
      <c r="G77" s="7"/>
      <c r="H77" s="7"/>
      <c r="I77" s="7"/>
    </row>
    <row r="78" customFormat="false" ht="12.75" hidden="false" customHeight="false" outlineLevel="0" collapsed="false">
      <c r="E78" s="7"/>
      <c r="F78" s="7"/>
      <c r="G78" s="7"/>
      <c r="H78" s="7"/>
      <c r="I78" s="7"/>
    </row>
    <row r="79" customFormat="false" ht="12.75" hidden="false" customHeight="false" outlineLevel="0" collapsed="false">
      <c r="E79" s="7"/>
      <c r="F79" s="7"/>
      <c r="G79" s="7"/>
      <c r="H79" s="7"/>
      <c r="I79" s="7"/>
    </row>
    <row r="80" customFormat="false" ht="12.75" hidden="false" customHeight="false" outlineLevel="0" collapsed="false">
      <c r="E80" s="7"/>
      <c r="F80" s="7"/>
      <c r="G80" s="7"/>
      <c r="H80" s="7"/>
      <c r="I80" s="7"/>
    </row>
    <row r="81" customFormat="false" ht="12.75" hidden="false" customHeight="false" outlineLevel="0" collapsed="false">
      <c r="E81" s="7"/>
      <c r="F81" s="7"/>
      <c r="G81" s="7"/>
      <c r="H81" s="7"/>
      <c r="I81" s="7"/>
    </row>
    <row r="82" customFormat="false" ht="12.75" hidden="false" customHeight="false" outlineLevel="0" collapsed="false">
      <c r="E82" s="7"/>
      <c r="F82" s="7"/>
      <c r="G82" s="7"/>
      <c r="H82" s="7"/>
      <c r="I82" s="7"/>
    </row>
    <row r="83" customFormat="false" ht="12.75" hidden="false" customHeight="false" outlineLevel="0" collapsed="false">
      <c r="E83" s="7"/>
      <c r="F83" s="7"/>
      <c r="G83" s="7"/>
      <c r="H83" s="7"/>
      <c r="I83" s="7"/>
    </row>
    <row r="84" customFormat="false" ht="12.75" hidden="false" customHeight="false" outlineLevel="0" collapsed="false">
      <c r="E84" s="7"/>
      <c r="F84" s="7"/>
      <c r="G84" s="7"/>
      <c r="H84" s="7"/>
      <c r="I84" s="7"/>
    </row>
    <row r="85" customFormat="false" ht="12.75" hidden="false" customHeight="false" outlineLevel="0" collapsed="false">
      <c r="E85" s="7"/>
      <c r="F85" s="7"/>
      <c r="G85" s="7"/>
      <c r="H85" s="7"/>
      <c r="I85" s="7"/>
    </row>
    <row r="86" customFormat="false" ht="12.75" hidden="false" customHeight="false" outlineLevel="0" collapsed="false">
      <c r="E86" s="7"/>
      <c r="F86" s="7"/>
      <c r="G86" s="7"/>
      <c r="H86" s="7"/>
      <c r="I86" s="7"/>
    </row>
    <row r="87" customFormat="false" ht="12.75" hidden="false" customHeight="false" outlineLevel="0" collapsed="false">
      <c r="E87" s="7"/>
      <c r="F87" s="7"/>
      <c r="G87" s="7"/>
      <c r="H87" s="7"/>
      <c r="I87" s="7"/>
    </row>
    <row r="88" customFormat="false" ht="12.75" hidden="false" customHeight="false" outlineLevel="0" collapsed="false">
      <c r="E88" s="7"/>
      <c r="F88" s="7"/>
      <c r="G88" s="7"/>
      <c r="H88" s="7"/>
      <c r="I88" s="7"/>
    </row>
    <row r="89" customFormat="false" ht="12.75" hidden="false" customHeight="false" outlineLevel="0" collapsed="false">
      <c r="E89" s="7"/>
      <c r="F89" s="7"/>
      <c r="G89" s="7"/>
      <c r="H89" s="7"/>
      <c r="I89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3" min="3" style="0" width="2.28"/>
    <col collapsed="false" customWidth="true" hidden="false" outlineLevel="0" max="4" min="4" style="0" width="9.41"/>
    <col collapsed="false" customWidth="true" hidden="false" outlineLevel="0" max="6" min="5" style="0" width="9.28"/>
    <col collapsed="false" customWidth="true" hidden="false" outlineLevel="0" max="7" min="7" style="0" width="11.28"/>
    <col collapsed="false" customWidth="true" hidden="false" outlineLevel="0" max="8" min="8" style="0" width="2.84"/>
    <col collapsed="false" customWidth="true" hidden="false" outlineLevel="0" max="9" min="9" style="0" width="8.14"/>
    <col collapsed="false" customWidth="true" hidden="false" outlineLevel="0" max="10" min="10" style="0" width="9.28"/>
    <col collapsed="false" customWidth="true" hidden="false" outlineLevel="0" max="11" min="11" style="0" width="2.42"/>
    <col collapsed="false" customWidth="true" hidden="false" outlineLevel="0" max="12" min="12" style="0" width="8.85"/>
    <col collapsed="false" customWidth="true" hidden="false" outlineLevel="0" max="13" min="13" style="0" width="9.28"/>
    <col collapsed="false" customWidth="true" hidden="false" outlineLevel="0" max="14" min="14" style="0" width="7.42"/>
    <col collapsed="false" customWidth="true" hidden="false" outlineLevel="0" max="15" min="15" style="0" width="8.99"/>
    <col collapsed="false" customWidth="true" hidden="false" outlineLevel="0" max="16" min="16" style="0" width="2.7"/>
    <col collapsed="false" customWidth="true" hidden="false" outlineLevel="0" max="17" min="17" style="0" width="8.56"/>
    <col collapsed="false" customWidth="true" hidden="false" outlineLevel="0" max="18" min="18" style="0" width="9.28"/>
    <col collapsed="false" customWidth="true" hidden="false" outlineLevel="0" max="19" min="19" style="0" width="7.42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7.99"/>
    <col collapsed="false" customWidth="true" hidden="false" outlineLevel="0" max="24" min="24" style="0" width="7.56"/>
    <col collapsed="false" customWidth="true" hidden="false" outlineLevel="0" max="25" min="25" style="0" width="10.13"/>
    <col collapsed="false" customWidth="true" hidden="false" outlineLevel="0" max="26" min="26" style="0" width="2.42"/>
    <col collapsed="false" customWidth="true" hidden="false" outlineLevel="0" max="27" min="27" style="0" width="7.99"/>
    <col collapsed="false" customWidth="true" hidden="false" outlineLevel="0" max="28" min="28" style="0" width="8.41"/>
    <col collapsed="false" customWidth="true" hidden="false" outlineLevel="0" max="29" min="29" style="0" width="7.7"/>
    <col collapsed="false" customWidth="true" hidden="false" outlineLevel="0" max="30" min="30" style="0" width="10.13"/>
    <col collapsed="false" customWidth="true" hidden="false" outlineLevel="0" max="31" min="31" style="0" width="2.56"/>
    <col collapsed="false" customWidth="true" hidden="false" outlineLevel="0" max="32" min="32" style="0" width="9.28"/>
    <col collapsed="false" customWidth="true" hidden="false" outlineLevel="0" max="33" min="33" style="0" width="10.71"/>
    <col collapsed="false" customWidth="true" hidden="false" outlineLevel="0" max="34" min="34" style="0" width="2.56"/>
    <col collapsed="false" customWidth="true" hidden="false" outlineLevel="0" max="35" min="35" style="0" width="11.85"/>
    <col collapsed="false" customWidth="true" hidden="false" outlineLevel="0" max="36" min="36" style="0" width="10.13"/>
  </cols>
  <sheetData>
    <row r="1" customFormat="false" ht="12.75" hidden="false" customHeight="false" outlineLevel="0" collapsed="false">
      <c r="D1" s="31" t="s">
        <v>26</v>
      </c>
      <c r="E1" s="31"/>
      <c r="F1" s="31"/>
      <c r="G1" s="31"/>
      <c r="I1" s="32" t="s">
        <v>26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customFormat="false" ht="12.75" hidden="false" customHeight="false" outlineLevel="0" collapsed="false">
      <c r="J2" s="1" t="s">
        <v>28</v>
      </c>
      <c r="L2" s="1" t="s">
        <v>30</v>
      </c>
      <c r="Q2" s="1" t="s">
        <v>31</v>
      </c>
      <c r="V2" s="1" t="s">
        <v>32</v>
      </c>
      <c r="AA2" s="1" t="s">
        <v>24</v>
      </c>
      <c r="AF2" s="1" t="s">
        <v>76</v>
      </c>
      <c r="AI2" s="1" t="s">
        <v>77</v>
      </c>
    </row>
    <row r="3" customFormat="false" ht="25.5" hidden="false" customHeight="false" outlineLevel="0" collapsed="false">
      <c r="A3" s="25" t="s">
        <v>78</v>
      </c>
      <c r="B3" s="25" t="s">
        <v>79</v>
      </c>
      <c r="C3" s="25"/>
      <c r="D3" s="25" t="s">
        <v>80</v>
      </c>
      <c r="E3" s="25" t="s">
        <v>80</v>
      </c>
      <c r="F3" s="25" t="s">
        <v>75</v>
      </c>
      <c r="G3" s="25" t="s">
        <v>81</v>
      </c>
      <c r="H3" s="25"/>
      <c r="I3" s="25" t="s">
        <v>75</v>
      </c>
      <c r="J3" s="25" t="s">
        <v>82</v>
      </c>
      <c r="K3" s="25"/>
      <c r="L3" s="25" t="s">
        <v>80</v>
      </c>
      <c r="M3" s="25" t="s">
        <v>29</v>
      </c>
      <c r="N3" s="25" t="s">
        <v>83</v>
      </c>
      <c r="O3" s="25" t="s">
        <v>81</v>
      </c>
      <c r="P3" s="25"/>
      <c r="Q3" s="25" t="s">
        <v>80</v>
      </c>
      <c r="R3" s="25" t="s">
        <v>29</v>
      </c>
      <c r="S3" s="25" t="s">
        <v>83</v>
      </c>
      <c r="T3" s="25" t="s">
        <v>81</v>
      </c>
      <c r="U3" s="25"/>
      <c r="V3" s="25" t="s">
        <v>80</v>
      </c>
      <c r="W3" s="25" t="s">
        <v>29</v>
      </c>
      <c r="X3" s="25" t="s">
        <v>83</v>
      </c>
      <c r="Y3" s="25" t="s">
        <v>81</v>
      </c>
      <c r="Z3" s="25"/>
      <c r="AA3" s="25" t="s">
        <v>80</v>
      </c>
      <c r="AB3" s="25" t="s">
        <v>29</v>
      </c>
      <c r="AC3" s="25" t="s">
        <v>83</v>
      </c>
      <c r="AD3" s="25" t="s">
        <v>81</v>
      </c>
      <c r="AE3" s="25"/>
      <c r="AF3" s="25" t="s">
        <v>80</v>
      </c>
      <c r="AG3" s="25" t="s">
        <v>84</v>
      </c>
      <c r="AH3" s="25"/>
      <c r="AI3" s="25" t="s">
        <v>80</v>
      </c>
      <c r="AJ3" s="25" t="s">
        <v>84</v>
      </c>
    </row>
    <row r="4" customFormat="false" ht="12.75" hidden="false" customHeight="false" outlineLevel="0" collapsed="false">
      <c r="A4" s="30" t="n">
        <v>36892</v>
      </c>
      <c r="B4" s="33" t="n">
        <f aca="false">A5-A4</f>
        <v>31</v>
      </c>
      <c r="C4" s="33"/>
      <c r="D4" s="6" t="n">
        <f aca="false">VLOOKUP($A4,lookup_table,12)*$B4</f>
        <v>158100</v>
      </c>
      <c r="E4" s="6" t="n">
        <f aca="false">$B4*D4</f>
        <v>4901100</v>
      </c>
      <c r="F4" s="34" t="n">
        <f aca="false">VLOOKUP($A4,lookup_table,2)</f>
        <v>3.93</v>
      </c>
      <c r="G4" s="35" t="n">
        <f aca="false">D4*F4</f>
        <v>621333</v>
      </c>
      <c r="H4" s="34"/>
      <c r="I4" s="34" t="n">
        <f aca="false">VLOOKUP($A4,lookup_table,4)</f>
        <v>2.55</v>
      </c>
      <c r="J4" s="34" t="n">
        <f aca="false">VLOOKUP($A4,lookup_table,9)</f>
        <v>9.91</v>
      </c>
      <c r="K4" s="30"/>
      <c r="L4" s="6" t="n">
        <f aca="false">VLOOKUP($A4,lookup_table,15)*$B4</f>
        <v>155000</v>
      </c>
      <c r="M4" s="34" t="n">
        <f aca="false">VLOOKUP($A4,lookup_table,6)</f>
        <v>9.92</v>
      </c>
      <c r="N4" s="34" t="n">
        <f aca="false">$I4-($J4-M4)</f>
        <v>2.56</v>
      </c>
      <c r="O4" s="35" t="n">
        <f aca="false">L4*N4</f>
        <v>396800</v>
      </c>
      <c r="Q4" s="6" t="n">
        <f aca="false">VLOOKUP($A4,lookup_table,14)*$B4</f>
        <v>124000</v>
      </c>
      <c r="R4" s="34" t="n">
        <f aca="false">VLOOKUP($A4,lookup_table,5)</f>
        <v>9.83</v>
      </c>
      <c r="S4" s="34" t="n">
        <f aca="false">$I4-($J4-R4)</f>
        <v>2.47</v>
      </c>
      <c r="T4" s="35" t="n">
        <f aca="false">Q4*S4</f>
        <v>306280</v>
      </c>
      <c r="V4" s="6" t="n">
        <f aca="false">VLOOKUP($A4,lookup_table,16)*$B4</f>
        <v>93000</v>
      </c>
      <c r="W4" s="34" t="n">
        <f aca="false">VLOOKUP($A4,lookup_table,7)</f>
        <v>9.84</v>
      </c>
      <c r="X4" s="34" t="n">
        <f aca="false">$I4-($J4-W4)</f>
        <v>2.48</v>
      </c>
      <c r="Y4" s="35" t="n">
        <f aca="false">V4*X4</f>
        <v>230640</v>
      </c>
      <c r="AA4" s="6" t="n">
        <f aca="false">VLOOKUP($A4,lookup_table,17)*$B4</f>
        <v>93000</v>
      </c>
      <c r="AB4" s="34" t="n">
        <f aca="false">VLOOKUP($A4,lookup_table,8)</f>
        <v>9.72</v>
      </c>
      <c r="AC4" s="34" t="n">
        <f aca="false">$I4-($J4-AB4)</f>
        <v>2.36</v>
      </c>
      <c r="AD4" s="35" t="n">
        <f aca="false">AA4*AC4</f>
        <v>219480</v>
      </c>
      <c r="AF4" s="6" t="n">
        <f aca="false">(L4+Q4+V4+AA4)</f>
        <v>465000</v>
      </c>
      <c r="AG4" s="35" t="n">
        <f aca="false">O4+T4+Y4+AD4</f>
        <v>1153200</v>
      </c>
      <c r="AI4" s="6" t="n">
        <f aca="false">E4+AF4</f>
        <v>5366100</v>
      </c>
      <c r="AJ4" s="6" t="n">
        <f aca="false">G4+AG4</f>
        <v>1774533</v>
      </c>
    </row>
    <row r="5" customFormat="false" ht="12.75" hidden="false" customHeight="false" outlineLevel="0" collapsed="false">
      <c r="A5" s="30" t="n">
        <v>36923</v>
      </c>
      <c r="B5" s="33" t="n">
        <f aca="false">A6-A5</f>
        <v>28</v>
      </c>
      <c r="C5" s="33"/>
      <c r="D5" s="6" t="n">
        <f aca="false">VLOOKUP($A5,lookup_table,12)*$B5</f>
        <v>142800</v>
      </c>
      <c r="E5" s="6" t="n">
        <f aca="false">$B5*D5</f>
        <v>3998400</v>
      </c>
      <c r="F5" s="34" t="n">
        <f aca="false">VLOOKUP($A5,lookup_table,2)</f>
        <v>3.93</v>
      </c>
      <c r="G5" s="35" t="n">
        <f aca="false">D5*F5</f>
        <v>561204</v>
      </c>
      <c r="H5" s="34"/>
      <c r="I5" s="34" t="n">
        <f aca="false">VLOOKUP($A5,lookup_table,4)</f>
        <v>2.55</v>
      </c>
      <c r="J5" s="34" t="n">
        <f aca="false">VLOOKUP($A5,lookup_table,9)</f>
        <v>6.22</v>
      </c>
      <c r="K5" s="30"/>
      <c r="L5" s="6" t="n">
        <f aca="false">VLOOKUP($A5,lookup_table,15)*$B5</f>
        <v>140000</v>
      </c>
      <c r="M5" s="34" t="n">
        <f aca="false">VLOOKUP($A5,lookup_table,6)</f>
        <v>6.22</v>
      </c>
      <c r="N5" s="34" t="n">
        <f aca="false">$I5-($J5-M5)</f>
        <v>2.55</v>
      </c>
      <c r="O5" s="35" t="n">
        <f aca="false">L5*N5</f>
        <v>357000</v>
      </c>
      <c r="Q5" s="6" t="n">
        <f aca="false">VLOOKUP($A5,lookup_table,14)*$B5</f>
        <v>112000</v>
      </c>
      <c r="R5" s="34" t="n">
        <f aca="false">VLOOKUP($A5,lookup_table,5)</f>
        <v>6.12</v>
      </c>
      <c r="S5" s="34" t="n">
        <f aca="false">$I5-($J5-R5)</f>
        <v>2.45</v>
      </c>
      <c r="T5" s="35" t="n">
        <f aca="false">Q5*S5</f>
        <v>274400</v>
      </c>
      <c r="V5" s="6" t="n">
        <f aca="false">VLOOKUP($A5,lookup_table,16)*$B5</f>
        <v>84000</v>
      </c>
      <c r="W5" s="34" t="n">
        <f aca="false">VLOOKUP($A5,lookup_table,7)</f>
        <v>6.13</v>
      </c>
      <c r="X5" s="34" t="n">
        <f aca="false">$I5-($J5-W5)</f>
        <v>2.46</v>
      </c>
      <c r="Y5" s="35" t="n">
        <f aca="false">V5*X5</f>
        <v>206640</v>
      </c>
      <c r="AA5" s="6" t="n">
        <f aca="false">VLOOKUP($A5,lookup_table,17)*$B5</f>
        <v>84000</v>
      </c>
      <c r="AB5" s="34" t="n">
        <f aca="false">VLOOKUP($A5,lookup_table,8)</f>
        <v>6.01</v>
      </c>
      <c r="AC5" s="34" t="n">
        <f aca="false">$I5-($J5-AB5)</f>
        <v>2.34</v>
      </c>
      <c r="AD5" s="35" t="n">
        <f aca="false">AA5*AC5</f>
        <v>196560</v>
      </c>
      <c r="AF5" s="6" t="n">
        <f aca="false">(L5+Q5+V5+AA5)</f>
        <v>420000</v>
      </c>
      <c r="AG5" s="35" t="n">
        <f aca="false">O5+T5+Y5+AD5</f>
        <v>1034600</v>
      </c>
      <c r="AI5" s="6" t="n">
        <f aca="false">E5+AF5</f>
        <v>4418400</v>
      </c>
      <c r="AJ5" s="6" t="n">
        <f aca="false">G5+AG5</f>
        <v>1595804</v>
      </c>
    </row>
    <row r="6" customFormat="false" ht="12.75" hidden="false" customHeight="false" outlineLevel="0" collapsed="false">
      <c r="A6" s="30" t="n">
        <v>36951</v>
      </c>
      <c r="B6" s="33" t="n">
        <f aca="false">A7-A6</f>
        <v>31</v>
      </c>
      <c r="C6" s="33"/>
      <c r="D6" s="6" t="n">
        <f aca="false">VLOOKUP($A6,lookup_table,12)*$B6</f>
        <v>210800</v>
      </c>
      <c r="E6" s="6" t="n">
        <f aca="false">$B6*D6</f>
        <v>6534800</v>
      </c>
      <c r="F6" s="34" t="n">
        <f aca="false">VLOOKUP($A6,lookup_table,2)</f>
        <v>3.93</v>
      </c>
      <c r="G6" s="35" t="n">
        <f aca="false">D6*F6</f>
        <v>828444</v>
      </c>
      <c r="H6" s="34"/>
      <c r="I6" s="34" t="n">
        <f aca="false">VLOOKUP($A6,lookup_table,4)</f>
        <v>2.55</v>
      </c>
      <c r="J6" s="34" t="n">
        <f aca="false">VLOOKUP($A6,lookup_table,9)</f>
        <v>5.03</v>
      </c>
      <c r="K6" s="30"/>
      <c r="L6" s="6" t="n">
        <f aca="false">VLOOKUP($A6,lookup_table,15)*$B6</f>
        <v>155000</v>
      </c>
      <c r="M6" s="34" t="n">
        <f aca="false">VLOOKUP($A6,lookup_table,6)</f>
        <v>5.01</v>
      </c>
      <c r="N6" s="34" t="n">
        <f aca="false">$I6-($J6-M6)</f>
        <v>2.53</v>
      </c>
      <c r="O6" s="35" t="n">
        <f aca="false">L6*N6</f>
        <v>392150</v>
      </c>
      <c r="Q6" s="6" t="n">
        <f aca="false">VLOOKUP($A6,lookup_table,14)*$B6</f>
        <v>124000</v>
      </c>
      <c r="R6" s="34" t="n">
        <f aca="false">VLOOKUP($A6,lookup_table,5)</f>
        <v>4.9</v>
      </c>
      <c r="S6" s="34" t="n">
        <f aca="false">$I6-($J6-R6)</f>
        <v>2.42</v>
      </c>
      <c r="T6" s="35" t="n">
        <f aca="false">Q6*S6</f>
        <v>300080</v>
      </c>
      <c r="V6" s="6" t="n">
        <f aca="false">VLOOKUP($A6,lookup_table,16)*$B6</f>
        <v>93000</v>
      </c>
      <c r="W6" s="34" t="n">
        <f aca="false">VLOOKUP($A6,lookup_table,7)</f>
        <v>4.86</v>
      </c>
      <c r="X6" s="34" t="n">
        <f aca="false">$I6-($J6-W6)</f>
        <v>2.38</v>
      </c>
      <c r="Y6" s="35" t="n">
        <f aca="false">V6*X6</f>
        <v>221340</v>
      </c>
      <c r="AA6" s="6" t="n">
        <f aca="false">VLOOKUP($A6,lookup_table,17)*$B6</f>
        <v>93000</v>
      </c>
      <c r="AB6" s="34" t="n">
        <f aca="false">VLOOKUP($A6,lookup_table,8)</f>
        <v>4.76</v>
      </c>
      <c r="AC6" s="34" t="n">
        <f aca="false">$I6-($J6-AB6)</f>
        <v>2.28</v>
      </c>
      <c r="AD6" s="35" t="n">
        <f aca="false">AA6*AC6</f>
        <v>212040</v>
      </c>
      <c r="AF6" s="6" t="n">
        <f aca="false">(L6+Q6+V6+AA6)</f>
        <v>465000</v>
      </c>
      <c r="AG6" s="35" t="n">
        <f aca="false">O6+T6+Y6+AD6</f>
        <v>1125610</v>
      </c>
      <c r="AI6" s="6" t="n">
        <f aca="false">E6+AF6</f>
        <v>6999800</v>
      </c>
      <c r="AJ6" s="6" t="n">
        <f aca="false">G6+AG6</f>
        <v>1954054</v>
      </c>
    </row>
    <row r="7" customFormat="false" ht="12.75" hidden="false" customHeight="false" outlineLevel="0" collapsed="false">
      <c r="A7" s="30" t="n">
        <v>36982</v>
      </c>
      <c r="B7" s="33" t="n">
        <f aca="false">A8-A7</f>
        <v>30</v>
      </c>
      <c r="C7" s="33"/>
      <c r="D7" s="6" t="n">
        <f aca="false">VLOOKUP($A7,lookup_table,12)*$B7</f>
        <v>204000</v>
      </c>
      <c r="E7" s="6" t="n">
        <f aca="false">$B7*D7</f>
        <v>6120000</v>
      </c>
      <c r="F7" s="34" t="n">
        <f aca="false">VLOOKUP($A7,lookup_table,2)</f>
        <v>3.93</v>
      </c>
      <c r="G7" s="35" t="n">
        <f aca="false">D7*F7</f>
        <v>801720</v>
      </c>
      <c r="H7" s="34"/>
      <c r="I7" s="34" t="n">
        <f aca="false">VLOOKUP($A7,lookup_table,4)</f>
        <v>2.55</v>
      </c>
      <c r="J7" s="34" t="n">
        <f aca="false">VLOOKUP($A7,lookup_table,9)</f>
        <v>5.35</v>
      </c>
      <c r="K7" s="30"/>
      <c r="L7" s="6" t="n">
        <f aca="false">VLOOKUP($A7,lookup_table,15)*$B7</f>
        <v>150000</v>
      </c>
      <c r="M7" s="34" t="n">
        <f aca="false">VLOOKUP($A7,lookup_table,6)</f>
        <v>5.31</v>
      </c>
      <c r="N7" s="34" t="n">
        <f aca="false">$I7-($J7-M7)</f>
        <v>2.51</v>
      </c>
      <c r="O7" s="35" t="n">
        <f aca="false">L7*N7</f>
        <v>376500</v>
      </c>
      <c r="Q7" s="6" t="n">
        <f aca="false">VLOOKUP($A7,lookup_table,14)*$B7</f>
        <v>120000</v>
      </c>
      <c r="R7" s="34" t="n">
        <f aca="false">VLOOKUP($A7,lookup_table,5)</f>
        <v>5.29</v>
      </c>
      <c r="S7" s="34" t="n">
        <f aca="false">$I7-($J7-R7)</f>
        <v>2.49</v>
      </c>
      <c r="T7" s="35" t="n">
        <f aca="false">Q7*S7</f>
        <v>298800</v>
      </c>
      <c r="V7" s="6" t="n">
        <f aca="false">VLOOKUP($A7,lookup_table,16)*$B7</f>
        <v>90000</v>
      </c>
      <c r="W7" s="34" t="n">
        <f aca="false">VLOOKUP($A7,lookup_table,7)</f>
        <v>5.29</v>
      </c>
      <c r="X7" s="34" t="n">
        <f aca="false">$I7-($J7-W7)</f>
        <v>2.49</v>
      </c>
      <c r="Y7" s="35" t="n">
        <f aca="false">V7*X7</f>
        <v>224100</v>
      </c>
      <c r="AA7" s="6" t="n">
        <f aca="false">VLOOKUP($A7,lookup_table,17)*$B7</f>
        <v>90000</v>
      </c>
      <c r="AB7" s="34" t="n">
        <f aca="false">VLOOKUP($A7,lookup_table,8)</f>
        <v>5.19</v>
      </c>
      <c r="AC7" s="34" t="n">
        <f aca="false">$I7-($J7-AB7)</f>
        <v>2.39</v>
      </c>
      <c r="AD7" s="35" t="n">
        <f aca="false">AA7*AC7</f>
        <v>215100</v>
      </c>
      <c r="AF7" s="6" t="n">
        <f aca="false">(L7+Q7+V7+AA7)</f>
        <v>450000</v>
      </c>
      <c r="AG7" s="35" t="n">
        <f aca="false">O7+T7+Y7+AD7</f>
        <v>1114500</v>
      </c>
      <c r="AI7" s="6" t="n">
        <f aca="false">E7+AF7</f>
        <v>6570000</v>
      </c>
      <c r="AJ7" s="6" t="n">
        <f aca="false">G7+AG7</f>
        <v>1916220</v>
      </c>
    </row>
    <row r="8" customFormat="false" ht="12.75" hidden="false" customHeight="false" outlineLevel="0" collapsed="false">
      <c r="A8" s="30" t="n">
        <v>37012</v>
      </c>
      <c r="B8" s="33" t="n">
        <f aca="false">A9-A8</f>
        <v>31</v>
      </c>
      <c r="C8" s="33"/>
      <c r="D8" s="6" t="n">
        <f aca="false">VLOOKUP($A8,lookup_table,12)*$B8</f>
        <v>210800</v>
      </c>
      <c r="E8" s="6" t="n">
        <f aca="false">$B8*D8</f>
        <v>6534800</v>
      </c>
      <c r="F8" s="34" t="n">
        <f aca="false">VLOOKUP($A8,lookup_table,2)</f>
        <v>3.93</v>
      </c>
      <c r="G8" s="35" t="n">
        <f aca="false">D8*F8</f>
        <v>828444</v>
      </c>
      <c r="H8" s="34"/>
      <c r="I8" s="34" t="n">
        <f aca="false">VLOOKUP($A8,lookup_table,4)</f>
        <v>2.55</v>
      </c>
      <c r="J8" s="34" t="n">
        <f aca="false">VLOOKUP($A8,lookup_table,9)</f>
        <v>4.87</v>
      </c>
      <c r="K8" s="30"/>
      <c r="L8" s="6" t="n">
        <f aca="false">VLOOKUP($A8,lookup_table,15)*$B8</f>
        <v>155000</v>
      </c>
      <c r="M8" s="34" t="n">
        <f aca="false">VLOOKUP($A8,lookup_table,6)</f>
        <v>4.82</v>
      </c>
      <c r="N8" s="34" t="n">
        <f aca="false">$I8-($J8-M8)</f>
        <v>2.5</v>
      </c>
      <c r="O8" s="35" t="n">
        <f aca="false">L8*N8</f>
        <v>387500</v>
      </c>
      <c r="Q8" s="6" t="n">
        <f aca="false">VLOOKUP($A8,lookup_table,14)*$B8</f>
        <v>124000</v>
      </c>
      <c r="R8" s="34" t="n">
        <f aca="false">VLOOKUP($A8,lookup_table,5)</f>
        <v>4.77</v>
      </c>
      <c r="S8" s="34" t="n">
        <f aca="false">$I8-($J8-R8)</f>
        <v>2.45</v>
      </c>
      <c r="T8" s="35" t="n">
        <f aca="false">Q8*S8</f>
        <v>303800</v>
      </c>
      <c r="V8" s="6" t="n">
        <f aca="false">VLOOKUP($A8,lookup_table,16)*$B8</f>
        <v>93000</v>
      </c>
      <c r="W8" s="34" t="n">
        <f aca="false">VLOOKUP($A8,lookup_table,7)</f>
        <v>4.71</v>
      </c>
      <c r="X8" s="34" t="n">
        <f aca="false">$I8-($J8-W8)</f>
        <v>2.39</v>
      </c>
      <c r="Y8" s="35" t="n">
        <f aca="false">V8*X8</f>
        <v>222270</v>
      </c>
      <c r="AA8" s="6" t="n">
        <f aca="false">VLOOKUP($A8,lookup_table,17)*$B8</f>
        <v>93000</v>
      </c>
      <c r="AB8" s="34" t="n">
        <f aca="false">VLOOKUP($A8,lookup_table,8)</f>
        <v>4.74</v>
      </c>
      <c r="AC8" s="34" t="n">
        <f aca="false">$I8-($J8-AB8)</f>
        <v>2.42</v>
      </c>
      <c r="AD8" s="35" t="n">
        <f aca="false">AA8*AC8</f>
        <v>225060</v>
      </c>
      <c r="AF8" s="6" t="n">
        <f aca="false">(L8+Q8+V8+AA8)</f>
        <v>465000</v>
      </c>
      <c r="AG8" s="35" t="n">
        <f aca="false">O8+T8+Y8+AD8</f>
        <v>1138630</v>
      </c>
      <c r="AI8" s="6" t="n">
        <f aca="false">E8+AF8</f>
        <v>6999800</v>
      </c>
      <c r="AJ8" s="6" t="n">
        <f aca="false">G8+AG8</f>
        <v>1967074</v>
      </c>
    </row>
    <row r="9" customFormat="false" ht="12.75" hidden="false" customHeight="false" outlineLevel="0" collapsed="false">
      <c r="A9" s="30" t="n">
        <v>37043</v>
      </c>
      <c r="B9" s="33" t="n">
        <f aca="false">A10-A9</f>
        <v>30</v>
      </c>
      <c r="C9" s="33"/>
      <c r="D9" s="6" t="n">
        <f aca="false">VLOOKUP($A9,lookup_table,12)*$B9</f>
        <v>204000</v>
      </c>
      <c r="E9" s="6" t="n">
        <f aca="false">$B9*D9</f>
        <v>6120000</v>
      </c>
      <c r="F9" s="34" t="n">
        <f aca="false">VLOOKUP($A9,lookup_table,2)</f>
        <v>3.93</v>
      </c>
      <c r="G9" s="35" t="n">
        <f aca="false">D9*F9</f>
        <v>801720</v>
      </c>
      <c r="H9" s="34"/>
      <c r="I9" s="34" t="n">
        <f aca="false">VLOOKUP($A9,lookup_table,4)</f>
        <v>2.55</v>
      </c>
      <c r="J9" s="34" t="n">
        <f aca="false">VLOOKUP($A9,lookup_table,9)</f>
        <v>3.73</v>
      </c>
      <c r="K9" s="30"/>
      <c r="L9" s="6" t="n">
        <f aca="false">VLOOKUP($A9,lookup_table,15)*$B9</f>
        <v>150000</v>
      </c>
      <c r="M9" s="34" t="n">
        <f aca="false">VLOOKUP($A9,lookup_table,6)</f>
        <v>3.65</v>
      </c>
      <c r="N9" s="34" t="n">
        <f aca="false">$I9-($J9-M9)</f>
        <v>2.47</v>
      </c>
      <c r="O9" s="35" t="n">
        <f aca="false">L9*N9</f>
        <v>370500</v>
      </c>
      <c r="Q9" s="6" t="n">
        <f aca="false">VLOOKUP($A9,lookup_table,14)*$B9</f>
        <v>120000</v>
      </c>
      <c r="R9" s="34" t="n">
        <f aca="false">VLOOKUP($A9,lookup_table,5)</f>
        <v>3.64</v>
      </c>
      <c r="S9" s="34" t="n">
        <f aca="false">$I9-($J9-R9)</f>
        <v>2.46</v>
      </c>
      <c r="T9" s="35" t="n">
        <f aca="false">Q9*S9</f>
        <v>295200</v>
      </c>
      <c r="V9" s="6" t="n">
        <f aca="false">VLOOKUP($A9,lookup_table,16)*$B9</f>
        <v>90000</v>
      </c>
      <c r="W9" s="34" t="n">
        <f aca="false">VLOOKUP($A9,lookup_table,7)</f>
        <v>3.57</v>
      </c>
      <c r="X9" s="34" t="n">
        <f aca="false">$I9-($J9-W9)</f>
        <v>2.39</v>
      </c>
      <c r="Y9" s="35" t="n">
        <f aca="false">V9*X9</f>
        <v>215100</v>
      </c>
      <c r="AA9" s="6" t="n">
        <f aca="false">VLOOKUP($A9,lookup_table,17)*$B9</f>
        <v>90000</v>
      </c>
      <c r="AB9" s="34" t="n">
        <f aca="false">VLOOKUP($A9,lookup_table,8)</f>
        <v>3.63</v>
      </c>
      <c r="AC9" s="34" t="n">
        <f aca="false">$I9-($J9-AB9)</f>
        <v>2.45</v>
      </c>
      <c r="AD9" s="35" t="n">
        <f aca="false">AA9*AC9</f>
        <v>220500</v>
      </c>
      <c r="AF9" s="6" t="n">
        <f aca="false">(L9+Q9+V9+AA9)</f>
        <v>450000</v>
      </c>
      <c r="AG9" s="35" t="n">
        <f aca="false">O9+T9+Y9+AD9</f>
        <v>1101300</v>
      </c>
      <c r="AI9" s="6" t="n">
        <f aca="false">E9+AF9</f>
        <v>6570000</v>
      </c>
      <c r="AJ9" s="6" t="n">
        <f aca="false">G9+AG9</f>
        <v>1903020</v>
      </c>
    </row>
    <row r="10" customFormat="false" ht="12.75" hidden="false" customHeight="false" outlineLevel="0" collapsed="false">
      <c r="A10" s="30" t="n">
        <v>37073</v>
      </c>
      <c r="B10" s="33" t="n">
        <f aca="false">A11-A10</f>
        <v>31</v>
      </c>
      <c r="C10" s="33"/>
      <c r="D10" s="6" t="n">
        <f aca="false">VLOOKUP($A10,lookup_table,12)*$B10</f>
        <v>210800</v>
      </c>
      <c r="E10" s="6" t="n">
        <f aca="false">$B10*D10</f>
        <v>6534800</v>
      </c>
      <c r="F10" s="34" t="n">
        <f aca="false">VLOOKUP($A10,lookup_table,2)</f>
        <v>3.93</v>
      </c>
      <c r="G10" s="35" t="n">
        <f aca="false">D10*F10</f>
        <v>828444</v>
      </c>
      <c r="H10" s="34"/>
      <c r="I10" s="34" t="n">
        <f aca="false">VLOOKUP($A10,lookup_table,4)</f>
        <v>2.55</v>
      </c>
      <c r="J10" s="34" t="n">
        <f aca="false">VLOOKUP($A10,lookup_table,9)</f>
        <v>3.16</v>
      </c>
      <c r="K10" s="30"/>
      <c r="L10" s="6" t="n">
        <f aca="false">VLOOKUP($A10,lookup_table,15)*$B10</f>
        <v>155000</v>
      </c>
      <c r="M10" s="34" t="n">
        <f aca="false">VLOOKUP($A10,lookup_table,6)</f>
        <v>3.05</v>
      </c>
      <c r="N10" s="34" t="n">
        <f aca="false">$I10-($J10-M10)</f>
        <v>2.44</v>
      </c>
      <c r="O10" s="35" t="n">
        <f aca="false">L10*N10</f>
        <v>378200</v>
      </c>
      <c r="Q10" s="6" t="n">
        <f aca="false">VLOOKUP($A10,lookup_table,14)*$B10</f>
        <v>124000</v>
      </c>
      <c r="R10" s="34" t="n">
        <f aca="false">VLOOKUP($A10,lookup_table,5)</f>
        <v>3.07</v>
      </c>
      <c r="S10" s="34" t="n">
        <f aca="false">$I10-($J10-R10)</f>
        <v>2.46</v>
      </c>
      <c r="T10" s="35" t="n">
        <f aca="false">Q10*S10</f>
        <v>305040</v>
      </c>
      <c r="V10" s="6" t="n">
        <f aca="false">VLOOKUP($A10,lookup_table,16)*$B10</f>
        <v>93000</v>
      </c>
      <c r="W10" s="34" t="n">
        <f aca="false">VLOOKUP($A10,lookup_table,7)</f>
        <v>3.03</v>
      </c>
      <c r="X10" s="34" t="n">
        <f aca="false">$I10-($J10-W10)</f>
        <v>2.42</v>
      </c>
      <c r="Y10" s="35" t="n">
        <f aca="false">V10*X10</f>
        <v>225060</v>
      </c>
      <c r="AA10" s="6" t="n">
        <f aca="false">VLOOKUP($A10,lookup_table,17)*$B10</f>
        <v>93000</v>
      </c>
      <c r="AB10" s="34" t="n">
        <f aca="false">VLOOKUP($A10,lookup_table,8)</f>
        <v>3.1</v>
      </c>
      <c r="AC10" s="34" t="n">
        <f aca="false">$I10-($J10-AB10)</f>
        <v>2.49</v>
      </c>
      <c r="AD10" s="35" t="n">
        <f aca="false">AA10*AC10</f>
        <v>231570</v>
      </c>
      <c r="AF10" s="6" t="n">
        <f aca="false">(L10+Q10+V10+AA10)</f>
        <v>465000</v>
      </c>
      <c r="AG10" s="35" t="n">
        <f aca="false">O10+T10+Y10+AD10</f>
        <v>1139870</v>
      </c>
      <c r="AI10" s="6" t="n">
        <f aca="false">E10+AF10</f>
        <v>6999800</v>
      </c>
      <c r="AJ10" s="6" t="n">
        <f aca="false">G10+AG10</f>
        <v>1968314</v>
      </c>
    </row>
    <row r="11" customFormat="false" ht="12.75" hidden="false" customHeight="false" outlineLevel="0" collapsed="false">
      <c r="A11" s="30" t="n">
        <v>37104</v>
      </c>
      <c r="B11" s="33" t="n">
        <f aca="false">A12-A11</f>
        <v>31</v>
      </c>
      <c r="C11" s="33"/>
      <c r="D11" s="6" t="n">
        <f aca="false">VLOOKUP($A11,lookup_table,12)*$B11</f>
        <v>210800</v>
      </c>
      <c r="E11" s="6" t="n">
        <f aca="false">$B11*D11</f>
        <v>6534800</v>
      </c>
      <c r="F11" s="34" t="n">
        <f aca="false">VLOOKUP($A11,lookup_table,2)</f>
        <v>3.93</v>
      </c>
      <c r="G11" s="35" t="n">
        <f aca="false">D11*F11</f>
        <v>828444</v>
      </c>
      <c r="H11" s="34"/>
      <c r="I11" s="34" t="n">
        <f aca="false">VLOOKUP($A11,lookup_table,4)</f>
        <v>2.55</v>
      </c>
      <c r="J11" s="34" t="n">
        <f aca="false">VLOOKUP($A11,lookup_table,9)</f>
        <v>3.19</v>
      </c>
      <c r="K11" s="30"/>
      <c r="L11" s="6" t="n">
        <f aca="false">VLOOKUP($A11,lookup_table,15)*$B11</f>
        <v>155000</v>
      </c>
      <c r="M11" s="34" t="n">
        <f aca="false">VLOOKUP($A11,lookup_table,6)</f>
        <v>3.08</v>
      </c>
      <c r="N11" s="34" t="n">
        <f aca="false">$I11-($J11-M11)</f>
        <v>2.44</v>
      </c>
      <c r="O11" s="35" t="n">
        <f aca="false">L11*N11</f>
        <v>378200</v>
      </c>
      <c r="Q11" s="6" t="n">
        <f aca="false">VLOOKUP($A11,lookup_table,14)*$B11</f>
        <v>124000</v>
      </c>
      <c r="R11" s="34" t="n">
        <f aca="false">VLOOKUP($A11,lookup_table,5)</f>
        <v>3.07</v>
      </c>
      <c r="S11" s="34" t="n">
        <f aca="false">$I11-($J11-R11)</f>
        <v>2.43</v>
      </c>
      <c r="T11" s="35" t="n">
        <f aca="false">Q11*S11</f>
        <v>301320</v>
      </c>
      <c r="V11" s="6" t="n">
        <f aca="false">VLOOKUP($A11,lookup_table,16)*$B11</f>
        <v>93000</v>
      </c>
      <c r="W11" s="34" t="n">
        <f aca="false">VLOOKUP($A11,lookup_table,7)</f>
        <v>3.09</v>
      </c>
      <c r="X11" s="34" t="n">
        <f aca="false">$I11-($J11-W11)</f>
        <v>2.45</v>
      </c>
      <c r="Y11" s="35" t="n">
        <f aca="false">V11*X11</f>
        <v>227850</v>
      </c>
      <c r="AA11" s="6" t="n">
        <f aca="false">VLOOKUP($A11,lookup_table,17)*$B11</f>
        <v>93000</v>
      </c>
      <c r="AB11" s="34" t="n">
        <f aca="false">VLOOKUP($A11,lookup_table,8)</f>
        <v>3.06</v>
      </c>
      <c r="AC11" s="34" t="n">
        <f aca="false">$I11-($J11-AB11)</f>
        <v>2.42</v>
      </c>
      <c r="AD11" s="35" t="n">
        <f aca="false">AA11*AC11</f>
        <v>225060</v>
      </c>
      <c r="AF11" s="6" t="n">
        <f aca="false">(L11+Q11+V11+AA11)</f>
        <v>465000</v>
      </c>
      <c r="AG11" s="35" t="n">
        <f aca="false">O11+T11+Y11+AD11</f>
        <v>1132430</v>
      </c>
      <c r="AI11" s="6" t="n">
        <f aca="false">E11+AF11</f>
        <v>6999800</v>
      </c>
      <c r="AJ11" s="6" t="n">
        <f aca="false">G11+AG11</f>
        <v>1960874</v>
      </c>
    </row>
    <row r="12" customFormat="false" ht="12.75" hidden="false" customHeight="false" outlineLevel="0" collapsed="false">
      <c r="A12" s="30" t="n">
        <v>37135</v>
      </c>
      <c r="B12" s="33" t="n">
        <f aca="false">A13-A12</f>
        <v>30</v>
      </c>
      <c r="C12" s="33"/>
      <c r="D12" s="6" t="n">
        <f aca="false">VLOOKUP($A12,lookup_table,12)*$B12</f>
        <v>204000</v>
      </c>
      <c r="E12" s="6" t="n">
        <f aca="false">$B12*D12</f>
        <v>6120000</v>
      </c>
      <c r="F12" s="34" t="n">
        <f aca="false">VLOOKUP($A12,lookup_table,2)</f>
        <v>3.93</v>
      </c>
      <c r="G12" s="35" t="n">
        <f aca="false">D12*F12</f>
        <v>801720</v>
      </c>
      <c r="H12" s="34"/>
      <c r="I12" s="34" t="n">
        <f aca="false">VLOOKUP($A12,lookup_table,4)</f>
        <v>2.55</v>
      </c>
      <c r="J12" s="34" t="n">
        <f aca="false">VLOOKUP($A12,lookup_table,9)</f>
        <v>2.34</v>
      </c>
      <c r="K12" s="30"/>
      <c r="L12" s="6" t="n">
        <f aca="false">VLOOKUP($A12,lookup_table,15)*$B12</f>
        <v>150000</v>
      </c>
      <c r="M12" s="34" t="n">
        <f aca="false">VLOOKUP($A12,lookup_table,6)</f>
        <v>2.24</v>
      </c>
      <c r="N12" s="34" t="n">
        <f aca="false">$I12-($J12-M12)</f>
        <v>2.45</v>
      </c>
      <c r="O12" s="35" t="n">
        <f aca="false">L12*N12</f>
        <v>367500</v>
      </c>
      <c r="Q12" s="6" t="n">
        <f aca="false">VLOOKUP($A12,lookup_table,14)*$B12</f>
        <v>120000</v>
      </c>
      <c r="R12" s="34" t="n">
        <f aca="false">VLOOKUP($A12,lookup_table,5)</f>
        <v>2.22</v>
      </c>
      <c r="S12" s="34" t="n">
        <f aca="false">$I12-($J12-R12)</f>
        <v>2.43</v>
      </c>
      <c r="T12" s="35" t="n">
        <f aca="false">Q12*S12</f>
        <v>291600</v>
      </c>
      <c r="V12" s="6" t="n">
        <f aca="false">VLOOKUP($A12,lookup_table,16)*$B12</f>
        <v>90000</v>
      </c>
      <c r="W12" s="34" t="n">
        <f aca="false">VLOOKUP($A12,lookup_table,7)</f>
        <v>2.24</v>
      </c>
      <c r="X12" s="34" t="n">
        <f aca="false">$I12-($J12-W12)</f>
        <v>2.45</v>
      </c>
      <c r="Y12" s="35" t="n">
        <f aca="false">V12*X12</f>
        <v>220500</v>
      </c>
      <c r="AA12" s="6" t="n">
        <f aca="false">VLOOKUP($A12,lookup_table,17)*$B12</f>
        <v>90000</v>
      </c>
      <c r="AB12" s="34" t="n">
        <f aca="false">VLOOKUP($A12,lookup_table,8)</f>
        <v>2.21</v>
      </c>
      <c r="AC12" s="34" t="n">
        <f aca="false">$I12-($J12-AB12)</f>
        <v>2.42</v>
      </c>
      <c r="AD12" s="35" t="n">
        <f aca="false">AA12*AC12</f>
        <v>217800</v>
      </c>
      <c r="AF12" s="6" t="n">
        <f aca="false">(L12+Q12+V12+AA12)</f>
        <v>450000</v>
      </c>
      <c r="AG12" s="35" t="n">
        <f aca="false">O12+T12+Y12+AD12</f>
        <v>1097400</v>
      </c>
      <c r="AI12" s="6" t="n">
        <f aca="false">E12+AF12</f>
        <v>6570000</v>
      </c>
      <c r="AJ12" s="6" t="n">
        <f aca="false">G12+AG12</f>
        <v>1899120</v>
      </c>
    </row>
    <row r="13" customFormat="false" ht="12.75" hidden="false" customHeight="false" outlineLevel="0" collapsed="false">
      <c r="A13" s="30" t="n">
        <v>37165</v>
      </c>
      <c r="B13" s="33" t="n">
        <f aca="false">A14-A13</f>
        <v>31</v>
      </c>
      <c r="C13" s="33"/>
      <c r="D13" s="6" t="n">
        <f aca="false">VLOOKUP($A13,lookup_table,12)*$B13</f>
        <v>210800</v>
      </c>
      <c r="E13" s="6" t="n">
        <f aca="false">$B13*D13</f>
        <v>6534800</v>
      </c>
      <c r="F13" s="34" t="n">
        <f aca="false">VLOOKUP($A13,lookup_table,2)</f>
        <v>3.93</v>
      </c>
      <c r="G13" s="35" t="n">
        <f aca="false">D13*F13</f>
        <v>828444</v>
      </c>
      <c r="H13" s="34"/>
      <c r="I13" s="34" t="n">
        <f aca="false">VLOOKUP($A13,lookup_table,4)</f>
        <v>2.55</v>
      </c>
      <c r="J13" s="34" t="n">
        <f aca="false">VLOOKUP($A13,lookup_table,9)</f>
        <v>1.86</v>
      </c>
      <c r="K13" s="30"/>
      <c r="L13" s="6" t="n">
        <f aca="false">VLOOKUP($A13,lookup_table,15)*$B13</f>
        <v>155000</v>
      </c>
      <c r="M13" s="34" t="n">
        <f aca="false">VLOOKUP($A13,lookup_table,6)</f>
        <v>1.75</v>
      </c>
      <c r="N13" s="34" t="n">
        <f aca="false">$I13-($J13-M13)</f>
        <v>2.44</v>
      </c>
      <c r="O13" s="35" t="n">
        <f aca="false">L13*N13</f>
        <v>378200</v>
      </c>
      <c r="Q13" s="6" t="n">
        <f aca="false">VLOOKUP($A13,lookup_table,14)*$B13</f>
        <v>124000</v>
      </c>
      <c r="R13" s="34" t="n">
        <f aca="false">VLOOKUP($A13,lookup_table,5)</f>
        <v>1.74</v>
      </c>
      <c r="S13" s="34" t="n">
        <f aca="false">$I13-($J13-R13)</f>
        <v>2.43</v>
      </c>
      <c r="T13" s="35" t="n">
        <f aca="false">Q13*S13</f>
        <v>301320</v>
      </c>
      <c r="V13" s="6" t="n">
        <f aca="false">VLOOKUP($A13,lookup_table,16)*$B13</f>
        <v>93000</v>
      </c>
      <c r="W13" s="34" t="n">
        <f aca="false">VLOOKUP($A13,lookup_table,7)</f>
        <v>1.74</v>
      </c>
      <c r="X13" s="34" t="n">
        <f aca="false">$I13-($J13-W13)</f>
        <v>2.43</v>
      </c>
      <c r="Y13" s="35" t="n">
        <f aca="false">V13*X13</f>
        <v>225990</v>
      </c>
      <c r="AA13" s="6" t="n">
        <f aca="false">VLOOKUP($A13,lookup_table,17)*$B13</f>
        <v>93000</v>
      </c>
      <c r="AB13" s="34" t="n">
        <f aca="false">VLOOKUP($A13,lookup_table,8)</f>
        <v>1.73</v>
      </c>
      <c r="AC13" s="34" t="n">
        <f aca="false">$I13-($J13-AB13)</f>
        <v>2.42</v>
      </c>
      <c r="AD13" s="35" t="n">
        <f aca="false">AA13*AC13</f>
        <v>225060</v>
      </c>
      <c r="AF13" s="6" t="n">
        <f aca="false">(L13+Q13+V13+AA13)</f>
        <v>465000</v>
      </c>
      <c r="AG13" s="35" t="n">
        <f aca="false">O13+T13+Y13+AD13</f>
        <v>1130570</v>
      </c>
      <c r="AI13" s="6" t="n">
        <f aca="false">E13+AF13</f>
        <v>6999800</v>
      </c>
      <c r="AJ13" s="6" t="n">
        <f aca="false">G13+AG13</f>
        <v>1959014</v>
      </c>
    </row>
    <row r="14" customFormat="false" ht="12.75" hidden="false" customHeight="false" outlineLevel="0" collapsed="false">
      <c r="A14" s="30" t="n">
        <v>37196</v>
      </c>
      <c r="B14" s="33" t="n">
        <f aca="false">A15-A14</f>
        <v>30</v>
      </c>
      <c r="C14" s="33"/>
      <c r="D14" s="6" t="n">
        <f aca="false">VLOOKUP($A14,lookup_table,12)*$B14</f>
        <v>204000</v>
      </c>
      <c r="E14" s="6" t="n">
        <f aca="false">$B14*D14</f>
        <v>6120000</v>
      </c>
      <c r="F14" s="34" t="n">
        <f aca="false">VLOOKUP($A14,lookup_table,2)</f>
        <v>3.93</v>
      </c>
      <c r="G14" s="35" t="n">
        <f aca="false">D14*F14</f>
        <v>801720</v>
      </c>
      <c r="H14" s="34"/>
      <c r="I14" s="34" t="n">
        <f aca="false">VLOOKUP($A14,lookup_table,4)</f>
        <v>2.55</v>
      </c>
      <c r="J14" s="34" t="n">
        <f aca="false">VLOOKUP($A14,lookup_table,9)</f>
        <v>3.16</v>
      </c>
      <c r="K14" s="30"/>
      <c r="L14" s="6" t="n">
        <f aca="false">VLOOKUP($A14,lookup_table,15)*$B14</f>
        <v>150000</v>
      </c>
      <c r="M14" s="34" t="n">
        <f aca="false">VLOOKUP($A14,lookup_table,6)</f>
        <v>3.05</v>
      </c>
      <c r="N14" s="34" t="n">
        <f aca="false">$I14-($J14-M14)</f>
        <v>2.44</v>
      </c>
      <c r="O14" s="35" t="n">
        <f aca="false">L14*N14</f>
        <v>366000</v>
      </c>
      <c r="Q14" s="6" t="n">
        <f aca="false">VLOOKUP($A14,lookup_table,14)*$B14</f>
        <v>120000</v>
      </c>
      <c r="R14" s="34" t="n">
        <f aca="false">VLOOKUP($A14,lookup_table,5)</f>
        <v>3.07</v>
      </c>
      <c r="S14" s="34" t="n">
        <f aca="false">$I14-($J14-R14)</f>
        <v>2.46</v>
      </c>
      <c r="T14" s="35" t="n">
        <f aca="false">Q14*S14</f>
        <v>295200</v>
      </c>
      <c r="V14" s="6" t="n">
        <f aca="false">VLOOKUP($A14,lookup_table,16)*$B14</f>
        <v>90000</v>
      </c>
      <c r="W14" s="34" t="n">
        <f aca="false">VLOOKUP($A14,lookup_table,7)</f>
        <v>3.08</v>
      </c>
      <c r="X14" s="34" t="n">
        <f aca="false">$I14-($J14-W14)</f>
        <v>2.47</v>
      </c>
      <c r="Y14" s="35" t="n">
        <f aca="false">V14*X14</f>
        <v>222300</v>
      </c>
      <c r="AA14" s="6" t="n">
        <f aca="false">VLOOKUP($A14,lookup_table,17)*$B14</f>
        <v>90000</v>
      </c>
      <c r="AB14" s="34" t="n">
        <f aca="false">VLOOKUP($A14,lookup_table,8)</f>
        <v>3.03</v>
      </c>
      <c r="AC14" s="34" t="n">
        <f aca="false">$I14-($J14-AB14)</f>
        <v>2.42</v>
      </c>
      <c r="AD14" s="35" t="n">
        <f aca="false">AA14*AC14</f>
        <v>217800</v>
      </c>
      <c r="AF14" s="6" t="n">
        <f aca="false">(L14+Q14+V14+AA14)</f>
        <v>450000</v>
      </c>
      <c r="AG14" s="35" t="n">
        <f aca="false">O14+T14+Y14+AD14</f>
        <v>1101300</v>
      </c>
      <c r="AI14" s="6" t="n">
        <f aca="false">E14+AF14</f>
        <v>6570000</v>
      </c>
      <c r="AJ14" s="6" t="n">
        <f aca="false">G14+AG14</f>
        <v>1903020</v>
      </c>
    </row>
    <row r="15" customFormat="false" ht="12.75" hidden="false" customHeight="false" outlineLevel="0" collapsed="false">
      <c r="A15" s="30" t="n">
        <v>37226</v>
      </c>
      <c r="B15" s="33" t="n">
        <f aca="false">A16-A15</f>
        <v>31</v>
      </c>
      <c r="C15" s="33"/>
      <c r="D15" s="6" t="n">
        <f aca="false">VLOOKUP($A15,lookup_table,12)*$B15</f>
        <v>158100</v>
      </c>
      <c r="E15" s="6" t="n">
        <f aca="false">$B15*D15</f>
        <v>4901100</v>
      </c>
      <c r="F15" s="34" t="n">
        <f aca="false">VLOOKUP($A15,lookup_table,2)</f>
        <v>3.93</v>
      </c>
      <c r="G15" s="35" t="n">
        <f aca="false">D15*F15</f>
        <v>621333</v>
      </c>
      <c r="H15" s="34"/>
      <c r="I15" s="34" t="n">
        <f aca="false">VLOOKUP($A15,lookup_table,4)</f>
        <v>2.55</v>
      </c>
      <c r="J15" s="34" t="n">
        <f aca="false">VLOOKUP($A15,lookup_table,9)</f>
        <v>2.28</v>
      </c>
      <c r="K15" s="30"/>
      <c r="L15" s="6" t="n">
        <f aca="false">VLOOKUP($A15,lookup_table,15)*$B15</f>
        <v>155000</v>
      </c>
      <c r="M15" s="34" t="n">
        <f aca="false">VLOOKUP($A15,lookup_table,6)</f>
        <v>2.24</v>
      </c>
      <c r="N15" s="34" t="n">
        <f aca="false">$I15-($J15-M15)</f>
        <v>2.51</v>
      </c>
      <c r="O15" s="35" t="n">
        <f aca="false">L15*N15</f>
        <v>389050</v>
      </c>
      <c r="Q15" s="6" t="n">
        <f aca="false">VLOOKUP($A15,lookup_table,14)*$B15</f>
        <v>124000</v>
      </c>
      <c r="R15" s="34" t="n">
        <f aca="false">VLOOKUP($A15,lookup_table,5)</f>
        <v>2.22</v>
      </c>
      <c r="S15" s="34" t="n">
        <f aca="false">$I15-($J15-R15)</f>
        <v>2.49</v>
      </c>
      <c r="T15" s="35" t="n">
        <f aca="false">Q15*S15</f>
        <v>308760</v>
      </c>
      <c r="V15" s="6" t="n">
        <f aca="false">VLOOKUP($A15,lookup_table,16)*$B15</f>
        <v>93000</v>
      </c>
      <c r="W15" s="34" t="n">
        <f aca="false">VLOOKUP($A15,lookup_table,7)</f>
        <v>2.23</v>
      </c>
      <c r="X15" s="34" t="n">
        <f aca="false">$I15-($J15-W15)</f>
        <v>2.5</v>
      </c>
      <c r="Y15" s="35" t="n">
        <f aca="false">V15*X15</f>
        <v>232500</v>
      </c>
      <c r="AA15" s="6" t="n">
        <f aca="false">VLOOKUP($A15,lookup_table,17)*$B15</f>
        <v>93000</v>
      </c>
      <c r="AB15" s="34" t="n">
        <f aca="false">VLOOKUP($A15,lookup_table,8)</f>
        <v>2.2</v>
      </c>
      <c r="AC15" s="34" t="n">
        <f aca="false">$I15-($J15-AB15)</f>
        <v>2.47</v>
      </c>
      <c r="AD15" s="35" t="n">
        <f aca="false">AA15*AC15</f>
        <v>229710</v>
      </c>
      <c r="AF15" s="6" t="n">
        <f aca="false">(L15+Q15+V15+AA15)</f>
        <v>465000</v>
      </c>
      <c r="AG15" s="35" t="n">
        <f aca="false">O15+T15+Y15+AD15</f>
        <v>1160020</v>
      </c>
      <c r="AI15" s="6" t="n">
        <f aca="false">E15+AF15</f>
        <v>5366100</v>
      </c>
      <c r="AJ15" s="6" t="n">
        <f aca="false">G15+AG15</f>
        <v>1781353</v>
      </c>
    </row>
    <row r="16" customFormat="false" ht="12.75" hidden="false" customHeight="false" outlineLevel="0" collapsed="false">
      <c r="A16" s="30" t="n">
        <v>37257</v>
      </c>
      <c r="B16" s="33" t="n">
        <f aca="false">A17-A16</f>
        <v>31</v>
      </c>
      <c r="C16" s="33"/>
      <c r="D16" s="6" t="n">
        <f aca="false">VLOOKUP($A16,lookup_table,12)*$B16</f>
        <v>158100</v>
      </c>
      <c r="E16" s="6" t="n">
        <f aca="false">$B16*D16</f>
        <v>4901100</v>
      </c>
      <c r="F16" s="34" t="n">
        <f aca="false">VLOOKUP($A16,lookup_table,2)</f>
        <v>4.23</v>
      </c>
      <c r="G16" s="35" t="n">
        <f aca="false">D16*F16</f>
        <v>668763</v>
      </c>
      <c r="H16" s="34"/>
      <c r="I16" s="34" t="n">
        <f aca="false">VLOOKUP($A16,lookup_table,4)</f>
        <v>2.55</v>
      </c>
      <c r="J16" s="34" t="n">
        <f aca="false">VLOOKUP($A16,lookup_table,9)</f>
        <v>2.61</v>
      </c>
      <c r="K16" s="30"/>
      <c r="L16" s="6" t="n">
        <f aca="false">VLOOKUP($A16,lookup_table,15)*$B16</f>
        <v>155000</v>
      </c>
      <c r="M16" s="34" t="n">
        <f aca="false">VLOOKUP($A16,lookup_table,6)</f>
        <v>2.51</v>
      </c>
      <c r="N16" s="34" t="n">
        <f aca="false">$I16-($J16-M16)</f>
        <v>2.45</v>
      </c>
      <c r="O16" s="35" t="n">
        <f aca="false">L16*N16</f>
        <v>379750</v>
      </c>
      <c r="Q16" s="6" t="n">
        <f aca="false">VLOOKUP($A16,lookup_table,14)*$B16</f>
        <v>124000</v>
      </c>
      <c r="R16" s="34" t="n">
        <f aca="false">VLOOKUP($A16,lookup_table,5)</f>
        <v>2.5</v>
      </c>
      <c r="S16" s="34" t="n">
        <f aca="false">$I16-($J16-R16)</f>
        <v>2.44</v>
      </c>
      <c r="T16" s="35" t="n">
        <f aca="false">Q16*S16</f>
        <v>302560</v>
      </c>
      <c r="V16" s="6" t="n">
        <f aca="false">VLOOKUP($A16,lookup_table,16)*$B16</f>
        <v>93000</v>
      </c>
      <c r="W16" s="34" t="n">
        <f aca="false">VLOOKUP($A16,lookup_table,7)</f>
        <v>2.49</v>
      </c>
      <c r="X16" s="34" t="n">
        <f aca="false">$I16-($J16-W16)</f>
        <v>2.43</v>
      </c>
      <c r="Y16" s="35" t="n">
        <f aca="false">V16*X16</f>
        <v>225990</v>
      </c>
      <c r="AA16" s="6" t="n">
        <f aca="false">VLOOKUP($A16,lookup_table,17)*$B16</f>
        <v>93000</v>
      </c>
      <c r="AB16" s="34" t="n">
        <f aca="false">VLOOKUP($A16,lookup_table,8)</f>
        <v>2.47</v>
      </c>
      <c r="AC16" s="34" t="n">
        <f aca="false">$I16-($J16-AB16)</f>
        <v>2.41</v>
      </c>
      <c r="AD16" s="35" t="n">
        <f aca="false">AA16*AC16</f>
        <v>224130</v>
      </c>
      <c r="AF16" s="6" t="n">
        <f aca="false">(L16+Q16+V16+AA16)</f>
        <v>465000</v>
      </c>
      <c r="AG16" s="35" t="n">
        <f aca="false">O16+T16+Y16+AD16</f>
        <v>1132430</v>
      </c>
      <c r="AI16" s="6" t="n">
        <f aca="false">E16+AF16</f>
        <v>5366100</v>
      </c>
      <c r="AJ16" s="6" t="n">
        <f aca="false">G16+AG16</f>
        <v>1801193</v>
      </c>
    </row>
    <row r="17" customFormat="false" ht="12.75" hidden="false" customHeight="false" outlineLevel="0" collapsed="false">
      <c r="A17" s="30" t="n">
        <v>37288</v>
      </c>
      <c r="B17" s="33" t="n">
        <f aca="false">A18-A17</f>
        <v>28</v>
      </c>
      <c r="C17" s="33"/>
      <c r="D17" s="6" t="n">
        <f aca="false">VLOOKUP($A17,lookup_table,12)*$B17</f>
        <v>142800</v>
      </c>
      <c r="E17" s="6" t="n">
        <f aca="false">$B17*D17</f>
        <v>3998400</v>
      </c>
      <c r="F17" s="34" t="n">
        <f aca="false">VLOOKUP($A17,lookup_table,2)</f>
        <v>4.23</v>
      </c>
      <c r="G17" s="35" t="n">
        <f aca="false">D17*F17</f>
        <v>604044</v>
      </c>
      <c r="H17" s="34"/>
      <c r="I17" s="34" t="n">
        <f aca="false">VLOOKUP($A17,lookup_table,4)</f>
        <v>2.55</v>
      </c>
      <c r="J17" s="34" t="n">
        <f aca="false">VLOOKUP($A17,lookup_table,9)</f>
        <v>2.03</v>
      </c>
      <c r="K17" s="30"/>
      <c r="L17" s="6" t="n">
        <f aca="false">VLOOKUP($A17,lookup_table,15)*$B17</f>
        <v>140000</v>
      </c>
      <c r="M17" s="34" t="n">
        <f aca="false">VLOOKUP($A17,lookup_table,6)</f>
        <v>1.9</v>
      </c>
      <c r="N17" s="34" t="n">
        <f aca="false">$I17-($J17-M17)</f>
        <v>2.42</v>
      </c>
      <c r="O17" s="35" t="n">
        <f aca="false">L17*N17</f>
        <v>338800</v>
      </c>
      <c r="Q17" s="6" t="n">
        <f aca="false">VLOOKUP($A17,lookup_table,14)*$B17</f>
        <v>112000</v>
      </c>
      <c r="R17" s="34" t="n">
        <f aca="false">VLOOKUP($A17,lookup_table,5)</f>
        <v>1.94</v>
      </c>
      <c r="S17" s="34" t="n">
        <f aca="false">$I17-($J17-R17)</f>
        <v>2.46</v>
      </c>
      <c r="T17" s="35" t="n">
        <f aca="false">Q17*S17</f>
        <v>275520</v>
      </c>
      <c r="V17" s="6" t="n">
        <f aca="false">VLOOKUP($A17,lookup_table,16)*$B17</f>
        <v>84000</v>
      </c>
      <c r="W17" s="34" t="n">
        <f aca="false">VLOOKUP($A17,lookup_table,7)</f>
        <v>1.93</v>
      </c>
      <c r="X17" s="34" t="n">
        <f aca="false">$I17-($J17-W17)</f>
        <v>2.45</v>
      </c>
      <c r="Y17" s="35" t="n">
        <f aca="false">V17*X17</f>
        <v>205800</v>
      </c>
      <c r="AA17" s="6" t="n">
        <f aca="false">VLOOKUP($A17,lookup_table,17)*$B17</f>
        <v>84000</v>
      </c>
      <c r="AB17" s="34" t="n">
        <f aca="false">VLOOKUP($A17,lookup_table,8)</f>
        <v>1.89</v>
      </c>
      <c r="AC17" s="34" t="n">
        <f aca="false">$I17-($J17-AB17)</f>
        <v>2.41</v>
      </c>
      <c r="AD17" s="35" t="n">
        <f aca="false">AA17*AC17</f>
        <v>202440</v>
      </c>
      <c r="AF17" s="6" t="n">
        <f aca="false">(L17+Q17+V17+AA17)</f>
        <v>420000</v>
      </c>
      <c r="AG17" s="35" t="n">
        <f aca="false">O17+T17+Y17+AD17</f>
        <v>1022560</v>
      </c>
      <c r="AI17" s="6" t="n">
        <f aca="false">E17+AF17</f>
        <v>4418400</v>
      </c>
      <c r="AJ17" s="6" t="n">
        <f aca="false">G17+AG17</f>
        <v>1626604</v>
      </c>
    </row>
    <row r="18" customFormat="false" ht="12.75" hidden="false" customHeight="false" outlineLevel="0" collapsed="false">
      <c r="A18" s="30" t="n">
        <v>37316</v>
      </c>
      <c r="B18" s="33" t="n">
        <f aca="false">A19-A18</f>
        <v>31</v>
      </c>
      <c r="C18" s="33"/>
      <c r="D18" s="6" t="n">
        <f aca="false">VLOOKUP($A18,lookup_table,12)*$B18</f>
        <v>210800</v>
      </c>
      <c r="E18" s="6" t="n">
        <f aca="false">$B18*D18</f>
        <v>6534800</v>
      </c>
      <c r="F18" s="34" t="n">
        <f aca="false">VLOOKUP($A18,lookup_table,2)</f>
        <v>4.23</v>
      </c>
      <c r="G18" s="35" t="n">
        <f aca="false">D18*F18</f>
        <v>891684</v>
      </c>
      <c r="H18" s="34"/>
      <c r="I18" s="34" t="n">
        <f aca="false">VLOOKUP($A18,lookup_table,4)</f>
        <v>2.55</v>
      </c>
      <c r="J18" s="34" t="n">
        <f aca="false">VLOOKUP($A18,lookup_table,9)</f>
        <v>2.39</v>
      </c>
      <c r="K18" s="30"/>
      <c r="L18" s="6" t="n">
        <f aca="false">VLOOKUP($A18,lookup_table,15)*$B18</f>
        <v>155000</v>
      </c>
      <c r="M18" s="34" t="n">
        <f aca="false">VLOOKUP($A18,lookup_table,6)</f>
        <v>2.3</v>
      </c>
      <c r="N18" s="34" t="n">
        <f aca="false">$I18-($J18-M18)</f>
        <v>2.46</v>
      </c>
      <c r="O18" s="35" t="n">
        <f aca="false">L18*N18</f>
        <v>381300</v>
      </c>
      <c r="Q18" s="6" t="n">
        <f aca="false">VLOOKUP($A18,lookup_table,14)*$B18</f>
        <v>124000</v>
      </c>
      <c r="R18" s="34" t="n">
        <f aca="false">VLOOKUP($A18,lookup_table,5)</f>
        <v>2.33</v>
      </c>
      <c r="S18" s="34" t="n">
        <f aca="false">$I18-($J18-R18)</f>
        <v>2.49</v>
      </c>
      <c r="T18" s="35" t="n">
        <f aca="false">Q18*S18</f>
        <v>308760</v>
      </c>
      <c r="V18" s="6" t="n">
        <f aca="false">VLOOKUP($A18,lookup_table,16)*$B18</f>
        <v>93000</v>
      </c>
      <c r="W18" s="34" t="n">
        <f aca="false">VLOOKUP($A18,lookup_table,7)</f>
        <v>2.32</v>
      </c>
      <c r="X18" s="34" t="n">
        <f aca="false">$I18-($J18-W18)</f>
        <v>2.48</v>
      </c>
      <c r="Y18" s="35" t="n">
        <f aca="false">V18*X18</f>
        <v>230640</v>
      </c>
      <c r="AA18" s="6" t="n">
        <f aca="false">VLOOKUP($A18,lookup_table,17)*$B18</f>
        <v>93000</v>
      </c>
      <c r="AB18" s="34" t="n">
        <f aca="false">VLOOKUP($A18,lookup_table,8)</f>
        <v>2.27</v>
      </c>
      <c r="AC18" s="34" t="n">
        <f aca="false">$I18-($J18-AB18)</f>
        <v>2.43</v>
      </c>
      <c r="AD18" s="35" t="n">
        <f aca="false">AA18*AC18</f>
        <v>225990</v>
      </c>
      <c r="AF18" s="6" t="n">
        <f aca="false">(L18+Q18+V18+AA18)</f>
        <v>465000</v>
      </c>
      <c r="AG18" s="35" t="n">
        <f aca="false">O18+T18+Y18+AD18</f>
        <v>1146690</v>
      </c>
      <c r="AI18" s="6" t="n">
        <f aca="false">E18+AF18</f>
        <v>6999800</v>
      </c>
      <c r="AJ18" s="6" t="n">
        <f aca="false">G18+AG18</f>
        <v>2038374</v>
      </c>
    </row>
    <row r="19" customFormat="false" ht="12.75" hidden="false" customHeight="false" outlineLevel="0" collapsed="false">
      <c r="A19" s="30" t="n">
        <v>37347</v>
      </c>
      <c r="B19" s="33" t="n">
        <f aca="false">A20-A19</f>
        <v>30</v>
      </c>
      <c r="C19" s="33"/>
      <c r="D19" s="6" t="n">
        <f aca="false">VLOOKUP($A19,lookup_table,12)*$B19</f>
        <v>204000</v>
      </c>
      <c r="E19" s="6" t="n">
        <f aca="false">$B19*D19</f>
        <v>6120000</v>
      </c>
      <c r="F19" s="34" t="n">
        <f aca="false">VLOOKUP($A19,lookup_table,2)</f>
        <v>4.23</v>
      </c>
      <c r="G19" s="35" t="n">
        <f aca="false">D19*F19</f>
        <v>862920</v>
      </c>
      <c r="H19" s="34"/>
      <c r="I19" s="34" t="n">
        <f aca="false">VLOOKUP($A19,lookup_table,4)</f>
        <v>2.55</v>
      </c>
      <c r="J19" s="34" t="n">
        <f aca="false">VLOOKUP($A19,lookup_table,9)</f>
        <v>3.4</v>
      </c>
      <c r="K19" s="30"/>
      <c r="L19" s="6" t="n">
        <f aca="false">VLOOKUP($A19,lookup_table,15)*$B19</f>
        <v>150000</v>
      </c>
      <c r="M19" s="34" t="n">
        <f aca="false">VLOOKUP($A19,lookup_table,6)</f>
        <v>3.29</v>
      </c>
      <c r="N19" s="34" t="n">
        <f aca="false">$I19-($J19-M19)</f>
        <v>2.44</v>
      </c>
      <c r="O19" s="35" t="n">
        <f aca="false">L19*N19</f>
        <v>366000</v>
      </c>
      <c r="Q19" s="6" t="n">
        <f aca="false">VLOOKUP($A19,lookup_table,14)*$B19</f>
        <v>120000</v>
      </c>
      <c r="R19" s="34" t="n">
        <f aca="false">VLOOKUP($A19,lookup_table,5)</f>
        <v>3.31</v>
      </c>
      <c r="S19" s="34" t="n">
        <f aca="false">$I19-($J19-R19)</f>
        <v>2.46</v>
      </c>
      <c r="T19" s="35" t="n">
        <f aca="false">Q19*S19</f>
        <v>295200</v>
      </c>
      <c r="V19" s="6" t="n">
        <f aca="false">VLOOKUP($A19,lookup_table,16)*$B19</f>
        <v>90000</v>
      </c>
      <c r="W19" s="34" t="n">
        <f aca="false">VLOOKUP($A19,lookup_table,7)</f>
        <v>3.33</v>
      </c>
      <c r="X19" s="34" t="n">
        <f aca="false">$I19-($J19-W19)</f>
        <v>2.48</v>
      </c>
      <c r="Y19" s="35" t="n">
        <f aca="false">V19*X19</f>
        <v>223200</v>
      </c>
      <c r="AA19" s="6" t="n">
        <f aca="false">VLOOKUP($A19,lookup_table,17)*$B19</f>
        <v>90000</v>
      </c>
      <c r="AB19" s="34" t="n">
        <f aca="false">VLOOKUP($A19,lookup_table,8)</f>
        <v>3.28</v>
      </c>
      <c r="AC19" s="34" t="n">
        <f aca="false">$I19-($J19-AB19)</f>
        <v>2.43</v>
      </c>
      <c r="AD19" s="35" t="n">
        <f aca="false">AA19*AC19</f>
        <v>218700</v>
      </c>
      <c r="AF19" s="6" t="n">
        <f aca="false">(L19+Q19+V19+AA19)</f>
        <v>450000</v>
      </c>
      <c r="AG19" s="35" t="n">
        <f aca="false">O19+T19+Y19+AD19</f>
        <v>1103100</v>
      </c>
      <c r="AI19" s="6" t="n">
        <f aca="false">E19+AF19</f>
        <v>6570000</v>
      </c>
      <c r="AJ19" s="6" t="n">
        <f aca="false">G19+AG19</f>
        <v>1966020</v>
      </c>
    </row>
    <row r="20" customFormat="false" ht="12.75" hidden="false" customHeight="false" outlineLevel="0" collapsed="false">
      <c r="A20" s="30" t="n">
        <v>37377</v>
      </c>
    </row>
  </sheetData>
  <mergeCells count="2">
    <mergeCell ref="D1:G1"/>
    <mergeCell ref="I1:A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3.28"/>
    <col collapsed="false" customWidth="true" hidden="false" outlineLevel="0" max="5" min="5" style="0" width="3.56"/>
    <col collapsed="false" customWidth="true" hidden="false" outlineLevel="0" max="7" min="6" style="0" width="9.85"/>
    <col collapsed="false" customWidth="true" hidden="false" outlineLevel="0" max="8" min="8" style="0" width="12.7"/>
    <col collapsed="false" customWidth="true" hidden="false" outlineLevel="0" max="9" min="9" style="0" width="9.85"/>
    <col collapsed="false" customWidth="true" hidden="false" outlineLevel="0" max="13" min="10" style="0" width="12.85"/>
    <col collapsed="false" customWidth="true" hidden="false" outlineLevel="0" max="14" min="14" style="0" width="13.28"/>
    <col collapsed="false" customWidth="true" hidden="false" outlineLevel="0" max="15" min="15" style="0" width="12.85"/>
    <col collapsed="false" customWidth="true" hidden="false" outlineLevel="0" max="16" min="16" style="0" width="12.7"/>
    <col collapsed="false" customWidth="true" hidden="false" outlineLevel="0" max="20" min="20" style="0" width="12.85"/>
    <col collapsed="false" customWidth="true" hidden="false" outlineLevel="0" max="22" min="22" style="0" width="14.41"/>
  </cols>
  <sheetData>
    <row r="1" customFormat="false" ht="12.75" hidden="false" customHeight="false" outlineLevel="0" collapsed="false">
      <c r="B1" s="1" t="s">
        <v>17</v>
      </c>
      <c r="F1" s="1" t="s">
        <v>26</v>
      </c>
    </row>
    <row r="2" customFormat="false" ht="12.75" hidden="false" customHeight="false" outlineLevel="0" collapsed="false">
      <c r="B2" s="0" t="s">
        <v>85</v>
      </c>
      <c r="C2" s="0" t="s">
        <v>86</v>
      </c>
      <c r="D2" s="0" t="s">
        <v>87</v>
      </c>
      <c r="F2" s="0" t="s">
        <v>85</v>
      </c>
      <c r="G2" s="0" t="s">
        <v>86</v>
      </c>
      <c r="H2" s="0" t="s">
        <v>87</v>
      </c>
      <c r="J2" s="0" t="s">
        <v>85</v>
      </c>
      <c r="K2" s="0" t="s">
        <v>86</v>
      </c>
      <c r="L2" s="0" t="s">
        <v>87</v>
      </c>
      <c r="N2" s="0" t="s">
        <v>85</v>
      </c>
      <c r="O2" s="0" t="s">
        <v>86</v>
      </c>
      <c r="P2" s="0" t="s">
        <v>87</v>
      </c>
      <c r="R2" s="0" t="s">
        <v>85</v>
      </c>
      <c r="S2" s="0" t="s">
        <v>86</v>
      </c>
      <c r="T2" s="0" t="s">
        <v>87</v>
      </c>
      <c r="V2" s="0" t="s">
        <v>88</v>
      </c>
    </row>
    <row r="3" customFormat="false" ht="12.75" hidden="false" customHeight="false" outlineLevel="0" collapsed="false">
      <c r="B3" s="0" t="s">
        <v>32</v>
      </c>
      <c r="C3" s="0" t="s">
        <v>32</v>
      </c>
      <c r="D3" s="0" t="s">
        <v>32</v>
      </c>
      <c r="F3" s="0" t="s">
        <v>31</v>
      </c>
      <c r="G3" s="0" t="s">
        <v>31</v>
      </c>
      <c r="H3" s="0" t="s">
        <v>31</v>
      </c>
      <c r="J3" s="0" t="s">
        <v>30</v>
      </c>
      <c r="K3" s="0" t="s">
        <v>30</v>
      </c>
      <c r="L3" s="0" t="s">
        <v>30</v>
      </c>
      <c r="N3" s="0" t="s">
        <v>32</v>
      </c>
      <c r="O3" s="0" t="s">
        <v>32</v>
      </c>
      <c r="P3" s="0" t="s">
        <v>32</v>
      </c>
      <c r="R3" s="0" t="s">
        <v>24</v>
      </c>
      <c r="S3" s="0" t="s">
        <v>24</v>
      </c>
      <c r="T3" s="0" t="s">
        <v>24</v>
      </c>
    </row>
    <row r="4" customFormat="false" ht="12.75" hidden="false" customHeight="false" outlineLevel="0" collapsed="false">
      <c r="A4" s="30" t="n">
        <v>36892</v>
      </c>
      <c r="B4" s="36"/>
      <c r="C4" s="37"/>
      <c r="D4" s="37"/>
      <c r="E4" s="36"/>
      <c r="F4" s="36"/>
      <c r="G4" s="37"/>
      <c r="H4" s="37"/>
      <c r="I4" s="36"/>
      <c r="J4" s="36"/>
      <c r="K4" s="37"/>
      <c r="L4" s="37"/>
      <c r="M4" s="36"/>
      <c r="N4" s="36"/>
      <c r="O4" s="37"/>
      <c r="P4" s="37"/>
      <c r="R4" s="36"/>
      <c r="S4" s="37"/>
      <c r="T4" s="37"/>
      <c r="U4" s="37"/>
    </row>
    <row r="5" customFormat="false" ht="12.75" hidden="false" customHeight="false" outlineLevel="0" collapsed="false">
      <c r="A5" s="30" t="n">
        <v>36923</v>
      </c>
      <c r="B5" s="36"/>
      <c r="C5" s="37"/>
      <c r="D5" s="37"/>
      <c r="E5" s="36"/>
      <c r="F5" s="36"/>
      <c r="G5" s="37"/>
      <c r="H5" s="37"/>
      <c r="I5" s="36"/>
      <c r="J5" s="36"/>
      <c r="K5" s="37"/>
      <c r="L5" s="37"/>
      <c r="M5" s="36"/>
      <c r="N5" s="36"/>
      <c r="O5" s="37"/>
      <c r="P5" s="37"/>
      <c r="R5" s="36"/>
      <c r="S5" s="37"/>
      <c r="T5" s="37"/>
      <c r="U5" s="37"/>
    </row>
    <row r="6" customFormat="false" ht="12.75" hidden="false" customHeight="false" outlineLevel="0" collapsed="false">
      <c r="A6" s="30" t="n">
        <v>36951</v>
      </c>
      <c r="B6" s="36"/>
      <c r="C6" s="37"/>
      <c r="D6" s="37"/>
      <c r="E6" s="36"/>
      <c r="F6" s="36"/>
      <c r="G6" s="37"/>
      <c r="H6" s="37"/>
      <c r="I6" s="36"/>
      <c r="J6" s="36"/>
      <c r="K6" s="37"/>
      <c r="L6" s="37"/>
      <c r="M6" s="36"/>
      <c r="N6" s="36"/>
      <c r="O6" s="37"/>
      <c r="P6" s="37"/>
      <c r="R6" s="36"/>
      <c r="S6" s="37"/>
      <c r="T6" s="37"/>
      <c r="U6" s="37"/>
    </row>
    <row r="7" customFormat="false" ht="12.75" hidden="false" customHeight="false" outlineLevel="0" collapsed="false">
      <c r="A7" s="30" t="n">
        <v>36982</v>
      </c>
      <c r="B7" s="36"/>
      <c r="C7" s="37"/>
      <c r="D7" s="37"/>
      <c r="E7" s="36"/>
      <c r="F7" s="36"/>
      <c r="G7" s="37"/>
      <c r="H7" s="37"/>
      <c r="I7" s="36"/>
      <c r="J7" s="36"/>
      <c r="K7" s="37"/>
      <c r="L7" s="37"/>
      <c r="M7" s="36"/>
      <c r="N7" s="36"/>
      <c r="O7" s="37"/>
      <c r="P7" s="37"/>
      <c r="R7" s="36"/>
      <c r="S7" s="37"/>
      <c r="T7" s="37"/>
      <c r="U7" s="37"/>
    </row>
    <row r="8" customFormat="false" ht="12.75" hidden="false" customHeight="false" outlineLevel="0" collapsed="false">
      <c r="A8" s="30" t="n">
        <v>37012</v>
      </c>
      <c r="B8" s="36"/>
      <c r="C8" s="37"/>
      <c r="D8" s="37"/>
      <c r="E8" s="36"/>
      <c r="F8" s="36" t="n">
        <v>124000</v>
      </c>
      <c r="G8" s="37" t="n">
        <v>4.883</v>
      </c>
      <c r="H8" s="37" t="n">
        <f aca="false">F8*G8</f>
        <v>605492</v>
      </c>
      <c r="I8" s="36"/>
      <c r="J8" s="36" t="n">
        <v>155000</v>
      </c>
      <c r="K8" s="37" t="n">
        <v>4.933</v>
      </c>
      <c r="L8" s="37" t="n">
        <f aca="false">J8*K8</f>
        <v>764615</v>
      </c>
      <c r="M8" s="36"/>
      <c r="N8" s="36" t="n">
        <v>93000</v>
      </c>
      <c r="O8" s="37" t="n">
        <v>4.843</v>
      </c>
      <c r="P8" s="38" t="n">
        <f aca="false">N8*O8</f>
        <v>450399</v>
      </c>
      <c r="R8" s="36" t="n">
        <v>93000</v>
      </c>
      <c r="S8" s="37" t="n">
        <v>4.843</v>
      </c>
      <c r="T8" s="38" t="n">
        <f aca="false">R8*S8</f>
        <v>450399</v>
      </c>
      <c r="U8" s="37"/>
      <c r="V8" s="38" t="n">
        <f aca="false">H8+L8+P8+T8</f>
        <v>2270905</v>
      </c>
    </row>
    <row r="9" customFormat="false" ht="12.75" hidden="false" customHeight="false" outlineLevel="0" collapsed="false">
      <c r="A9" s="30"/>
      <c r="B9" s="36"/>
      <c r="C9" s="37"/>
      <c r="D9" s="37"/>
      <c r="E9" s="36"/>
      <c r="F9" s="36" t="n">
        <v>80501</v>
      </c>
      <c r="G9" s="37" t="n">
        <v>3.8317</v>
      </c>
      <c r="H9" s="37" t="n">
        <f aca="false">F9*G9</f>
        <v>308455.6817</v>
      </c>
      <c r="I9" s="36"/>
      <c r="J9" s="36"/>
      <c r="K9" s="37"/>
      <c r="L9" s="37"/>
      <c r="M9" s="36"/>
      <c r="N9" s="36"/>
      <c r="O9" s="37"/>
      <c r="P9" s="38"/>
      <c r="R9" s="36"/>
      <c r="S9" s="37"/>
      <c r="T9" s="38"/>
      <c r="U9" s="37"/>
      <c r="V9" s="38"/>
    </row>
    <row r="10" customFormat="false" ht="12.75" hidden="false" customHeight="false" outlineLevel="0" collapsed="false">
      <c r="A10" s="30" t="n">
        <v>37043</v>
      </c>
      <c r="B10" s="36"/>
      <c r="C10" s="37"/>
      <c r="D10" s="37"/>
      <c r="E10" s="36"/>
      <c r="F10" s="36" t="n">
        <v>120000</v>
      </c>
      <c r="G10" s="37" t="n">
        <v>3.8317</v>
      </c>
      <c r="H10" s="37" t="n">
        <f aca="false">F10*G10</f>
        <v>459804</v>
      </c>
      <c r="I10" s="36"/>
      <c r="J10" s="36"/>
      <c r="K10" s="37"/>
      <c r="L10" s="37"/>
      <c r="M10" s="36"/>
      <c r="N10" s="36"/>
      <c r="O10" s="37"/>
      <c r="P10" s="37"/>
      <c r="R10" s="36"/>
      <c r="S10" s="37"/>
      <c r="T10" s="37"/>
      <c r="U10" s="37"/>
    </row>
    <row r="11" customFormat="false" ht="12.75" hidden="false" customHeight="false" outlineLevel="0" collapsed="false">
      <c r="A11" s="30" t="n">
        <v>37073</v>
      </c>
      <c r="B11" s="36"/>
      <c r="C11" s="37"/>
      <c r="D11" s="37"/>
      <c r="E11" s="36"/>
      <c r="F11" s="36" t="n">
        <v>124000</v>
      </c>
      <c r="G11" s="37" t="n">
        <f aca="false">3.2517-0.79167</f>
        <v>2.46003</v>
      </c>
      <c r="H11" s="37" t="n">
        <f aca="false">F11*G11</f>
        <v>305043.72</v>
      </c>
      <c r="I11" s="36"/>
      <c r="J11" s="36" t="n">
        <v>155000</v>
      </c>
      <c r="K11" s="37" t="n">
        <f aca="false">3.2317-0.79167</f>
        <v>2.44003</v>
      </c>
      <c r="L11" s="37" t="n">
        <f aca="false">J11*K11</f>
        <v>378204.65</v>
      </c>
      <c r="M11" s="36"/>
      <c r="N11" s="36" t="n">
        <v>93000</v>
      </c>
      <c r="O11" s="37" t="n">
        <f aca="false">3.2517-0.79167</f>
        <v>2.46003</v>
      </c>
      <c r="P11" s="38" t="n">
        <f aca="false">N11*O11</f>
        <v>228782.79</v>
      </c>
      <c r="R11" s="36" t="n">
        <v>93000</v>
      </c>
      <c r="S11" s="37" t="n">
        <f aca="false">3.2517-0.79167</f>
        <v>2.46003</v>
      </c>
      <c r="T11" s="38" t="n">
        <f aca="false">R11*S11</f>
        <v>228782.79</v>
      </c>
      <c r="U11" s="37"/>
      <c r="V11" s="38" t="n">
        <f aca="false">H11+L11+P11+T11</f>
        <v>1140813.95</v>
      </c>
    </row>
    <row r="12" customFormat="false" ht="12.75" hidden="false" customHeight="false" outlineLevel="0" collapsed="false">
      <c r="A12" s="30" t="n">
        <v>37104</v>
      </c>
      <c r="B12" s="36" t="n">
        <v>210800</v>
      </c>
      <c r="C12" s="37" t="n">
        <v>3.93</v>
      </c>
      <c r="D12" s="38" t="n">
        <f aca="false">B12*C12</f>
        <v>828444</v>
      </c>
      <c r="E12" s="36"/>
      <c r="F12" s="36"/>
      <c r="G12" s="37"/>
      <c r="H12" s="37"/>
      <c r="I12" s="36"/>
      <c r="J12" s="36"/>
      <c r="K12" s="37"/>
      <c r="L12" s="37"/>
      <c r="M12" s="36"/>
      <c r="N12" s="36"/>
      <c r="O12" s="37"/>
      <c r="P12" s="37"/>
      <c r="R12" s="36"/>
      <c r="S12" s="37"/>
      <c r="T12" s="37"/>
      <c r="U12" s="37"/>
    </row>
    <row r="13" customFormat="false" ht="12.75" hidden="false" customHeight="false" outlineLevel="0" collapsed="false">
      <c r="A13" s="30" t="n">
        <v>37135</v>
      </c>
      <c r="B13" s="36" t="n">
        <v>204000</v>
      </c>
      <c r="C13" s="37" t="n">
        <v>3.93</v>
      </c>
      <c r="D13" s="38" t="n">
        <f aca="false">B13*C13</f>
        <v>801720</v>
      </c>
      <c r="E13" s="36"/>
      <c r="F13" s="36"/>
      <c r="G13" s="37"/>
      <c r="H13" s="37"/>
      <c r="I13" s="36"/>
      <c r="J13" s="36"/>
      <c r="K13" s="37"/>
      <c r="L13" s="37"/>
      <c r="M13" s="36"/>
      <c r="N13" s="36"/>
      <c r="O13" s="37"/>
      <c r="P13" s="37"/>
      <c r="R13" s="36"/>
      <c r="S13" s="37"/>
      <c r="T13" s="37"/>
      <c r="U13" s="37"/>
    </row>
    <row r="14" customFormat="false" ht="12.75" hidden="false" customHeight="false" outlineLevel="0" collapsed="false">
      <c r="A14" s="30" t="n">
        <v>37165</v>
      </c>
      <c r="B14" s="36"/>
      <c r="C14" s="37"/>
      <c r="D14" s="37"/>
      <c r="E14" s="36"/>
      <c r="F14" s="36"/>
      <c r="G14" s="37"/>
      <c r="H14" s="37"/>
      <c r="I14" s="36"/>
      <c r="J14" s="36"/>
      <c r="K14" s="37"/>
      <c r="L14" s="37"/>
      <c r="M14" s="36"/>
      <c r="N14" s="36"/>
      <c r="O14" s="37"/>
      <c r="P14" s="37"/>
      <c r="R14" s="36"/>
      <c r="S14" s="37"/>
      <c r="T14" s="37"/>
      <c r="U14" s="37"/>
    </row>
    <row r="15" customFormat="false" ht="12.75" hidden="false" customHeight="false" outlineLevel="0" collapsed="false">
      <c r="A15" s="30" t="n">
        <v>37196</v>
      </c>
      <c r="B15" s="36" t="n">
        <v>204000</v>
      </c>
      <c r="C15" s="37" t="n">
        <v>3.93</v>
      </c>
      <c r="D15" s="38" t="n">
        <f aca="false">B15*C15</f>
        <v>801720</v>
      </c>
      <c r="E15" s="36"/>
      <c r="F15" s="36"/>
      <c r="G15" s="37"/>
      <c r="H15" s="37"/>
      <c r="I15" s="36"/>
      <c r="J15" s="36"/>
      <c r="K15" s="37"/>
      <c r="L15" s="37"/>
      <c r="M15" s="36"/>
      <c r="N15" s="36"/>
      <c r="O15" s="37"/>
      <c r="P15" s="37"/>
      <c r="R15" s="36"/>
      <c r="S15" s="37"/>
      <c r="T15" s="37"/>
      <c r="U15" s="37"/>
    </row>
    <row r="16" customFormat="false" ht="12.75" hidden="false" customHeight="false" outlineLevel="0" collapsed="false">
      <c r="A16" s="30" t="n">
        <v>37226</v>
      </c>
      <c r="B16" s="36" t="n">
        <v>56100</v>
      </c>
      <c r="C16" s="37" t="n">
        <v>3.93</v>
      </c>
      <c r="D16" s="38" t="n">
        <f aca="false">B16*C16</f>
        <v>220473</v>
      </c>
      <c r="E16" s="36"/>
      <c r="F16" s="36" t="n">
        <v>38904</v>
      </c>
      <c r="G16" s="37" t="n">
        <f aca="false">2.2483+0.01067</f>
        <v>2.25897</v>
      </c>
      <c r="H16" s="37" t="n">
        <f aca="false">F16*G16</f>
        <v>87882.96888</v>
      </c>
      <c r="I16" s="36"/>
      <c r="J16" s="36"/>
      <c r="K16" s="37"/>
      <c r="L16" s="37"/>
      <c r="M16" s="36"/>
      <c r="N16" s="36"/>
      <c r="O16" s="37"/>
      <c r="P16" s="37"/>
      <c r="R16" s="36" t="n">
        <f aca="false">4850+330+20900</f>
        <v>26080</v>
      </c>
      <c r="S16" s="37" t="n">
        <v>2.298</v>
      </c>
      <c r="T16" s="37" t="n">
        <f aca="false">R16*S16</f>
        <v>59931.84</v>
      </c>
      <c r="U16" s="37"/>
    </row>
    <row r="17" customFormat="false" ht="12.75" hidden="false" customHeight="false" outlineLevel="0" collapsed="false">
      <c r="A17" s="30" t="n">
        <v>37257</v>
      </c>
      <c r="B17" s="36"/>
      <c r="C17" s="37"/>
      <c r="D17" s="37"/>
      <c r="E17" s="36"/>
      <c r="F17" s="36" t="n">
        <v>60000</v>
      </c>
      <c r="G17" s="37" t="n">
        <f aca="false">2.5283+0.01067</f>
        <v>2.53897</v>
      </c>
      <c r="H17" s="37" t="n">
        <f aca="false">F17*G17</f>
        <v>152338.2</v>
      </c>
      <c r="I17" s="36"/>
      <c r="J17" s="36" t="n">
        <f aca="false">485+67725+6790</f>
        <v>75000</v>
      </c>
      <c r="K17" s="37" t="n">
        <f aca="false">2.5383+0.01067</f>
        <v>2.54897</v>
      </c>
      <c r="L17" s="37" t="n">
        <f aca="false">J17*K17</f>
        <v>191172.75</v>
      </c>
      <c r="M17" s="36"/>
      <c r="N17" s="36" t="n">
        <f aca="false">3000+42000</f>
        <v>45000</v>
      </c>
      <c r="O17" s="37" t="n">
        <f aca="false">2.5183+0.01067</f>
        <v>2.52897</v>
      </c>
      <c r="P17" s="37" t="n">
        <f aca="false">N17*O17</f>
        <v>113803.65</v>
      </c>
      <c r="R17" s="36"/>
      <c r="S17" s="37"/>
      <c r="T17" s="37"/>
      <c r="U17" s="37"/>
    </row>
    <row r="18" customFormat="false" ht="12.75" hidden="false" customHeight="false" outlineLevel="0" collapsed="false">
      <c r="A18" s="30" t="n">
        <v>37288</v>
      </c>
      <c r="B18" s="36"/>
      <c r="C18" s="37"/>
      <c r="D18" s="37"/>
      <c r="E18" s="36"/>
      <c r="F18" s="36" t="n">
        <v>112000</v>
      </c>
      <c r="G18" s="37" t="n">
        <f aca="false">1.9683+0.56633</f>
        <v>2.53463</v>
      </c>
      <c r="H18" s="37" t="n">
        <f aca="false">F18*G18</f>
        <v>283878.56</v>
      </c>
      <c r="I18" s="36"/>
      <c r="J18" s="36" t="n">
        <f aca="false">129757+10243</f>
        <v>140000</v>
      </c>
      <c r="K18" s="37" t="n">
        <f aca="false">1.9283+0.56633</f>
        <v>2.49463</v>
      </c>
      <c r="L18" s="37" t="n">
        <f aca="false">J18*K18</f>
        <v>349248.2</v>
      </c>
      <c r="M18" s="36"/>
      <c r="N18" s="36"/>
      <c r="O18" s="37"/>
      <c r="P18" s="37"/>
      <c r="R18" s="36" t="n">
        <v>168000</v>
      </c>
      <c r="S18" s="37" t="n">
        <v>1.988</v>
      </c>
      <c r="T18" s="37" t="n">
        <f aca="false">R18*S18</f>
        <v>333984</v>
      </c>
      <c r="U18" s="37"/>
    </row>
    <row r="19" customFormat="false" ht="12.75" hidden="false" customHeight="false" outlineLevel="0" collapsed="false">
      <c r="A19" s="30" t="n">
        <v>37316</v>
      </c>
      <c r="B19" s="36"/>
      <c r="C19" s="37"/>
      <c r="D19" s="37"/>
      <c r="E19" s="36"/>
      <c r="F19" s="36" t="n">
        <v>124000</v>
      </c>
      <c r="G19" s="37" t="n">
        <f aca="false">2.3583+0.16867</f>
        <v>2.52697</v>
      </c>
      <c r="H19" s="37" t="n">
        <f aca="false">F19*G19</f>
        <v>313344.28</v>
      </c>
      <c r="I19" s="36"/>
      <c r="J19" s="36"/>
      <c r="K19" s="37"/>
      <c r="L19" s="37"/>
      <c r="M19" s="36"/>
      <c r="N19" s="36" t="n">
        <v>93000</v>
      </c>
      <c r="O19" s="37" t="n">
        <f aca="false">2.3483+0.16867</f>
        <v>2.51697</v>
      </c>
      <c r="P19" s="37" t="n">
        <f aca="false">N19*O19</f>
        <v>234078.21</v>
      </c>
      <c r="R19" s="36" t="n">
        <v>93000</v>
      </c>
      <c r="S19" s="37" t="n">
        <f aca="false">2.368+0.16867</f>
        <v>2.53667</v>
      </c>
      <c r="T19" s="37" t="n">
        <f aca="false">R19*S19</f>
        <v>235910.31</v>
      </c>
      <c r="U19" s="37"/>
    </row>
    <row r="20" customFormat="false" ht="12.75" hidden="false" customHeight="false" outlineLevel="0" collapsed="false">
      <c r="A20" s="30" t="n">
        <v>37347</v>
      </c>
      <c r="B20" s="36"/>
      <c r="C20" s="37"/>
      <c r="D20" s="37"/>
      <c r="E20" s="36"/>
      <c r="F20" s="36"/>
      <c r="G20" s="37"/>
      <c r="H20" s="37"/>
      <c r="I20" s="36"/>
      <c r="J20" s="36"/>
      <c r="K20" s="37"/>
      <c r="L20" s="37"/>
      <c r="M20" s="36"/>
      <c r="N20" s="36"/>
      <c r="O20" s="36"/>
      <c r="P20" s="36"/>
      <c r="R20" s="36"/>
      <c r="S20" s="37"/>
      <c r="T20" s="37"/>
      <c r="U20" s="37"/>
    </row>
    <row r="21" customFormat="false" ht="12.75" hidden="false" customHeight="false" outlineLevel="0" collapsed="false">
      <c r="B21" s="36"/>
      <c r="C21" s="37"/>
      <c r="D21" s="37"/>
      <c r="E21" s="36"/>
      <c r="F21" s="36"/>
      <c r="G21" s="37"/>
      <c r="H21" s="37"/>
      <c r="I21" s="36"/>
      <c r="J21" s="36"/>
      <c r="K21" s="37"/>
      <c r="L21" s="37"/>
      <c r="M21" s="36"/>
      <c r="N21" s="36"/>
      <c r="O21" s="36"/>
      <c r="P21" s="36"/>
      <c r="R21" s="36"/>
      <c r="S21" s="37"/>
      <c r="T21" s="37"/>
      <c r="U21" s="37"/>
    </row>
    <row r="22" customFormat="false" ht="12.75" hidden="false" customHeight="false" outlineLevel="0" collapsed="false">
      <c r="B22" s="36"/>
      <c r="C22" s="37"/>
      <c r="D22" s="37"/>
      <c r="G22" s="37"/>
      <c r="H22" s="37"/>
      <c r="K22" s="37"/>
      <c r="L22" s="37"/>
      <c r="R22" s="36"/>
      <c r="S22" s="37"/>
      <c r="T22" s="37"/>
      <c r="U22" s="37"/>
    </row>
    <row r="23" customFormat="false" ht="12.75" hidden="false" customHeight="false" outlineLevel="0" collapsed="false">
      <c r="G23" s="37"/>
      <c r="H23" s="37"/>
      <c r="K23" s="37"/>
      <c r="L23" s="37"/>
      <c r="R23" s="36"/>
    </row>
    <row r="24" customFormat="false" ht="12.75" hidden="false" customHeight="false" outlineLevel="0" collapsed="false">
      <c r="K24" s="37"/>
      <c r="L24" s="37"/>
    </row>
    <row r="25" customFormat="false" ht="12.75" hidden="false" customHeight="false" outlineLevel="0" collapsed="false">
      <c r="K25" s="37"/>
      <c r="L25" s="37"/>
    </row>
    <row r="26" customFormat="false" ht="12.75" hidden="false" customHeight="false" outlineLevel="0" collapsed="false">
      <c r="K26" s="37"/>
      <c r="L2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2002-04-29T14:00:03Z</dcterms:created>
  <dc:creator>Philip Polsky</dc:creator>
  <dc:description/>
  <dc:language>en-US</dc:language>
  <cp:lastModifiedBy>Philip Polsky</cp:lastModifiedBy>
  <cp:lastPrinted>2002-05-01T16:07:34Z</cp:lastPrinted>
  <dcterms:modified xsi:type="dcterms:W3CDTF">2002-05-03T11:26:20Z</dcterms:modified>
  <cp:revision>0</cp:revision>
  <dc:subject/>
  <dc:title/>
</cp:coreProperties>
</file>